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threadedComments/threadedComment4.xml" ContentType="application/vnd.ms-excel.threaded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queryTables/queryTable1.xml" ContentType="application/vnd.openxmlformats-officedocument.spreadsheetml.query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2.xml" ContentType="application/vnd.openxmlformats-officedocument.spreadsheetml.queryTable+xml"/>
  <Override PartName="/xl/tables/table24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N:\Bio-HANDLING Tools\Bio-BELT\"/>
    </mc:Choice>
  </mc:AlternateContent>
  <xr:revisionPtr revIDLastSave="0" documentId="13_ncr:1_{64B93BCA-53BD-4325-93B6-A899B8FBF42F}" xr6:coauthVersionLast="47" xr6:coauthVersionMax="47" xr10:uidLastSave="{00000000-0000-0000-0000-000000000000}"/>
  <bookViews>
    <workbookView xWindow="-120" yWindow="-120" windowWidth="29040" windowHeight="15840" activeTab="9" xr2:uid="{00000000-000D-0000-FFFF-FFFF00000000}"/>
  </bookViews>
  <sheets>
    <sheet name="Instructions" sheetId="52" r:id="rId1"/>
    <sheet name="Design" sheetId="53" r:id="rId2"/>
    <sheet name="Carrying Idler Bearing Life (2)" sheetId="54" state="hidden" r:id="rId3"/>
    <sheet name="Data Sheet" sheetId="55" r:id="rId4"/>
    <sheet name="Vertical Curve (2)" sheetId="56" state="hidden" r:id="rId5"/>
    <sheet name="RISA Inputs" sheetId="57" r:id="rId6"/>
    <sheet name="Revision" sheetId="58" r:id="rId7"/>
    <sheet name="List" sheetId="59" r:id="rId8"/>
    <sheet name="Bio-BELT Design" sheetId="35" state="hidden" r:id="rId9"/>
    <sheet name="Bio-BELT Cost Summary" sheetId="41" r:id="rId10"/>
    <sheet name="BOM" sheetId="60" r:id="rId11"/>
    <sheet name="MATERIAL COST" sheetId="36" r:id="rId12"/>
    <sheet name="TAIL-HEAD SECTIONS" sheetId="37" r:id="rId13"/>
    <sheet name="STANDARDS" sheetId="38" r:id="rId14"/>
    <sheet name="COST PER FT" sheetId="39" r:id="rId15"/>
    <sheet name="PURCHASED" sheetId="40" r:id="rId16"/>
    <sheet name="Sheet &amp; Plate - NEW" sheetId="61" r:id="rId17"/>
    <sheet name="100 PN" sheetId="44" r:id="rId18"/>
    <sheet name="500 PN" sheetId="43" r:id="rId19"/>
  </sheets>
  <functionGroups builtInGroupCount="19"/>
  <definedNames>
    <definedName name="_xlnm._FilterDatabase" localSheetId="14" hidden="1">'COST PER FT'!$A$2:$R$131</definedName>
    <definedName name="_xlnm._FilterDatabase" localSheetId="13" hidden="1">STANDARDS!$A$2:$R$227</definedName>
    <definedName name="_xlnm._FilterDatabase" localSheetId="12" hidden="1">'TAIL-HEAD SECTIONS'!$A$3:$R$84</definedName>
    <definedName name="_xleta.SUM" hidden="1" xlm="1">#NAME?</definedName>
    <definedName name="_xleta.XLOOKUP" hidden="1" xlm="1">#NAME?</definedName>
    <definedName name="B_SCALE">'Bio-BELT Design'!$H$17</definedName>
    <definedName name="B_TYPE">Design!$AL$89</definedName>
    <definedName name="BB_C">'Bio-BELT Cost Summary'!$A$112:$P$126</definedName>
    <definedName name="BB_PC">'Bio-BELT Cost Summary'!$A$80:$P$106</definedName>
    <definedName name="BB_PS">'Bio-BELT Cost Summary'!$A$68:$P$74</definedName>
    <definedName name="Belt_Type">Design!$AL$88</definedName>
    <definedName name="Belt_W">Design!$M$23</definedName>
    <definedName name="BMS">Design!$K$102</definedName>
    <definedName name="C_DIM_A">Design!$AL$90</definedName>
    <definedName name="C_DIM_B">Design!$AL$91</definedName>
    <definedName name="C_DIM_C">Design!$AL$92</definedName>
    <definedName name="C_INC_ANG">Design!$AL$93</definedName>
    <definedName name="CI_SPACING">Design!$M$33</definedName>
    <definedName name="CLEAR">'Bio-BELT Cost Summary'!$A$22:$K$28,'Bio-BELT Cost Summary'!$A$34:$I$51,'Bio-BELT Cost Summary'!$A$57:$I$63,'Bio-BELT Cost Summary'!$A$68:$K$74,'Bio-BELT Cost Summary'!$A$80:$K$106,'Bio-BELT Cost Summary'!$A$112:$K$126</definedName>
    <definedName name="Cov_Type">Design!$AL$106</definedName>
    <definedName name="CPF_LABOR">'COST PER FT'!$U$134</definedName>
    <definedName name="DP_DIA">Design!$M$35</definedName>
    <definedName name="DP_L">Design!$AL$94</definedName>
    <definedName name="ESS">Design!$K$100</definedName>
    <definedName name="ESS_Q">Design!$Z$100</definedName>
    <definedName name="ExternalData_1" localSheetId="17" hidden="1">'100 PN'!$A$1:$I$4117</definedName>
    <definedName name="ExternalData_1" localSheetId="18" hidden="1">'500 PN'!$A$1:$H$1242</definedName>
    <definedName name="ExternalData_1" localSheetId="16" hidden="1">'Sheet &amp; Plate - NEW'!$A$1:$M$40</definedName>
    <definedName name="FI_COST">STANDARDS!$P$46</definedName>
    <definedName name="FI_DESC">STANDARDS!$C$46</definedName>
    <definedName name="FI_PN">STANDARDS!$B$46</definedName>
    <definedName name="FI_WT">STANDARDS!$O$46</definedName>
    <definedName name="Field_Service_Daily_Exp" localSheetId="8">'Bio-BELT Design'!$H$26</definedName>
    <definedName name="Field_Service_Travel_Exp" localSheetId="8">'Bio-BELT Design'!$H$27</definedName>
    <definedName name="GUID_QTY">Design!$Z$97</definedName>
    <definedName name="GUIDELERS">Design!$K$97</definedName>
    <definedName name="HP_PN">'Bio-BELT Design'!$R$11</definedName>
    <definedName name="HP_SPN">Design!$K$113</definedName>
    <definedName name="HP_TYPE">Design!$K$105</definedName>
    <definedName name="HPL_Th">Design!$AM$30</definedName>
    <definedName name="HSD">Design!$AM$31</definedName>
    <definedName name="HW_TCOST">BOM!$G$121</definedName>
    <definedName name="I_TYPE">Design!$M$31</definedName>
    <definedName name="IF_LEN">STANDARDS!$I$4</definedName>
    <definedName name="IFL_LEN">STANDARDS!$I$5</definedName>
    <definedName name="II_SPACING">Design!$M$79</definedName>
    <definedName name="JMS_HP">Design!$X$113</definedName>
    <definedName name="JMS_TP">Design!$X$114</definedName>
    <definedName name="L_IMP_Z">Design!$M$81</definedName>
    <definedName name="LABOR_COST">'MATERIAL COST'!$S$14</definedName>
    <definedName name="MoC">Design!$AL$95</definedName>
    <definedName name="MR_PN">STANDARDS!$B$10</definedName>
    <definedName name="N_IMP_Z">Design!$M$80</definedName>
    <definedName name="NofM">BOM!$J$3</definedName>
    <definedName name="NofNM">BOM!$J$33</definedName>
    <definedName name="NofPP">BOM!$M$47</definedName>
    <definedName name="NoNM">BOM!$J$33</definedName>
    <definedName name="PE_STAMP">Design!$AL$109</definedName>
    <definedName name="_xlnm.Print_Area" localSheetId="8">'Bio-BELT Design'!$A$1:$P$45</definedName>
    <definedName name="_xlnm.Print_Area" localSheetId="1">Design!$A$1:$BD$94</definedName>
    <definedName name="Q_PLOWS">Design!$AM$21</definedName>
    <definedName name="RI_COST">STANDARDS!$P$26</definedName>
    <definedName name="RI_DESC">STANDARDS!$C$26</definedName>
    <definedName name="RI_PN">STANDARDS!$B$26</definedName>
    <definedName name="RI_SPACING">Design!$M$34</definedName>
    <definedName name="RIA_DESC">STANDARDS!$A$23</definedName>
    <definedName name="Risk_P">#REF!</definedName>
    <definedName name="SB_L">Design!$AM$19</definedName>
    <definedName name="SCRAPER_TYPE">Design!$K$98</definedName>
    <definedName name="SEC_SCRAPER">Design!$K$99</definedName>
    <definedName name="SHEETS">BOM!$K$3:$K$5</definedName>
    <definedName name="Splice_PN">Design!$AL$104</definedName>
    <definedName name="Splice_T">Design!$AL$103</definedName>
    <definedName name="STAN_LABOR">STANDARDS!$U$230</definedName>
    <definedName name="SUP_10">Design!$AL$99</definedName>
    <definedName name="SUP_15">Design!$AL$100</definedName>
    <definedName name="SUP_2">Design!$AL$97</definedName>
    <definedName name="SUP_20">Design!$AL$101</definedName>
    <definedName name="SUP_5">Design!$AL$98</definedName>
    <definedName name="THS_LABOR">'TAIL-HEAD SECTIONS'!$U$86</definedName>
    <definedName name="TP_LAG">Design!$K$109</definedName>
    <definedName name="TP_PN">'Bio-BELT Design'!$R$12</definedName>
    <definedName name="TP_SPN">Design!$K$114</definedName>
    <definedName name="TP_TYPE">Design!$K$108</definedName>
    <definedName name="TSD">Design!$AM$32</definedName>
    <definedName name="TU_LEN">Design!$AV$28</definedName>
    <definedName name="TU_TYPE">Design!$AM$28</definedName>
    <definedName name="WASH_BOX">Design!$AM$23</definedName>
    <definedName name="WC_L">Design!$AL$107</definedName>
    <definedName name="ZSS">Design!$K$101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4" i="41" l="1"/>
  <c r="M156" i="41"/>
  <c r="I155" i="41"/>
  <c r="M155" i="41" s="1"/>
  <c r="E13" i="41"/>
  <c r="L44" i="36" l="1" a="1"/>
  <c r="L44" i="36" s="1"/>
  <c r="L43" i="36"/>
  <c r="L43" i="36" a="1"/>
  <c r="L42" i="36" a="1"/>
  <c r="L42" i="36" s="1"/>
  <c r="L41" i="36" a="1"/>
  <c r="L41" i="36" s="1"/>
  <c r="L40" i="36" a="1"/>
  <c r="L40" i="36" s="1"/>
  <c r="L39" i="36" a="1"/>
  <c r="L39" i="36" s="1"/>
  <c r="L38" i="36" a="1"/>
  <c r="L38" i="36" s="1"/>
  <c r="L37" i="36" a="1"/>
  <c r="L37" i="36" s="1"/>
  <c r="L36" i="36" a="1"/>
  <c r="L36" i="36" s="1"/>
  <c r="L35" i="36" a="1"/>
  <c r="L35" i="36" s="1"/>
  <c r="L34" i="36" a="1"/>
  <c r="L34" i="36" s="1"/>
  <c r="L33" i="36" a="1"/>
  <c r="L33" i="36" s="1"/>
  <c r="L32" i="36" a="1"/>
  <c r="L32" i="36" s="1"/>
  <c r="L30" i="36" a="1"/>
  <c r="L30" i="36" s="1"/>
  <c r="L29" i="36" a="1"/>
  <c r="L29" i="36" s="1"/>
  <c r="L28" i="36" a="1"/>
  <c r="L28" i="36" s="1"/>
  <c r="L27" i="36"/>
  <c r="L27" i="36" a="1"/>
  <c r="L26" i="36" a="1"/>
  <c r="L26" i="36" s="1"/>
  <c r="L25" i="36" a="1"/>
  <c r="L25" i="36" s="1"/>
  <c r="L24" i="36" a="1"/>
  <c r="L24" i="36" s="1"/>
  <c r="L23" i="36" a="1"/>
  <c r="L23" i="36" s="1"/>
  <c r="L22" i="36" a="1"/>
  <c r="L22" i="36" s="1"/>
  <c r="L21" i="36" a="1"/>
  <c r="L21" i="36" s="1"/>
  <c r="L20" i="36" a="1"/>
  <c r="L20" i="36" s="1"/>
  <c r="L19" i="36"/>
  <c r="L19" i="36" a="1"/>
  <c r="L18" i="36" a="1"/>
  <c r="L18" i="36" s="1"/>
  <c r="L16" i="36" a="1"/>
  <c r="L16" i="36" s="1"/>
  <c r="L15" i="36" a="1"/>
  <c r="L15" i="36" s="1"/>
  <c r="L14" i="36" a="1"/>
  <c r="L14" i="36" s="1"/>
  <c r="L13" i="36" a="1"/>
  <c r="L13" i="36" s="1"/>
  <c r="L12" i="36" a="1"/>
  <c r="L12" i="36" s="1"/>
  <c r="L11" i="36" a="1"/>
  <c r="L11" i="36" s="1"/>
  <c r="L10" i="36" a="1"/>
  <c r="L10" i="36" s="1"/>
  <c r="L9" i="36" a="1"/>
  <c r="L9" i="36" s="1"/>
  <c r="L8" i="36" a="1"/>
  <c r="L8" i="36" s="1"/>
  <c r="L7" i="36" a="1"/>
  <c r="L7" i="36" s="1"/>
  <c r="L6" i="36" a="1"/>
  <c r="L6" i="36" s="1"/>
  <c r="L5" i="36" a="1"/>
  <c r="L5" i="36" s="1"/>
  <c r="L4" i="36" a="1"/>
  <c r="L4" i="36" s="1"/>
  <c r="K44" i="36" a="1"/>
  <c r="K44" i="36" s="1"/>
  <c r="K43" i="36" a="1"/>
  <c r="K43" i="36" s="1"/>
  <c r="K42" i="36" a="1"/>
  <c r="K42" i="36" s="1"/>
  <c r="K41" i="36" a="1"/>
  <c r="K41" i="36" s="1"/>
  <c r="K40" i="36" a="1"/>
  <c r="K40" i="36" s="1"/>
  <c r="K39" i="36" a="1"/>
  <c r="K39" i="36" s="1"/>
  <c r="K38" i="36" a="1"/>
  <c r="K38" i="36" s="1"/>
  <c r="K37" i="36" a="1"/>
  <c r="K37" i="36" s="1"/>
  <c r="K36" i="36" a="1"/>
  <c r="K36" i="36" s="1"/>
  <c r="K35" i="36" a="1"/>
  <c r="K35" i="36" s="1"/>
  <c r="K34" i="36" a="1"/>
  <c r="K34" i="36" s="1"/>
  <c r="K33" i="36" a="1"/>
  <c r="K33" i="36" s="1"/>
  <c r="K32" i="36" a="1"/>
  <c r="K32" i="36" s="1"/>
  <c r="K30" i="36" a="1"/>
  <c r="K30" i="36" s="1"/>
  <c r="K29" i="36" a="1"/>
  <c r="K29" i="36" s="1"/>
  <c r="K28" i="36" a="1"/>
  <c r="K28" i="36" s="1"/>
  <c r="K27" i="36" a="1"/>
  <c r="K27" i="36" s="1"/>
  <c r="K26" i="36" a="1"/>
  <c r="K26" i="36" s="1"/>
  <c r="K25" i="36" a="1"/>
  <c r="K25" i="36" s="1"/>
  <c r="K24" i="36" a="1"/>
  <c r="K24" i="36" s="1"/>
  <c r="K23" i="36" a="1"/>
  <c r="K23" i="36" s="1"/>
  <c r="K22" i="36" a="1"/>
  <c r="K22" i="36" s="1"/>
  <c r="K21" i="36" a="1"/>
  <c r="K21" i="36" s="1"/>
  <c r="K20" i="36" a="1"/>
  <c r="K20" i="36" s="1"/>
  <c r="K19" i="36" a="1"/>
  <c r="K19" i="36" s="1"/>
  <c r="K18" i="36" a="1"/>
  <c r="K18" i="36" s="1"/>
  <c r="K16" i="36"/>
  <c r="K16" i="36" a="1"/>
  <c r="K15" i="36" a="1"/>
  <c r="K15" i="36" s="1"/>
  <c r="K14" i="36" a="1"/>
  <c r="K14" i="36" s="1"/>
  <c r="K13" i="36" a="1"/>
  <c r="K13" i="36" s="1"/>
  <c r="K12" i="36" a="1"/>
  <c r="K12" i="36" s="1"/>
  <c r="K11" i="36" a="1"/>
  <c r="K11" i="36" s="1"/>
  <c r="K10" i="36" a="1"/>
  <c r="K10" i="36" s="1"/>
  <c r="K9" i="36" a="1"/>
  <c r="K9" i="36" s="1"/>
  <c r="K8" i="36" a="1"/>
  <c r="K8" i="36" s="1"/>
  <c r="K7" i="36" a="1"/>
  <c r="K7" i="36" s="1"/>
  <c r="K6" i="36" a="1"/>
  <c r="K6" i="36" s="1"/>
  <c r="K5" i="36" a="1"/>
  <c r="K5" i="36" s="1"/>
  <c r="K4" i="36" a="1"/>
  <c r="K4" i="36" s="1"/>
  <c r="B67" i="61" a="1"/>
  <c r="B67" i="61"/>
  <c r="B68" i="61" a="1"/>
  <c r="B68" i="61" s="1"/>
  <c r="B69" i="61" a="1"/>
  <c r="B69" i="61" s="1"/>
  <c r="B70" i="61" a="1"/>
  <c r="B70" i="61" s="1"/>
  <c r="B71" i="61" a="1"/>
  <c r="B71" i="61" s="1"/>
  <c r="B72" i="61" a="1"/>
  <c r="B72" i="61" s="1"/>
  <c r="B73" i="61" a="1"/>
  <c r="B73" i="61"/>
  <c r="B74" i="61" a="1"/>
  <c r="B74" i="61" s="1"/>
  <c r="B75" i="61" a="1"/>
  <c r="B75" i="61"/>
  <c r="B76" i="61" a="1"/>
  <c r="B76" i="61" s="1"/>
  <c r="B77" i="61" a="1"/>
  <c r="B77" i="61" s="1"/>
  <c r="B78" i="61" a="1"/>
  <c r="B78" i="61" s="1"/>
  <c r="B79" i="61" a="1"/>
  <c r="B79" i="61" s="1"/>
  <c r="B80" i="61" a="1"/>
  <c r="B80" i="61" s="1"/>
  <c r="B81" i="61" a="1"/>
  <c r="B81" i="61"/>
  <c r="B82" i="61" a="1"/>
  <c r="B82" i="61" s="1"/>
  <c r="B83" i="61" a="1"/>
  <c r="B83" i="61" s="1"/>
  <c r="B84" i="61" a="1"/>
  <c r="B84" i="61" s="1"/>
  <c r="B85" i="61" a="1"/>
  <c r="B85" i="61" s="1"/>
  <c r="B86" i="61" a="1"/>
  <c r="B86" i="61" s="1"/>
  <c r="B87" i="61" a="1"/>
  <c r="B87" i="61" s="1"/>
  <c r="B88" i="61" a="1"/>
  <c r="B88" i="61" s="1"/>
  <c r="B89" i="61" a="1"/>
  <c r="B89" i="61"/>
  <c r="B90" i="61" a="1"/>
  <c r="B90" i="61"/>
  <c r="B91" i="61" a="1"/>
  <c r="B91" i="61" s="1"/>
  <c r="B92" i="61" a="1"/>
  <c r="B92" i="61" s="1"/>
  <c r="B93" i="61" a="1"/>
  <c r="B93" i="61" s="1"/>
  <c r="B94" i="61" a="1"/>
  <c r="B94" i="61" s="1"/>
  <c r="B95" i="61" a="1"/>
  <c r="B95" i="61" s="1"/>
  <c r="B96" i="61" a="1"/>
  <c r="B96" i="61" s="1"/>
  <c r="B97" i="61" a="1"/>
  <c r="B97" i="61"/>
  <c r="B98" i="61" a="1"/>
  <c r="B98" i="61"/>
  <c r="B99" i="61" a="1"/>
  <c r="B99" i="61" s="1"/>
  <c r="B100" i="61" a="1"/>
  <c r="B100" i="61" s="1"/>
  <c r="B101" i="61" a="1"/>
  <c r="B101" i="61" s="1"/>
  <c r="B102" i="61" a="1"/>
  <c r="B102" i="61" s="1"/>
  <c r="B103" i="61" a="1"/>
  <c r="B103" i="61" s="1"/>
  <c r="B104" i="61" a="1"/>
  <c r="B104" i="61" s="1"/>
  <c r="B105" i="61" a="1"/>
  <c r="B105" i="61" s="1"/>
  <c r="B106" i="61" a="1"/>
  <c r="B106" i="61"/>
  <c r="B107" i="61" a="1"/>
  <c r="B107" i="61" s="1"/>
  <c r="B108" i="61" a="1"/>
  <c r="B108" i="61" s="1"/>
  <c r="B109" i="61" a="1"/>
  <c r="B109" i="61" s="1"/>
  <c r="B110" i="61" a="1"/>
  <c r="B110" i="61" s="1"/>
  <c r="B111" i="61" a="1"/>
  <c r="B111" i="61" s="1"/>
  <c r="B112" i="61" a="1"/>
  <c r="B112" i="61" s="1"/>
  <c r="B113" i="61" a="1"/>
  <c r="B113" i="61" s="1"/>
  <c r="B114" i="61" a="1"/>
  <c r="B114" i="61" s="1"/>
  <c r="B115" i="61" a="1"/>
  <c r="B115" i="61" s="1"/>
  <c r="B116" i="61" a="1"/>
  <c r="B116" i="61" s="1"/>
  <c r="B117" i="61" a="1"/>
  <c r="B117" i="61" s="1"/>
  <c r="B118" i="61" a="1"/>
  <c r="B118" i="61" s="1"/>
  <c r="B119" i="61" a="1"/>
  <c r="B119" i="61" s="1"/>
  <c r="B120" i="61" a="1"/>
  <c r="B120" i="61" s="1"/>
  <c r="P52" i="53" l="1" a="1"/>
  <c r="P52" i="53" s="1"/>
  <c r="M73" i="53"/>
  <c r="F48" i="60" a="1"/>
  <c r="F48" i="60" s="1"/>
  <c r="F81" i="60" a="1"/>
  <c r="F81" i="60" s="1"/>
  <c r="F80" i="60" a="1"/>
  <c r="F80" i="60" s="1"/>
  <c r="F79" i="60" a="1"/>
  <c r="F79" i="60" s="1"/>
  <c r="F78" i="60" a="1"/>
  <c r="F78" i="60" s="1"/>
  <c r="F77" i="60" a="1"/>
  <c r="F77" i="60" s="1"/>
  <c r="F76" i="60" a="1"/>
  <c r="F76" i="60" s="1"/>
  <c r="F75" i="60" a="1"/>
  <c r="F75" i="60" s="1"/>
  <c r="F74" i="60" a="1"/>
  <c r="F74" i="60" s="1"/>
  <c r="F73" i="60" a="1"/>
  <c r="F73" i="60" s="1"/>
  <c r="F72" i="60" a="1"/>
  <c r="F72" i="60" s="1"/>
  <c r="F71" i="60" a="1"/>
  <c r="F71" i="60" s="1"/>
  <c r="F70" i="60" a="1"/>
  <c r="F70" i="60" s="1"/>
  <c r="F69" i="60" a="1"/>
  <c r="F69" i="60" s="1"/>
  <c r="F68" i="60" a="1"/>
  <c r="F68" i="60" s="1"/>
  <c r="F67" i="60" a="1"/>
  <c r="F67" i="60" s="1"/>
  <c r="F66" i="60" a="1"/>
  <c r="F66" i="60" s="1"/>
  <c r="F65" i="60" a="1"/>
  <c r="F65" i="60" s="1"/>
  <c r="F64" i="60" a="1"/>
  <c r="F64" i="60" s="1"/>
  <c r="F63" i="60" a="1"/>
  <c r="F63" i="60" s="1"/>
  <c r="F62" i="60" a="1"/>
  <c r="F62" i="60" s="1"/>
  <c r="F61" i="60" a="1"/>
  <c r="F61" i="60" s="1"/>
  <c r="F60" i="60" a="1"/>
  <c r="F60" i="60" s="1"/>
  <c r="F59" i="60" a="1"/>
  <c r="F59" i="60" s="1"/>
  <c r="F54" i="60" a="1"/>
  <c r="F54" i="60" s="1"/>
  <c r="F53" i="60" a="1"/>
  <c r="F53" i="60" s="1"/>
  <c r="F52" i="60" a="1"/>
  <c r="F52" i="60" s="1"/>
  <c r="F51" i="60" a="1"/>
  <c r="F51" i="60" s="1"/>
  <c r="F50" i="60" a="1"/>
  <c r="F50" i="60" s="1"/>
  <c r="F49" i="60" a="1"/>
  <c r="F49" i="60" s="1"/>
  <c r="M30" i="53" l="1" a="1"/>
  <c r="M30" i="53" s="1"/>
  <c r="F62" i="61"/>
  <c r="F61" i="61"/>
  <c r="F60" i="61"/>
  <c r="F59" i="61"/>
  <c r="F58" i="61"/>
  <c r="F57" i="61"/>
  <c r="F56" i="61"/>
  <c r="F55" i="61"/>
  <c r="F54" i="61"/>
  <c r="F53" i="61"/>
  <c r="F52" i="61"/>
  <c r="F51" i="61"/>
  <c r="F50" i="61"/>
  <c r="F49" i="61"/>
  <c r="F48" i="61"/>
  <c r="F47" i="61"/>
  <c r="F46" i="61"/>
  <c r="F45" i="61"/>
  <c r="S124" i="38" l="1"/>
  <c r="S108" i="38"/>
  <c r="AQ32" i="53"/>
  <c r="AQ31" i="53"/>
  <c r="M19" i="53"/>
  <c r="W110" i="53" l="1" a="1"/>
  <c r="W110" i="53" s="1"/>
  <c r="AX30" i="53" a="1"/>
  <c r="AX30" i="53" s="1"/>
  <c r="J47" i="60" l="1" a="1"/>
  <c r="J47" i="60" s="1"/>
  <c r="J48" i="60" a="1"/>
  <c r="J48" i="60" s="1"/>
  <c r="J49" i="60" a="1"/>
  <c r="J49" i="60" s="1"/>
  <c r="J50" i="60" a="1"/>
  <c r="J50" i="60" s="1"/>
  <c r="J51" i="60" a="1"/>
  <c r="J51" i="60" s="1"/>
  <c r="J52" i="60" a="1"/>
  <c r="J52" i="60" s="1"/>
  <c r="J53" i="60" a="1"/>
  <c r="J53" i="60" s="1"/>
  <c r="J54" i="60" a="1"/>
  <c r="J54" i="60" s="1"/>
  <c r="J56" i="60" a="1"/>
  <c r="J56" i="60" s="1"/>
  <c r="J57" i="60" a="1"/>
  <c r="J57" i="60" s="1"/>
  <c r="J59" i="60" a="1"/>
  <c r="J59" i="60" s="1"/>
  <c r="J60" i="60" a="1"/>
  <c r="J60" i="60" s="1"/>
  <c r="J61" i="60" a="1"/>
  <c r="J61" i="60" s="1"/>
  <c r="J62" i="60" a="1"/>
  <c r="J62" i="60" s="1"/>
  <c r="J63" i="60" a="1"/>
  <c r="J63" i="60" s="1"/>
  <c r="J64" i="60" a="1"/>
  <c r="J64" i="60" s="1"/>
  <c r="J65" i="60" a="1"/>
  <c r="J65" i="60" s="1"/>
  <c r="J66" i="60" a="1"/>
  <c r="J66" i="60" s="1"/>
  <c r="J67" i="60" a="1"/>
  <c r="J67" i="60" s="1"/>
  <c r="J68" i="60" a="1"/>
  <c r="J68" i="60" s="1"/>
  <c r="J69" i="60" a="1"/>
  <c r="J69" i="60" s="1"/>
  <c r="J70" i="60" a="1"/>
  <c r="J70" i="60" s="1"/>
  <c r="J71" i="60" a="1"/>
  <c r="J71" i="60" s="1"/>
  <c r="J72" i="60" a="1"/>
  <c r="J72" i="60" s="1"/>
  <c r="J73" i="60" a="1"/>
  <c r="J73" i="60" s="1"/>
  <c r="J74" i="60" a="1"/>
  <c r="J74" i="60" s="1"/>
  <c r="J75" i="60" a="1"/>
  <c r="J75" i="60" s="1"/>
  <c r="J76" i="60" a="1"/>
  <c r="J76" i="60" s="1"/>
  <c r="J77" i="60" a="1"/>
  <c r="J77" i="60" s="1"/>
  <c r="J78" i="60" a="1"/>
  <c r="J78" i="60" s="1"/>
  <c r="J79" i="60" a="1"/>
  <c r="J79" i="60" s="1"/>
  <c r="J80" i="60" a="1"/>
  <c r="J80" i="60" s="1"/>
  <c r="J81" i="60" a="1"/>
  <c r="J81" i="60" s="1"/>
  <c r="J82" i="60" a="1"/>
  <c r="J82" i="60" s="1"/>
  <c r="J83" i="60" a="1"/>
  <c r="J83" i="60" s="1"/>
  <c r="J84" i="60" a="1"/>
  <c r="J84" i="60" s="1"/>
  <c r="K47" i="60" a="1"/>
  <c r="K47" i="60" s="1"/>
  <c r="K48" i="60" a="1"/>
  <c r="K48" i="60" s="1"/>
  <c r="K49" i="60" a="1"/>
  <c r="K49" i="60" s="1"/>
  <c r="K50" i="60" a="1"/>
  <c r="K50" i="60" s="1"/>
  <c r="K51" i="60" a="1"/>
  <c r="K51" i="60" s="1"/>
  <c r="K52" i="60" a="1"/>
  <c r="K52" i="60" s="1"/>
  <c r="K53" i="60" a="1"/>
  <c r="K53" i="60" s="1"/>
  <c r="K54" i="60" a="1"/>
  <c r="K54" i="60" s="1"/>
  <c r="K56" i="60" a="1"/>
  <c r="K56" i="60" s="1"/>
  <c r="K57" i="60" a="1"/>
  <c r="K57" i="60" s="1"/>
  <c r="K59" i="60" a="1"/>
  <c r="K59" i="60" s="1"/>
  <c r="K60" i="60" a="1"/>
  <c r="K60" i="60" s="1"/>
  <c r="K61" i="60" a="1"/>
  <c r="K61" i="60" s="1"/>
  <c r="K62" i="60" a="1"/>
  <c r="K62" i="60" s="1"/>
  <c r="K63" i="60" a="1"/>
  <c r="K63" i="60" s="1"/>
  <c r="K64" i="60" a="1"/>
  <c r="K64" i="60" s="1"/>
  <c r="K65" i="60" a="1"/>
  <c r="K65" i="60" s="1"/>
  <c r="K66" i="60" a="1"/>
  <c r="K66" i="60" s="1"/>
  <c r="K67" i="60" a="1"/>
  <c r="K67" i="60" s="1"/>
  <c r="K68" i="60" a="1"/>
  <c r="K68" i="60" s="1"/>
  <c r="K69" i="60" a="1"/>
  <c r="K69" i="60" s="1"/>
  <c r="K70" i="60" a="1"/>
  <c r="K70" i="60" s="1"/>
  <c r="K71" i="60" a="1"/>
  <c r="K71" i="60" s="1"/>
  <c r="K72" i="60" a="1"/>
  <c r="K72" i="60" s="1"/>
  <c r="K73" i="60" a="1"/>
  <c r="K73" i="60" s="1"/>
  <c r="K74" i="60" a="1"/>
  <c r="K74" i="60" s="1"/>
  <c r="K75" i="60" a="1"/>
  <c r="K75" i="60" s="1"/>
  <c r="K76" i="60" a="1"/>
  <c r="K76" i="60" s="1"/>
  <c r="K77" i="60" a="1"/>
  <c r="K77" i="60" s="1"/>
  <c r="K78" i="60" a="1"/>
  <c r="K78" i="60" s="1"/>
  <c r="K79" i="60" a="1"/>
  <c r="K79" i="60" s="1"/>
  <c r="K80" i="60" a="1"/>
  <c r="K80" i="60" s="1"/>
  <c r="K81" i="60" a="1"/>
  <c r="K81" i="60" s="1"/>
  <c r="K82" i="60" a="1"/>
  <c r="K82" i="60" s="1"/>
  <c r="K83" i="60" a="1"/>
  <c r="K83" i="60" s="1"/>
  <c r="K84" i="60" a="1"/>
  <c r="K84" i="60" s="1"/>
  <c r="I48" i="60" a="1"/>
  <c r="I48" i="60" s="1"/>
  <c r="I49" i="60" a="1"/>
  <c r="I49" i="60" s="1"/>
  <c r="I50" i="60" a="1"/>
  <c r="I50" i="60" s="1"/>
  <c r="I51" i="60" a="1"/>
  <c r="I51" i="60" s="1"/>
  <c r="I52" i="60" a="1"/>
  <c r="I52" i="60" s="1"/>
  <c r="I53" i="60" a="1"/>
  <c r="I53" i="60" s="1"/>
  <c r="I54" i="60" a="1"/>
  <c r="I54" i="60" s="1"/>
  <c r="I56" i="60" a="1"/>
  <c r="I56" i="60" s="1"/>
  <c r="I57" i="60" a="1"/>
  <c r="I57" i="60" s="1"/>
  <c r="I59" i="60" a="1"/>
  <c r="I59" i="60" s="1"/>
  <c r="I60" i="60" a="1"/>
  <c r="I60" i="60" s="1"/>
  <c r="I61" i="60" a="1"/>
  <c r="I61" i="60" s="1"/>
  <c r="I62" i="60" a="1"/>
  <c r="I62" i="60" s="1"/>
  <c r="I63" i="60" a="1"/>
  <c r="I63" i="60" s="1"/>
  <c r="I64" i="60" a="1"/>
  <c r="I64" i="60" s="1"/>
  <c r="I65" i="60" a="1"/>
  <c r="I65" i="60" s="1"/>
  <c r="I66" i="60" a="1"/>
  <c r="I66" i="60" s="1"/>
  <c r="I67" i="60" a="1"/>
  <c r="I67" i="60" s="1"/>
  <c r="I68" i="60" a="1"/>
  <c r="I68" i="60" s="1"/>
  <c r="I69" i="60" a="1"/>
  <c r="I69" i="60" s="1"/>
  <c r="I70" i="60" a="1"/>
  <c r="I70" i="60" s="1"/>
  <c r="I71" i="60" a="1"/>
  <c r="I71" i="60" s="1"/>
  <c r="I72" i="60" a="1"/>
  <c r="I72" i="60" s="1"/>
  <c r="I73" i="60" a="1"/>
  <c r="I73" i="60" s="1"/>
  <c r="I74" i="60" a="1"/>
  <c r="I74" i="60" s="1"/>
  <c r="I75" i="60" a="1"/>
  <c r="I75" i="60" s="1"/>
  <c r="I76" i="60" a="1"/>
  <c r="I76" i="60" s="1"/>
  <c r="I77" i="60" a="1"/>
  <c r="I77" i="60" s="1"/>
  <c r="I78" i="60" a="1"/>
  <c r="I78" i="60" s="1"/>
  <c r="I79" i="60" a="1"/>
  <c r="I79" i="60" s="1"/>
  <c r="I80" i="60" a="1"/>
  <c r="I80" i="60" s="1"/>
  <c r="I81" i="60" a="1"/>
  <c r="I81" i="60" s="1"/>
  <c r="I82" i="60" a="1"/>
  <c r="I82" i="60" s="1"/>
  <c r="I83" i="60" a="1"/>
  <c r="I83" i="60" s="1"/>
  <c r="I84" i="60" a="1"/>
  <c r="I84" i="60" s="1"/>
  <c r="I47" i="60" a="1"/>
  <c r="I47" i="60" s="1"/>
  <c r="M276" i="40" l="1" a="1"/>
  <c r="M276" i="40" s="1"/>
  <c r="M277" i="40" a="1"/>
  <c r="M277" i="40" s="1"/>
  <c r="M278" i="40" a="1"/>
  <c r="M278" i="40" s="1"/>
  <c r="M279" i="40" a="1"/>
  <c r="M279" i="40" s="1"/>
  <c r="M280" i="40" a="1"/>
  <c r="M280" i="40" s="1"/>
  <c r="M281" i="40" a="1"/>
  <c r="M281" i="40" s="1"/>
  <c r="M282" i="40" a="1"/>
  <c r="M282" i="40" s="1"/>
  <c r="M283" i="40" a="1"/>
  <c r="M283" i="40" s="1"/>
  <c r="M284" i="40" a="1"/>
  <c r="M284" i="40" s="1"/>
  <c r="M285" i="40" a="1"/>
  <c r="M285" i="40" s="1"/>
  <c r="M286" i="40" a="1"/>
  <c r="M286" i="40" s="1"/>
  <c r="M287" i="40" a="1"/>
  <c r="M287" i="40" s="1"/>
  <c r="M288" i="40" a="1"/>
  <c r="M288" i="40" s="1"/>
  <c r="M289" i="40" a="1"/>
  <c r="M289" i="40" s="1"/>
  <c r="M290" i="40" a="1"/>
  <c r="M290" i="40" s="1"/>
  <c r="M291" i="40" a="1"/>
  <c r="M291" i="40" s="1"/>
  <c r="M292" i="40" a="1"/>
  <c r="M292" i="40" s="1"/>
  <c r="M293" i="40" a="1"/>
  <c r="M293" i="40" s="1"/>
  <c r="M294" i="40" a="1"/>
  <c r="M294" i="40" s="1"/>
  <c r="M295" i="40" a="1"/>
  <c r="M295" i="40" s="1"/>
  <c r="M296" i="40" a="1"/>
  <c r="M296" i="40" s="1"/>
  <c r="M297" i="40" a="1"/>
  <c r="M297" i="40" s="1"/>
  <c r="M298" i="40" a="1"/>
  <c r="M298" i="40" s="1"/>
  <c r="M299" i="40" a="1"/>
  <c r="M299" i="40" s="1"/>
  <c r="M300" i="40" a="1"/>
  <c r="M300" i="40" s="1"/>
  <c r="M301" i="40" a="1"/>
  <c r="M301" i="40" s="1"/>
  <c r="M302" i="40" a="1"/>
  <c r="M302" i="40" s="1"/>
  <c r="M303" i="40" a="1"/>
  <c r="M303" i="40" s="1"/>
  <c r="M304" i="40" a="1"/>
  <c r="M304" i="40" s="1"/>
  <c r="M305" i="40" a="1"/>
  <c r="M305" i="40" s="1"/>
  <c r="M306" i="40" a="1"/>
  <c r="M306" i="40" s="1"/>
  <c r="M307" i="40" a="1"/>
  <c r="M307" i="40" s="1"/>
  <c r="M308" i="40" a="1"/>
  <c r="M308" i="40" s="1"/>
  <c r="M309" i="40" a="1"/>
  <c r="M309" i="40" s="1"/>
  <c r="M310" i="40" a="1"/>
  <c r="M310" i="40" s="1"/>
  <c r="M311" i="40" a="1"/>
  <c r="M311" i="40" s="1"/>
  <c r="M312" i="40" a="1"/>
  <c r="M312" i="40" s="1"/>
  <c r="M313" i="40" a="1"/>
  <c r="M313" i="40" s="1"/>
  <c r="M314" i="40" a="1"/>
  <c r="M314" i="40" s="1"/>
  <c r="M315" i="40" a="1"/>
  <c r="M315" i="40" s="1"/>
  <c r="M316" i="40" a="1"/>
  <c r="M316" i="40" s="1"/>
  <c r="M317" i="40" a="1"/>
  <c r="M317" i="40" s="1"/>
  <c r="M318" i="40" a="1"/>
  <c r="M318" i="40" s="1"/>
  <c r="M319" i="40" a="1"/>
  <c r="M319" i="40" s="1"/>
  <c r="M320" i="40" a="1"/>
  <c r="M320" i="40" s="1"/>
  <c r="M321" i="40" a="1"/>
  <c r="M321" i="40" s="1"/>
  <c r="M322" i="40" a="1"/>
  <c r="M322" i="40" s="1"/>
  <c r="M323" i="40" a="1"/>
  <c r="M323" i="40" s="1"/>
  <c r="M324" i="40" a="1"/>
  <c r="M324" i="40" s="1"/>
  <c r="M325" i="40" a="1"/>
  <c r="M325" i="40" s="1"/>
  <c r="M326" i="40" a="1"/>
  <c r="M326" i="40" s="1"/>
  <c r="M327" i="40" a="1"/>
  <c r="M327" i="40" s="1"/>
  <c r="O112" i="53"/>
  <c r="O111" i="53"/>
  <c r="O107" i="53"/>
  <c r="O106" i="53"/>
  <c r="H276" i="40" a="1"/>
  <c r="H276" i="40" s="1"/>
  <c r="H277" i="40" a="1"/>
  <c r="H277" i="40" s="1"/>
  <c r="H278" i="40" a="1"/>
  <c r="H278" i="40" s="1"/>
  <c r="H279" i="40" a="1"/>
  <c r="H279" i="40" s="1"/>
  <c r="H280" i="40" a="1"/>
  <c r="H280" i="40" s="1"/>
  <c r="H281" i="40" a="1"/>
  <c r="H281" i="40" s="1"/>
  <c r="H282" i="40" a="1"/>
  <c r="H282" i="40" s="1"/>
  <c r="H283" i="40" a="1"/>
  <c r="H283" i="40" s="1"/>
  <c r="H284" i="40" a="1"/>
  <c r="H284" i="40" s="1"/>
  <c r="H285" i="40" a="1"/>
  <c r="H285" i="40" s="1"/>
  <c r="H286" i="40" a="1"/>
  <c r="H286" i="40" s="1"/>
  <c r="H287" i="40" a="1"/>
  <c r="H287" i="40" s="1"/>
  <c r="H288" i="40" a="1"/>
  <c r="H288" i="40" s="1"/>
  <c r="H289" i="40" a="1"/>
  <c r="H289" i="40" s="1"/>
  <c r="H290" i="40" a="1"/>
  <c r="H290" i="40" s="1"/>
  <c r="H291" i="40" a="1"/>
  <c r="H291" i="40" s="1"/>
  <c r="H292" i="40" a="1"/>
  <c r="H292" i="40" s="1"/>
  <c r="H293" i="40" a="1"/>
  <c r="H293" i="40" s="1"/>
  <c r="H294" i="40" a="1"/>
  <c r="H294" i="40" s="1"/>
  <c r="H295" i="40" a="1"/>
  <c r="H295" i="40" s="1"/>
  <c r="H296" i="40" a="1"/>
  <c r="H296" i="40" s="1"/>
  <c r="H297" i="40" a="1"/>
  <c r="H297" i="40" s="1"/>
  <c r="H298" i="40" a="1"/>
  <c r="H298" i="40" s="1"/>
  <c r="H299" i="40" a="1"/>
  <c r="H299" i="40" s="1"/>
  <c r="H300" i="40" a="1"/>
  <c r="H300" i="40" s="1"/>
  <c r="H301" i="40" a="1"/>
  <c r="H301" i="40" s="1"/>
  <c r="H302" i="40" a="1"/>
  <c r="H302" i="40" s="1"/>
  <c r="H303" i="40" a="1"/>
  <c r="H303" i="40" s="1"/>
  <c r="H304" i="40" a="1"/>
  <c r="H304" i="40" s="1"/>
  <c r="H305" i="40" a="1"/>
  <c r="H305" i="40" s="1"/>
  <c r="H306" i="40" a="1"/>
  <c r="H306" i="40" s="1"/>
  <c r="H307" i="40" a="1"/>
  <c r="H307" i="40" s="1"/>
  <c r="H308" i="40" a="1"/>
  <c r="H308" i="40" s="1"/>
  <c r="H309" i="40" a="1"/>
  <c r="H309" i="40" s="1"/>
  <c r="H310" i="40" a="1"/>
  <c r="H310" i="40" s="1"/>
  <c r="H311" i="40" a="1"/>
  <c r="H311" i="40" s="1"/>
  <c r="H312" i="40" a="1"/>
  <c r="H312" i="40" s="1"/>
  <c r="H313" i="40" a="1"/>
  <c r="H313" i="40" s="1"/>
  <c r="H314" i="40" a="1"/>
  <c r="H314" i="40" s="1"/>
  <c r="H315" i="40" a="1"/>
  <c r="H315" i="40" s="1"/>
  <c r="H316" i="40" a="1"/>
  <c r="H316" i="40" s="1"/>
  <c r="H317" i="40" a="1"/>
  <c r="H317" i="40" s="1"/>
  <c r="H318" i="40" a="1"/>
  <c r="H318" i="40" s="1"/>
  <c r="H319" i="40" a="1"/>
  <c r="H319" i="40" s="1"/>
  <c r="H320" i="40" a="1"/>
  <c r="H320" i="40" s="1"/>
  <c r="H321" i="40" a="1"/>
  <c r="H321" i="40" s="1"/>
  <c r="H322" i="40" a="1"/>
  <c r="H322" i="40" s="1"/>
  <c r="H323" i="40" a="1"/>
  <c r="H323" i="40" s="1"/>
  <c r="H324" i="40" a="1"/>
  <c r="H324" i="40" s="1"/>
  <c r="H325" i="40" a="1"/>
  <c r="H325" i="40" s="1"/>
  <c r="H326" i="40" a="1"/>
  <c r="H326" i="40" s="1"/>
  <c r="H327" i="40" a="1"/>
  <c r="H327" i="40" s="1"/>
  <c r="I276" i="40" a="1"/>
  <c r="I276" i="40" s="1"/>
  <c r="I277" i="40" a="1"/>
  <c r="I277" i="40" s="1"/>
  <c r="I278" i="40" a="1"/>
  <c r="I278" i="40" s="1"/>
  <c r="I279" i="40" a="1"/>
  <c r="I279" i="40" s="1"/>
  <c r="I280" i="40" a="1"/>
  <c r="I280" i="40" s="1"/>
  <c r="I281" i="40" a="1"/>
  <c r="I281" i="40" s="1"/>
  <c r="I282" i="40" a="1"/>
  <c r="I282" i="40" s="1"/>
  <c r="I283" i="40" a="1"/>
  <c r="I283" i="40" s="1"/>
  <c r="I284" i="40" a="1"/>
  <c r="I284" i="40" s="1"/>
  <c r="I285" i="40" a="1"/>
  <c r="I285" i="40" s="1"/>
  <c r="I286" i="40" a="1"/>
  <c r="I286" i="40" s="1"/>
  <c r="I287" i="40" a="1"/>
  <c r="I287" i="40" s="1"/>
  <c r="I288" i="40" a="1"/>
  <c r="I288" i="40" s="1"/>
  <c r="I289" i="40" a="1"/>
  <c r="I289" i="40" s="1"/>
  <c r="I290" i="40" a="1"/>
  <c r="I290" i="40" s="1"/>
  <c r="I291" i="40" a="1"/>
  <c r="I291" i="40" s="1"/>
  <c r="I292" i="40" a="1"/>
  <c r="I292" i="40" s="1"/>
  <c r="I293" i="40" a="1"/>
  <c r="I293" i="40" s="1"/>
  <c r="I294" i="40" a="1"/>
  <c r="I294" i="40" s="1"/>
  <c r="I295" i="40" a="1"/>
  <c r="I295" i="40" s="1"/>
  <c r="I296" i="40" a="1"/>
  <c r="I296" i="40" s="1"/>
  <c r="I297" i="40" a="1"/>
  <c r="I297" i="40" s="1"/>
  <c r="I298" i="40" a="1"/>
  <c r="I298" i="40" s="1"/>
  <c r="I299" i="40" a="1"/>
  <c r="I299" i="40" s="1"/>
  <c r="I300" i="40" a="1"/>
  <c r="I300" i="40" s="1"/>
  <c r="I301" i="40" a="1"/>
  <c r="I301" i="40" s="1"/>
  <c r="I302" i="40" a="1"/>
  <c r="I302" i="40" s="1"/>
  <c r="I303" i="40" a="1"/>
  <c r="I303" i="40" s="1"/>
  <c r="I304" i="40" a="1"/>
  <c r="I304" i="40" s="1"/>
  <c r="I305" i="40" a="1"/>
  <c r="I305" i="40" s="1"/>
  <c r="I306" i="40" a="1"/>
  <c r="I306" i="40" s="1"/>
  <c r="I307" i="40" a="1"/>
  <c r="I307" i="40" s="1"/>
  <c r="I308" i="40" a="1"/>
  <c r="I308" i="40" s="1"/>
  <c r="I309" i="40" a="1"/>
  <c r="I309" i="40" s="1"/>
  <c r="I310" i="40" a="1"/>
  <c r="I310" i="40" s="1"/>
  <c r="I311" i="40" a="1"/>
  <c r="I311" i="40" s="1"/>
  <c r="I312" i="40" a="1"/>
  <c r="I312" i="40" s="1"/>
  <c r="I313" i="40" a="1"/>
  <c r="I313" i="40" s="1"/>
  <c r="I314" i="40" a="1"/>
  <c r="I314" i="40" s="1"/>
  <c r="I315" i="40" a="1"/>
  <c r="I315" i="40" s="1"/>
  <c r="I316" i="40" a="1"/>
  <c r="I316" i="40" s="1"/>
  <c r="I317" i="40" a="1"/>
  <c r="I317" i="40" s="1"/>
  <c r="I318" i="40" a="1"/>
  <c r="I318" i="40" s="1"/>
  <c r="I319" i="40" a="1"/>
  <c r="I319" i="40" s="1"/>
  <c r="I320" i="40" a="1"/>
  <c r="I320" i="40" s="1"/>
  <c r="I321" i="40" a="1"/>
  <c r="I321" i="40" s="1"/>
  <c r="I322" i="40" a="1"/>
  <c r="I322" i="40" s="1"/>
  <c r="I323" i="40" a="1"/>
  <c r="I323" i="40" s="1"/>
  <c r="I324" i="40" a="1"/>
  <c r="I324" i="40" s="1"/>
  <c r="I325" i="40" a="1"/>
  <c r="I325" i="40" s="1"/>
  <c r="I326" i="40" a="1"/>
  <c r="I326" i="40" s="1"/>
  <c r="I327" i="40" a="1"/>
  <c r="I327" i="40" s="1"/>
  <c r="O108" i="53" l="1"/>
  <c r="O105" i="53"/>
  <c r="K113" i="53" l="1"/>
  <c r="X113" i="53" s="1" a="1"/>
  <c r="X113" i="53" s="1"/>
  <c r="K114" i="53"/>
  <c r="X114" i="53" s="1" a="1"/>
  <c r="X114" i="53" s="1"/>
  <c r="N316" i="40" l="1"/>
  <c r="O316" i="40" s="1"/>
  <c r="N325" i="40"/>
  <c r="O325" i="40" s="1"/>
  <c r="N309" i="40"/>
  <c r="O309" i="40" s="1"/>
  <c r="N306" i="40"/>
  <c r="O306" i="40" s="1"/>
  <c r="N277" i="40"/>
  <c r="O277" i="40" s="1"/>
  <c r="N300" i="40"/>
  <c r="O300" i="40" s="1"/>
  <c r="N291" i="40"/>
  <c r="O291" i="40" s="1"/>
  <c r="N288" i="40"/>
  <c r="O288" i="40" s="1"/>
  <c r="N313" i="40"/>
  <c r="O313" i="40" s="1"/>
  <c r="N280" i="40"/>
  <c r="O280" i="40" s="1"/>
  <c r="N283" i="40"/>
  <c r="O283" i="40" s="1"/>
  <c r="N301" i="40"/>
  <c r="O301" i="40" s="1"/>
  <c r="N276" i="40"/>
  <c r="O276" i="40" s="1"/>
  <c r="N321" i="40"/>
  <c r="O321" i="40" s="1"/>
  <c r="N324" i="40"/>
  <c r="O324" i="40" s="1"/>
  <c r="N282" i="40"/>
  <c r="O282" i="40" s="1"/>
  <c r="N279" i="40"/>
  <c r="O279" i="40" s="1"/>
  <c r="N305" i="40"/>
  <c r="O305" i="40" s="1"/>
  <c r="N281" i="40"/>
  <c r="O281" i="40" s="1"/>
  <c r="N314" i="40"/>
  <c r="O314" i="40" s="1"/>
  <c r="N292" i="40"/>
  <c r="O292" i="40" s="1"/>
  <c r="N318" i="40"/>
  <c r="O318" i="40" s="1"/>
  <c r="N287" i="40"/>
  <c r="O287" i="40" s="1"/>
  <c r="N323" i="40"/>
  <c r="O323" i="40" s="1"/>
  <c r="N304" i="40"/>
  <c r="O304" i="40" s="1"/>
  <c r="N278" i="40"/>
  <c r="O278" i="40" s="1"/>
  <c r="N296" i="40"/>
  <c r="O296" i="40" s="1"/>
  <c r="N320" i="40"/>
  <c r="O320" i="40" s="1"/>
  <c r="N319" i="40"/>
  <c r="O319" i="40" s="1"/>
  <c r="N315" i="40"/>
  <c r="O315" i="40" s="1"/>
  <c r="N299" i="40"/>
  <c r="O299" i="40" s="1"/>
  <c r="N286" i="40"/>
  <c r="O286" i="40" s="1"/>
  <c r="N311" i="40"/>
  <c r="O311" i="40" s="1"/>
  <c r="N322" i="40"/>
  <c r="O322" i="40" s="1"/>
  <c r="N297" i="40"/>
  <c r="O297" i="40" s="1"/>
  <c r="N317" i="40"/>
  <c r="O317" i="40" s="1"/>
  <c r="N293" i="40"/>
  <c r="O293" i="40" s="1"/>
  <c r="N326" i="40"/>
  <c r="O326" i="40" s="1"/>
  <c r="N312" i="40"/>
  <c r="O312" i="40" s="1"/>
  <c r="N298" i="40"/>
  <c r="O298" i="40" s="1"/>
  <c r="N303" i="40"/>
  <c r="O303" i="40" s="1"/>
  <c r="N294" i="40"/>
  <c r="O294" i="40" s="1"/>
  <c r="N327" i="40"/>
  <c r="O327" i="40" s="1"/>
  <c r="N308" i="40"/>
  <c r="O308" i="40" s="1"/>
  <c r="N290" i="40"/>
  <c r="O290" i="40" s="1"/>
  <c r="N284" i="40"/>
  <c r="O284" i="40" s="1"/>
  <c r="N307" i="40"/>
  <c r="O307" i="40" s="1"/>
  <c r="N285" i="40"/>
  <c r="O285" i="40" s="1"/>
  <c r="N310" i="40"/>
  <c r="O310" i="40" s="1"/>
  <c r="N289" i="40"/>
  <c r="O289" i="40" s="1"/>
  <c r="N302" i="40"/>
  <c r="O302" i="40" s="1"/>
  <c r="N295" i="40"/>
  <c r="O295" i="40" s="1"/>
  <c r="N84" i="41"/>
  <c r="O329" i="40" l="1"/>
  <c r="J304" i="38" a="1"/>
  <c r="J304" i="38" s="1"/>
  <c r="J303" i="38" a="1"/>
  <c r="J303" i="38" s="1"/>
  <c r="J302" i="38" a="1"/>
  <c r="J302" i="38" s="1"/>
  <c r="P94" i="38" a="1"/>
  <c r="P94" i="38" s="1"/>
  <c r="P70" i="38" a="1"/>
  <c r="P70" i="38" s="1"/>
  <c r="P47" i="38" a="1"/>
  <c r="P47" i="38" s="1"/>
  <c r="P27" i="38" a="1"/>
  <c r="P27" i="38" s="1"/>
  <c r="P11" i="38" a="1"/>
  <c r="P11" i="38" s="1"/>
  <c r="J114" i="37" a="1"/>
  <c r="J114" i="37" s="1"/>
  <c r="P73" i="37" a="1"/>
  <c r="P73" i="37" s="1"/>
  <c r="P32" i="37" a="1"/>
  <c r="P32" i="37" s="1"/>
  <c r="M53" i="40" l="1" a="1"/>
  <c r="M53" i="40" s="1"/>
  <c r="M52" i="40" a="1"/>
  <c r="M52" i="40" s="1"/>
  <c r="M51" i="40" a="1"/>
  <c r="M51" i="40" s="1"/>
  <c r="M50" i="40" a="1"/>
  <c r="M50" i="40" s="1"/>
  <c r="M49" i="40" a="1"/>
  <c r="M49" i="40" s="1"/>
  <c r="M48" i="40" a="1"/>
  <c r="M48" i="40" s="1"/>
  <c r="M47" i="40" a="1"/>
  <c r="M47" i="40" s="1"/>
  <c r="M46" i="40" a="1"/>
  <c r="M46" i="40" s="1"/>
  <c r="M45" i="40" a="1"/>
  <c r="M45" i="40" s="1"/>
  <c r="M44" i="40" a="1"/>
  <c r="M44" i="40" s="1"/>
  <c r="M43" i="40" a="1"/>
  <c r="M43" i="40" s="1"/>
  <c r="M42" i="40" a="1"/>
  <c r="M42" i="40" s="1"/>
  <c r="M41" i="40" a="1"/>
  <c r="M41" i="40" s="1"/>
  <c r="M40" i="40" a="1"/>
  <c r="M40" i="40" s="1"/>
  <c r="I3" i="40" a="1"/>
  <c r="I3" i="40" s="1"/>
  <c r="I4" i="40" a="1"/>
  <c r="I4" i="40" s="1"/>
  <c r="I5" i="40" a="1"/>
  <c r="I5" i="40" s="1"/>
  <c r="I6" i="40" a="1"/>
  <c r="I6" i="40" s="1"/>
  <c r="I7" i="40" a="1"/>
  <c r="I7" i="40" s="1"/>
  <c r="I8" i="40" a="1"/>
  <c r="I8" i="40" s="1"/>
  <c r="I9" i="40" a="1"/>
  <c r="I9" i="40" s="1"/>
  <c r="I10" i="40" a="1"/>
  <c r="I10" i="40" s="1"/>
  <c r="I11" i="40" a="1"/>
  <c r="I11" i="40" s="1"/>
  <c r="I12" i="40" a="1"/>
  <c r="I12" i="40" s="1"/>
  <c r="I13" i="40" a="1"/>
  <c r="I13" i="40" s="1"/>
  <c r="I14" i="40" a="1"/>
  <c r="I14" i="40" s="1"/>
  <c r="I15" i="40" a="1"/>
  <c r="I15" i="40" s="1"/>
  <c r="I16" i="40" a="1"/>
  <c r="I16" i="40" s="1"/>
  <c r="I17" i="40" a="1"/>
  <c r="I17" i="40" s="1"/>
  <c r="I18" i="40" a="1"/>
  <c r="I18" i="40" s="1"/>
  <c r="I19" i="40" a="1"/>
  <c r="I19" i="40" s="1"/>
  <c r="I20" i="40" a="1"/>
  <c r="I20" i="40" s="1"/>
  <c r="I21" i="40" a="1"/>
  <c r="I21" i="40" s="1"/>
  <c r="I22" i="40" a="1"/>
  <c r="I22" i="40" s="1"/>
  <c r="I23" i="40" a="1"/>
  <c r="I23" i="40" s="1"/>
  <c r="I24" i="40" a="1"/>
  <c r="I24" i="40" s="1"/>
  <c r="I25" i="40" a="1"/>
  <c r="I25" i="40" s="1"/>
  <c r="I26" i="40" a="1"/>
  <c r="I26" i="40" s="1"/>
  <c r="I27" i="40" a="1"/>
  <c r="I27" i="40" s="1"/>
  <c r="I28" i="40" a="1"/>
  <c r="I28" i="40" s="1"/>
  <c r="I29" i="40" a="1"/>
  <c r="I29" i="40" s="1"/>
  <c r="I30" i="40" a="1"/>
  <c r="I30" i="40" s="1"/>
  <c r="I31" i="40" a="1"/>
  <c r="I31" i="40" s="1"/>
  <c r="I32" i="40" a="1"/>
  <c r="I32" i="40" s="1"/>
  <c r="I33" i="40" a="1"/>
  <c r="I33" i="40" s="1"/>
  <c r="I34" i="40" a="1"/>
  <c r="I34" i="40" s="1"/>
  <c r="I35" i="40" a="1"/>
  <c r="I35" i="40" s="1"/>
  <c r="I36" i="40" a="1"/>
  <c r="I36" i="40" s="1"/>
  <c r="I37" i="40" a="1"/>
  <c r="I37" i="40" s="1"/>
  <c r="I38" i="40" a="1"/>
  <c r="I38" i="40" s="1"/>
  <c r="I39" i="40" a="1"/>
  <c r="I39" i="40" s="1"/>
  <c r="I40" i="40" a="1"/>
  <c r="I40" i="40" s="1"/>
  <c r="I41" i="40" a="1"/>
  <c r="I41" i="40" s="1"/>
  <c r="I42" i="40" a="1"/>
  <c r="I42" i="40" s="1"/>
  <c r="I43" i="40" a="1"/>
  <c r="I43" i="40" s="1"/>
  <c r="I44" i="40" a="1"/>
  <c r="I44" i="40" s="1"/>
  <c r="I45" i="40" a="1"/>
  <c r="I45" i="40" s="1"/>
  <c r="I46" i="40" a="1"/>
  <c r="I46" i="40" s="1"/>
  <c r="I47" i="40" a="1"/>
  <c r="I47" i="40" s="1"/>
  <c r="I48" i="40" a="1"/>
  <c r="I48" i="40" s="1"/>
  <c r="I49" i="40" a="1"/>
  <c r="I49" i="40" s="1"/>
  <c r="I50" i="40" a="1"/>
  <c r="I50" i="40" s="1"/>
  <c r="I51" i="40" a="1"/>
  <c r="I51" i="40" s="1"/>
  <c r="I52" i="40" a="1"/>
  <c r="I52" i="40" s="1"/>
  <c r="I53" i="40" a="1"/>
  <c r="I53" i="40" s="1"/>
  <c r="I55" i="40" a="1"/>
  <c r="I55" i="40" s="1"/>
  <c r="I56" i="40" a="1"/>
  <c r="I56" i="40" s="1"/>
  <c r="I57" i="40" a="1"/>
  <c r="I57" i="40" s="1"/>
  <c r="I58" i="40" a="1"/>
  <c r="I58" i="40" s="1"/>
  <c r="I59" i="40" a="1"/>
  <c r="I59" i="40" s="1"/>
  <c r="I60" i="40" a="1"/>
  <c r="I60" i="40" s="1"/>
  <c r="H3" i="40" l="1" a="1"/>
  <c r="H3" i="40" s="1"/>
  <c r="H4" i="40" a="1"/>
  <c r="H4" i="40" s="1"/>
  <c r="H5" i="40" a="1"/>
  <c r="H5" i="40" s="1"/>
  <c r="H6" i="40" a="1"/>
  <c r="H6" i="40" s="1"/>
  <c r="H7" i="40" a="1"/>
  <c r="H7" i="40" s="1"/>
  <c r="H8" i="40" a="1"/>
  <c r="H8" i="40" s="1"/>
  <c r="H9" i="40" a="1"/>
  <c r="H9" i="40" s="1"/>
  <c r="H10" i="40" a="1"/>
  <c r="H10" i="40" s="1"/>
  <c r="H11" i="40" a="1"/>
  <c r="H11" i="40" s="1"/>
  <c r="H12" i="40" a="1"/>
  <c r="H12" i="40" s="1"/>
  <c r="H13" i="40" a="1"/>
  <c r="H13" i="40" s="1"/>
  <c r="H14" i="40" a="1"/>
  <c r="H14" i="40" s="1"/>
  <c r="H15" i="40" a="1"/>
  <c r="H15" i="40" s="1"/>
  <c r="H16" i="40" a="1"/>
  <c r="H16" i="40" s="1"/>
  <c r="H17" i="40" a="1"/>
  <c r="H17" i="40" s="1"/>
  <c r="H18" i="40" a="1"/>
  <c r="H18" i="40" s="1"/>
  <c r="H19" i="40" a="1"/>
  <c r="H19" i="40" s="1"/>
  <c r="H20" i="40" a="1"/>
  <c r="H20" i="40" s="1"/>
  <c r="H21" i="40" a="1"/>
  <c r="H21" i="40" s="1"/>
  <c r="H22" i="40" a="1"/>
  <c r="H22" i="40" s="1"/>
  <c r="H23" i="40" a="1"/>
  <c r="H23" i="40" s="1"/>
  <c r="H24" i="40" a="1"/>
  <c r="H24" i="40" s="1"/>
  <c r="H25" i="40" a="1"/>
  <c r="H25" i="40" s="1"/>
  <c r="H26" i="40" a="1"/>
  <c r="H26" i="40" s="1"/>
  <c r="H27" i="40" a="1"/>
  <c r="H27" i="40" s="1"/>
  <c r="H28" i="40" a="1"/>
  <c r="H28" i="40" s="1"/>
  <c r="H29" i="40" a="1"/>
  <c r="H29" i="40" s="1"/>
  <c r="H30" i="40" a="1"/>
  <c r="H30" i="40" s="1"/>
  <c r="H31" i="40" a="1"/>
  <c r="H31" i="40" s="1"/>
  <c r="H32" i="40" a="1"/>
  <c r="H32" i="40" s="1"/>
  <c r="H33" i="40" a="1"/>
  <c r="H33" i="40" s="1"/>
  <c r="H34" i="40" a="1"/>
  <c r="H34" i="40" s="1"/>
  <c r="H35" i="40" a="1"/>
  <c r="H35" i="40" s="1"/>
  <c r="H36" i="40" a="1"/>
  <c r="H36" i="40" s="1"/>
  <c r="H37" i="40" a="1"/>
  <c r="H37" i="40" s="1"/>
  <c r="H38" i="40" a="1"/>
  <c r="H38" i="40" s="1"/>
  <c r="H39" i="40" a="1"/>
  <c r="H39" i="40" s="1"/>
  <c r="H40" i="40" a="1"/>
  <c r="H40" i="40" s="1"/>
  <c r="H41" i="40" a="1"/>
  <c r="H41" i="40" s="1"/>
  <c r="H42" i="40" a="1"/>
  <c r="H42" i="40" s="1"/>
  <c r="H43" i="40" a="1"/>
  <c r="H43" i="40" s="1"/>
  <c r="H44" i="40" a="1"/>
  <c r="H44" i="40" s="1"/>
  <c r="H45" i="40" a="1"/>
  <c r="H45" i="40" s="1"/>
  <c r="H46" i="40" a="1"/>
  <c r="H46" i="40" s="1"/>
  <c r="H47" i="40" a="1"/>
  <c r="H47" i="40" s="1"/>
  <c r="H48" i="40" a="1"/>
  <c r="H48" i="40" s="1"/>
  <c r="H49" i="40" a="1"/>
  <c r="H49" i="40" s="1"/>
  <c r="H50" i="40" a="1"/>
  <c r="H50" i="40" s="1"/>
  <c r="H51" i="40" a="1"/>
  <c r="H51" i="40" s="1"/>
  <c r="H52" i="40" a="1"/>
  <c r="H52" i="40" s="1"/>
  <c r="H53" i="40" a="1"/>
  <c r="H53" i="40" s="1"/>
  <c r="H55" i="40" a="1"/>
  <c r="H55" i="40" s="1"/>
  <c r="H56" i="40" a="1"/>
  <c r="H56" i="40" s="1"/>
  <c r="H57" i="40" a="1"/>
  <c r="H57" i="40" s="1"/>
  <c r="H58" i="40" a="1"/>
  <c r="H58" i="40" s="1"/>
  <c r="H59" i="40" a="1"/>
  <c r="H59" i="40" s="1"/>
  <c r="H60" i="40" a="1"/>
  <c r="H60" i="40" s="1"/>
  <c r="G3" i="40" a="1"/>
  <c r="G3" i="40" s="1"/>
  <c r="G4" i="40" a="1"/>
  <c r="G4" i="40" s="1"/>
  <c r="G5" i="40" a="1"/>
  <c r="G5" i="40" s="1"/>
  <c r="G6" i="40" a="1"/>
  <c r="G6" i="40" s="1"/>
  <c r="G7" i="40" a="1"/>
  <c r="G7" i="40" s="1"/>
  <c r="G8" i="40" a="1"/>
  <c r="G8" i="40" s="1"/>
  <c r="G9" i="40" a="1"/>
  <c r="G9" i="40" s="1"/>
  <c r="G10" i="40" a="1"/>
  <c r="G10" i="40" s="1"/>
  <c r="G11" i="40" a="1"/>
  <c r="G11" i="40" s="1"/>
  <c r="G12" i="40" a="1"/>
  <c r="G12" i="40" s="1"/>
  <c r="G13" i="40" a="1"/>
  <c r="G13" i="40" s="1"/>
  <c r="G14" i="40" a="1"/>
  <c r="G14" i="40" s="1"/>
  <c r="G15" i="40" a="1"/>
  <c r="G15" i="40" s="1"/>
  <c r="G16" i="40" a="1"/>
  <c r="G16" i="40" s="1"/>
  <c r="G17" i="40" a="1"/>
  <c r="G17" i="40" s="1"/>
  <c r="G18" i="40" a="1"/>
  <c r="G18" i="40" s="1"/>
  <c r="G19" i="40" a="1"/>
  <c r="G19" i="40" s="1"/>
  <c r="G20" i="40" a="1"/>
  <c r="G20" i="40" s="1"/>
  <c r="G21" i="40" a="1"/>
  <c r="G21" i="40" s="1"/>
  <c r="G22" i="40" a="1"/>
  <c r="G22" i="40" s="1"/>
  <c r="G23" i="40" a="1"/>
  <c r="G23" i="40" s="1"/>
  <c r="G24" i="40" a="1"/>
  <c r="G24" i="40" s="1"/>
  <c r="G25" i="40" a="1"/>
  <c r="G25" i="40" s="1"/>
  <c r="G26" i="40" a="1"/>
  <c r="G26" i="40" s="1"/>
  <c r="G27" i="40" a="1"/>
  <c r="G27" i="40" s="1"/>
  <c r="G28" i="40" a="1"/>
  <c r="G28" i="40" s="1"/>
  <c r="G29" i="40" a="1"/>
  <c r="G29" i="40" s="1"/>
  <c r="G30" i="40" a="1"/>
  <c r="G30" i="40" s="1"/>
  <c r="G31" i="40" a="1"/>
  <c r="G31" i="40" s="1"/>
  <c r="G32" i="40" a="1"/>
  <c r="G32" i="40" s="1"/>
  <c r="G33" i="40" a="1"/>
  <c r="G33" i="40" s="1"/>
  <c r="G34" i="40" a="1"/>
  <c r="G34" i="40" s="1"/>
  <c r="G35" i="40" a="1"/>
  <c r="G35" i="40" s="1"/>
  <c r="G36" i="40" a="1"/>
  <c r="G36" i="40" s="1"/>
  <c r="G37" i="40" a="1"/>
  <c r="G37" i="40" s="1"/>
  <c r="G38" i="40" a="1"/>
  <c r="G38" i="40" s="1"/>
  <c r="G39" i="40" a="1"/>
  <c r="G39" i="40" s="1"/>
  <c r="G40" i="40" a="1"/>
  <c r="G40" i="40" s="1"/>
  <c r="G41" i="40" a="1"/>
  <c r="G41" i="40" s="1"/>
  <c r="G42" i="40" a="1"/>
  <c r="G42" i="40" s="1"/>
  <c r="G43" i="40" a="1"/>
  <c r="G43" i="40" s="1"/>
  <c r="G44" i="40" a="1"/>
  <c r="G44" i="40" s="1"/>
  <c r="G45" i="40" a="1"/>
  <c r="G45" i="40" s="1"/>
  <c r="G46" i="40" a="1"/>
  <c r="G46" i="40" s="1"/>
  <c r="G47" i="40" a="1"/>
  <c r="G47" i="40" s="1"/>
  <c r="G48" i="40" a="1"/>
  <c r="G48" i="40" s="1"/>
  <c r="G49" i="40" a="1"/>
  <c r="G49" i="40" s="1"/>
  <c r="G50" i="40" a="1"/>
  <c r="G50" i="40" s="1"/>
  <c r="G51" i="40" a="1"/>
  <c r="G51" i="40" s="1"/>
  <c r="G52" i="40" a="1"/>
  <c r="G52" i="40" s="1"/>
  <c r="G53" i="40" a="1"/>
  <c r="G53" i="40" s="1"/>
  <c r="G55" i="40" a="1"/>
  <c r="G55" i="40" s="1"/>
  <c r="G56" i="40" a="1"/>
  <c r="G56" i="40" s="1"/>
  <c r="G57" i="40" a="1"/>
  <c r="G57" i="40" s="1"/>
  <c r="G58" i="40" a="1"/>
  <c r="G58" i="40" s="1"/>
  <c r="G59" i="40" a="1"/>
  <c r="G59" i="40" s="1"/>
  <c r="G60" i="40" a="1"/>
  <c r="G60" i="40" s="1"/>
  <c r="N87" i="41" l="1"/>
  <c r="N86" i="41"/>
  <c r="N85" i="41"/>
  <c r="N83" i="41"/>
  <c r="N82" i="41"/>
  <c r="P39" i="39" l="1"/>
  <c r="P28" i="39" a="1"/>
  <c r="P28" i="39" s="1"/>
  <c r="J154" i="39" a="1"/>
  <c r="J154" i="39" s="1"/>
  <c r="J276" i="38" l="1" a="1"/>
  <c r="J276" i="38" s="1"/>
  <c r="P173" i="38" a="1"/>
  <c r="P173" i="38" s="1"/>
  <c r="P82" i="39" a="1"/>
  <c r="P82" i="39" s="1"/>
  <c r="P126" i="39" a="1"/>
  <c r="P126" i="39" s="1"/>
  <c r="P115" i="39" a="1"/>
  <c r="P115" i="39" s="1"/>
  <c r="P104" i="39" a="1"/>
  <c r="P104" i="39" s="1"/>
  <c r="J155" i="39" a="1"/>
  <c r="J155" i="39" s="1"/>
  <c r="P93" i="39" a="1"/>
  <c r="P93" i="39" s="1"/>
  <c r="J275" i="38" a="1"/>
  <c r="J275" i="38" s="1"/>
  <c r="P174" i="38" a="1"/>
  <c r="P174" i="38" s="1"/>
  <c r="J274" i="38" a="1"/>
  <c r="J274" i="38" s="1"/>
  <c r="P140" i="38" a="1"/>
  <c r="P140" i="38" s="1"/>
  <c r="P72" i="37" a="1"/>
  <c r="P72" i="37" s="1"/>
  <c r="J112" i="37" a="1"/>
  <c r="J112" i="37" s="1"/>
  <c r="P31" i="37" a="1"/>
  <c r="P31" i="37" s="1"/>
  <c r="P53" i="37" a="1"/>
  <c r="P53" i="37" s="1"/>
  <c r="P12" i="37" a="1"/>
  <c r="P12" i="37" s="1"/>
  <c r="J111" i="37" a="1"/>
  <c r="J111" i="37" s="1"/>
  <c r="J273" i="38" a="1"/>
  <c r="J273" i="38" s="1"/>
  <c r="P141" i="38" a="1"/>
  <c r="P141" i="38" s="1"/>
  <c r="F34" i="60" a="1"/>
  <c r="F34" i="60" s="1"/>
  <c r="F35" i="60" a="1"/>
  <c r="F35" i="60" s="1"/>
  <c r="F36" i="60" a="1"/>
  <c r="F36" i="60" s="1"/>
  <c r="F37" i="60" a="1"/>
  <c r="F37" i="60" s="1"/>
  <c r="F38" i="60" a="1"/>
  <c r="F38" i="60" s="1"/>
  <c r="F39" i="60" a="1"/>
  <c r="F39" i="60" s="1"/>
  <c r="F40" i="60" a="1"/>
  <c r="F40" i="60" s="1"/>
  <c r="F41" i="60" a="1"/>
  <c r="F41" i="60" s="1"/>
  <c r="F33" i="60" a="1"/>
  <c r="F33" i="60" s="1"/>
  <c r="E33" i="60" a="1"/>
  <c r="E33" i="60" s="1"/>
  <c r="E34" i="60" a="1"/>
  <c r="E34" i="60" s="1"/>
  <c r="E35" i="60" a="1"/>
  <c r="E35" i="60" s="1"/>
  <c r="E36" i="60" a="1"/>
  <c r="E36" i="60" s="1"/>
  <c r="E37" i="60" a="1"/>
  <c r="E37" i="60" s="1"/>
  <c r="E38" i="60" a="1"/>
  <c r="E38" i="60" s="1"/>
  <c r="E39" i="60" a="1"/>
  <c r="E39" i="60" s="1"/>
  <c r="E40" i="60" a="1"/>
  <c r="E40" i="60" s="1"/>
  <c r="E41" i="60" a="1"/>
  <c r="E41" i="60" s="1"/>
  <c r="F26" i="60" l="1" a="1"/>
  <c r="F26" i="60" s="1"/>
  <c r="P16" i="39" l="1" a="1"/>
  <c r="P16" i="39" s="1"/>
  <c r="P207" i="38" l="1" a="1"/>
  <c r="P207" i="38" s="1"/>
  <c r="P206" i="38" a="1"/>
  <c r="P206" i="38" s="1"/>
  <c r="P205" i="38" a="1"/>
  <c r="P205" i="38" s="1"/>
  <c r="P204" i="38" a="1"/>
  <c r="P204" i="38" s="1"/>
  <c r="P203" i="38" a="1"/>
  <c r="P203" i="38" s="1"/>
  <c r="P171" i="38" a="1"/>
  <c r="P171" i="38" s="1"/>
  <c r="P166" i="38" a="1"/>
  <c r="P166" i="38" s="1"/>
  <c r="P165" i="38" a="1"/>
  <c r="P165" i="38" s="1"/>
  <c r="P85" i="38" a="1"/>
  <c r="P85" i="38" s="1"/>
  <c r="P84" i="38" a="1"/>
  <c r="P84" i="38" s="1"/>
  <c r="F97" i="36" l="1"/>
  <c r="A27" i="60" s="1"/>
  <c r="F84" i="36"/>
  <c r="F85" i="36"/>
  <c r="F86" i="36"/>
  <c r="F87" i="36"/>
  <c r="F88" i="36"/>
  <c r="A21" i="60" s="1"/>
  <c r="F89" i="36"/>
  <c r="A22" i="60" s="1"/>
  <c r="F90" i="36"/>
  <c r="F91" i="36"/>
  <c r="A24" i="60" s="1"/>
  <c r="F92" i="36"/>
  <c r="F75" i="36"/>
  <c r="F76" i="36"/>
  <c r="F77" i="36"/>
  <c r="F78" i="36"/>
  <c r="A15" i="60" s="1"/>
  <c r="F79" i="36"/>
  <c r="F57" i="36"/>
  <c r="F58" i="36"/>
  <c r="F59" i="36"/>
  <c r="A3" i="60" s="1" a="1"/>
  <c r="A3" i="60" s="1"/>
  <c r="F3" i="60" s="1" a="1"/>
  <c r="F3" i="60" s="1"/>
  <c r="F60" i="36"/>
  <c r="F61" i="36"/>
  <c r="A4" i="60" s="1" a="1"/>
  <c r="A4" i="60" s="1"/>
  <c r="F62" i="36"/>
  <c r="F63" i="36"/>
  <c r="F64" i="36"/>
  <c r="A7" i="60" s="1" a="1"/>
  <c r="A7" i="60" s="1"/>
  <c r="F65" i="36"/>
  <c r="F66" i="36"/>
  <c r="A9" i="60" s="1" a="1"/>
  <c r="A9" i="60" s="1"/>
  <c r="F67" i="36"/>
  <c r="F68" i="36"/>
  <c r="A11" i="60" s="1" a="1"/>
  <c r="A11" i="60" s="1"/>
  <c r="F69" i="36"/>
  <c r="F70" i="36"/>
  <c r="S130" i="39"/>
  <c r="S186" i="38"/>
  <c r="S121" i="39"/>
  <c r="S110" i="39"/>
  <c r="S99" i="39"/>
  <c r="S88" i="39"/>
  <c r="S77" i="39"/>
  <c r="S82" i="38"/>
  <c r="S159" i="38"/>
  <c r="S12" i="39"/>
  <c r="S61" i="38"/>
  <c r="S1" i="37"/>
  <c r="A25" i="60" l="1"/>
  <c r="C25" i="60" s="1" a="1"/>
  <c r="C25" i="60" s="1"/>
  <c r="B99" i="37"/>
  <c r="A20" i="60"/>
  <c r="F20" i="60" s="1" a="1"/>
  <c r="F20" i="60" s="1"/>
  <c r="B96" i="37"/>
  <c r="A23" i="60"/>
  <c r="B98" i="37"/>
  <c r="B249" i="38"/>
  <c r="J249" i="38" s="1" a="1"/>
  <c r="J249" i="38" s="1"/>
  <c r="A13" i="60"/>
  <c r="F11" i="60" a="1"/>
  <c r="F11" i="60" s="1"/>
  <c r="C11" i="60" a="1"/>
  <c r="C11" i="60" s="1"/>
  <c r="B250" i="38"/>
  <c r="A12" i="60"/>
  <c r="F12" i="60" s="1" a="1"/>
  <c r="F12" i="60" s="1"/>
  <c r="A10" i="60" a="1"/>
  <c r="A10" i="60" s="1"/>
  <c r="B14" i="39" a="1"/>
  <c r="B14" i="39" s="1"/>
  <c r="F25" i="60" a="1"/>
  <c r="F25" i="60" s="1"/>
  <c r="F24" i="60" a="1"/>
  <c r="F24" i="60" s="1"/>
  <c r="C24" i="60" a="1"/>
  <c r="C24" i="60" s="1"/>
  <c r="F9" i="60" a="1"/>
  <c r="F9" i="60" s="1"/>
  <c r="C9" i="60" a="1"/>
  <c r="C9" i="60" s="1"/>
  <c r="F7" i="60" a="1"/>
  <c r="F7" i="60" s="1"/>
  <c r="C7" i="60" a="1"/>
  <c r="C7" i="60" s="1"/>
  <c r="F22" i="60" a="1"/>
  <c r="F22" i="60" s="1"/>
  <c r="C22" i="60" a="1"/>
  <c r="C22" i="60" s="1"/>
  <c r="A6" i="60" a="1"/>
  <c r="A6" i="60" s="1"/>
  <c r="B13" i="39" a="1"/>
  <c r="B13" i="39" s="1"/>
  <c r="F21" i="60" a="1"/>
  <c r="F21" i="60" s="1"/>
  <c r="C21" i="60" a="1"/>
  <c r="C21" i="60" s="1"/>
  <c r="F15" i="60" a="1"/>
  <c r="F15" i="60" s="1"/>
  <c r="C15" i="60" a="1"/>
  <c r="C15" i="60" s="1"/>
  <c r="A8" i="60" a="1"/>
  <c r="A8" i="60" s="1"/>
  <c r="B123" i="39" a="1"/>
  <c r="B123" i="39" s="1"/>
  <c r="B122" i="39" a="1"/>
  <c r="B122" i="39" s="1"/>
  <c r="B112" i="39" a="1"/>
  <c r="B112" i="39" s="1"/>
  <c r="B111" i="39" a="1"/>
  <c r="B111" i="39" s="1"/>
  <c r="B101" i="39" a="1"/>
  <c r="B101" i="39" s="1"/>
  <c r="B100" i="39" a="1"/>
  <c r="B100" i="39" s="1"/>
  <c r="B90" i="39" a="1"/>
  <c r="B90" i="39" s="1"/>
  <c r="B89" i="39" a="1"/>
  <c r="B89" i="39" s="1"/>
  <c r="B79" i="39" a="1"/>
  <c r="B79" i="39" s="1"/>
  <c r="B78" i="39" a="1"/>
  <c r="B78" i="39" s="1"/>
  <c r="B25" i="39" a="1"/>
  <c r="B25" i="39" s="1"/>
  <c r="B29" i="39" a="1"/>
  <c r="B29" i="39" s="1"/>
  <c r="B27" i="39" a="1"/>
  <c r="B27" i="39" s="1"/>
  <c r="B164" i="38" a="1"/>
  <c r="B164" i="38" s="1"/>
  <c r="P164" i="38" s="1" a="1"/>
  <c r="P164" i="38" s="1"/>
  <c r="A5" i="60" a="1"/>
  <c r="A5" i="60" s="1"/>
  <c r="B5" i="39" a="1"/>
  <c r="B5" i="39" s="1"/>
  <c r="B4" i="39" a="1"/>
  <c r="B4" i="39" s="1"/>
  <c r="B26" i="39" a="1"/>
  <c r="B26" i="39" s="1"/>
  <c r="B15" i="39" a="1"/>
  <c r="B15" i="39" s="1"/>
  <c r="F4" i="60" a="1"/>
  <c r="F4" i="60" s="1"/>
  <c r="C4" i="60" a="1"/>
  <c r="C4" i="60" s="1"/>
  <c r="B244" i="38"/>
  <c r="J244" i="38" s="1" a="1"/>
  <c r="J244" i="38" s="1"/>
  <c r="A19" i="60"/>
  <c r="B248" i="38"/>
  <c r="J248" i="38" s="1" a="1"/>
  <c r="J248" i="38" s="1"/>
  <c r="A16" i="60"/>
  <c r="B247" i="38"/>
  <c r="J247" i="38" s="1" a="1"/>
  <c r="J247" i="38" s="1"/>
  <c r="A14" i="60"/>
  <c r="B245" i="38"/>
  <c r="A18" i="60"/>
  <c r="F18" i="60" s="1" a="1"/>
  <c r="F18" i="60" s="1"/>
  <c r="C3" i="60" a="1"/>
  <c r="C3" i="60" s="1"/>
  <c r="B246" i="38"/>
  <c r="J246" i="38" s="1" a="1"/>
  <c r="J246" i="38" s="1"/>
  <c r="A17" i="60"/>
  <c r="C27" i="60" a="1"/>
  <c r="C27" i="60" s="1"/>
  <c r="F27" i="60" a="1"/>
  <c r="F27" i="60" s="1"/>
  <c r="B199" i="38" a="1"/>
  <c r="B199" i="38" s="1"/>
  <c r="P199" i="38" s="1" a="1"/>
  <c r="P199" i="38" s="1"/>
  <c r="B188" i="38" a="1"/>
  <c r="B188" i="38" s="1"/>
  <c r="P188" i="38" s="1" a="1"/>
  <c r="P188" i="38" s="1"/>
  <c r="B202" i="38" a="1"/>
  <c r="B202" i="38" s="1"/>
  <c r="P202" i="38" s="1" a="1"/>
  <c r="P202" i="38" s="1"/>
  <c r="B198" i="38" a="1"/>
  <c r="B198" i="38" s="1"/>
  <c r="P198" i="38" s="1" a="1"/>
  <c r="P198" i="38" s="1"/>
  <c r="B193" i="38" a="1"/>
  <c r="B193" i="38" s="1"/>
  <c r="P193" i="38" s="1" a="1"/>
  <c r="P193" i="38" s="1"/>
  <c r="B197" i="38" a="1"/>
  <c r="B197" i="38" s="1"/>
  <c r="P197" i="38" s="1" a="1"/>
  <c r="P197" i="38" s="1"/>
  <c r="B196" i="38" a="1"/>
  <c r="B196" i="38" s="1"/>
  <c r="P196" i="38" s="1" a="1"/>
  <c r="P196" i="38" s="1"/>
  <c r="B195" i="38" a="1"/>
  <c r="B195" i="38" s="1"/>
  <c r="P195" i="38" s="1" a="1"/>
  <c r="P195" i="38" s="1"/>
  <c r="B194" i="38" a="1"/>
  <c r="B194" i="38" s="1"/>
  <c r="P194" i="38" s="1" a="1"/>
  <c r="P194" i="38" s="1"/>
  <c r="B192" i="38" a="1"/>
  <c r="B192" i="38" s="1"/>
  <c r="P192" i="38" s="1" a="1"/>
  <c r="P192" i="38" s="1"/>
  <c r="B191" i="38" a="1"/>
  <c r="B191" i="38" s="1"/>
  <c r="P191" i="38" s="1" a="1"/>
  <c r="P191" i="38" s="1"/>
  <c r="B190" i="38" a="1"/>
  <c r="B190" i="38" s="1"/>
  <c r="P190" i="38" s="1" a="1"/>
  <c r="P190" i="38" s="1"/>
  <c r="B189" i="38" a="1"/>
  <c r="B189" i="38" s="1"/>
  <c r="P189" i="38" s="1" a="1"/>
  <c r="P189" i="38" s="1"/>
  <c r="B187" i="38" a="1"/>
  <c r="B187" i="38" s="1"/>
  <c r="P187" i="38" s="1" a="1"/>
  <c r="P187" i="38" s="1"/>
  <c r="B4" i="38" a="1"/>
  <c r="B4" i="38" s="1"/>
  <c r="P4" i="38" s="1" a="1"/>
  <c r="P4" i="38" s="1"/>
  <c r="B251" i="38" a="1"/>
  <c r="B251" i="38" s="1"/>
  <c r="J251" i="38" s="1" a="1"/>
  <c r="J251" i="38" s="1"/>
  <c r="V30" i="38" a="1"/>
  <c r="V30" i="38" s="1"/>
  <c r="V29" i="38" a="1"/>
  <c r="V29" i="38" s="1"/>
  <c r="V28" i="38" a="1"/>
  <c r="V28" i="38" s="1"/>
  <c r="V27" i="38" a="1"/>
  <c r="V27" i="38" s="1"/>
  <c r="V26" i="38" a="1"/>
  <c r="V26" i="38" s="1"/>
  <c r="X9" i="38" a="1"/>
  <c r="X9" i="38" s="1"/>
  <c r="X8" i="38" a="1"/>
  <c r="X8" i="38" s="1"/>
  <c r="X7" i="38" a="1"/>
  <c r="X7" i="38" s="1"/>
  <c r="X6" i="38" a="1"/>
  <c r="X6" i="38" s="1"/>
  <c r="L103" i="37"/>
  <c r="AP43" i="55"/>
  <c r="AC45" i="55"/>
  <c r="AC43" i="55"/>
  <c r="O103" i="53"/>
  <c r="O99" i="53"/>
  <c r="O98" i="53"/>
  <c r="AL93" i="53"/>
  <c r="AL91" i="53"/>
  <c r="M84" i="53"/>
  <c r="P7" i="35"/>
  <c r="O7" i="35"/>
  <c r="C23" i="60" l="1" a="1"/>
  <c r="C23" i="60" s="1"/>
  <c r="F23" i="60" a="1"/>
  <c r="F23" i="60" s="1"/>
  <c r="C12" i="60" a="1"/>
  <c r="C12" i="60" s="1"/>
  <c r="C20" i="60" a="1"/>
  <c r="C20" i="60" s="1"/>
  <c r="J98" i="37" a="1"/>
  <c r="J98" i="37" s="1"/>
  <c r="D98" i="37" a="1"/>
  <c r="D98" i="37" s="1"/>
  <c r="D96" i="37" a="1"/>
  <c r="D96" i="37" s="1"/>
  <c r="J96" i="37" a="1"/>
  <c r="J96" i="37" s="1"/>
  <c r="D99" i="37" a="1"/>
  <c r="D99" i="37" s="1"/>
  <c r="J99" i="37" a="1"/>
  <c r="J99" i="37" s="1"/>
  <c r="F8" i="60" a="1"/>
  <c r="F8" i="60" s="1"/>
  <c r="C8" i="60" a="1"/>
  <c r="C8" i="60" s="1"/>
  <c r="C18" i="60" a="1"/>
  <c r="C18" i="60" s="1"/>
  <c r="F14" i="60" a="1"/>
  <c r="F14" i="60" s="1"/>
  <c r="C14" i="60" a="1"/>
  <c r="C14" i="60" s="1"/>
  <c r="F10" i="60" a="1"/>
  <c r="F10" i="60" s="1"/>
  <c r="C10" i="60" a="1"/>
  <c r="C10" i="60" s="1"/>
  <c r="F16" i="60" a="1"/>
  <c r="F16" i="60" s="1"/>
  <c r="C16" i="60" a="1"/>
  <c r="C16" i="60" s="1"/>
  <c r="F17" i="60" a="1"/>
  <c r="F17" i="60" s="1"/>
  <c r="C17" i="60" a="1"/>
  <c r="C17" i="60" s="1"/>
  <c r="F6" i="60" a="1"/>
  <c r="F6" i="60" s="1"/>
  <c r="C6" i="60" a="1"/>
  <c r="C6" i="60" s="1"/>
  <c r="F19" i="60" a="1"/>
  <c r="F19" i="60" s="1"/>
  <c r="C19" i="60" a="1"/>
  <c r="C19" i="60" s="1"/>
  <c r="F5" i="60" a="1"/>
  <c r="F5" i="60" s="1"/>
  <c r="C5" i="60" a="1"/>
  <c r="C5" i="60" s="1"/>
  <c r="F13" i="60" a="1"/>
  <c r="F13" i="60" s="1"/>
  <c r="C13" i="60" a="1"/>
  <c r="C13" i="60" s="1"/>
  <c r="AV29" i="53"/>
  <c r="AV28" i="53" s="1"/>
  <c r="P62" i="38" s="1" a="1"/>
  <c r="P62" i="38" s="1"/>
  <c r="F96" i="60" s="1"/>
  <c r="AL94" i="53"/>
  <c r="S24" i="39" s="1"/>
  <c r="N44" i="40"/>
  <c r="N45" i="40"/>
  <c r="N41" i="40"/>
  <c r="N42" i="40"/>
  <c r="N43" i="40"/>
  <c r="N40" i="40"/>
  <c r="S23" i="38" a="1"/>
  <c r="S23" i="38" s="1"/>
  <c r="S135" i="38" a="1"/>
  <c r="S135" i="38" s="1"/>
  <c r="J36" i="59"/>
  <c r="J35" i="59"/>
  <c r="J34" i="59"/>
  <c r="J33" i="59"/>
  <c r="J32" i="59"/>
  <c r="J31" i="59"/>
  <c r="S4" i="59"/>
  <c r="A4" i="58"/>
  <c r="A3" i="58"/>
  <c r="M21" i="57"/>
  <c r="M20" i="57"/>
  <c r="M19" i="57"/>
  <c r="AD17" i="57"/>
  <c r="M17" i="57"/>
  <c r="AD16" i="57"/>
  <c r="M14" i="57"/>
  <c r="M10" i="57"/>
  <c r="U8" i="57"/>
  <c r="AK7" i="57"/>
  <c r="U7" i="57"/>
  <c r="AK6" i="57"/>
  <c r="U6" i="57"/>
  <c r="AK5" i="57"/>
  <c r="U5" i="57"/>
  <c r="AK4" i="57"/>
  <c r="U4" i="57"/>
  <c r="V11" i="56"/>
  <c r="U8" i="56"/>
  <c r="AK7" i="56"/>
  <c r="U7" i="56"/>
  <c r="AK6" i="56"/>
  <c r="U6" i="56"/>
  <c r="AK5" i="56"/>
  <c r="U5" i="56"/>
  <c r="AK4" i="56"/>
  <c r="U4" i="56"/>
  <c r="J46" i="55"/>
  <c r="AP45" i="55"/>
  <c r="J45" i="55"/>
  <c r="J44" i="55"/>
  <c r="Q42" i="55"/>
  <c r="J42" i="55"/>
  <c r="Q41" i="55"/>
  <c r="J41" i="55"/>
  <c r="AM40" i="55"/>
  <c r="Q40" i="55"/>
  <c r="J40" i="55"/>
  <c r="J39" i="55"/>
  <c r="AM38" i="55"/>
  <c r="Q38" i="55"/>
  <c r="J38" i="55"/>
  <c r="M36" i="55"/>
  <c r="AM35" i="55"/>
  <c r="M35" i="55"/>
  <c r="M34" i="55"/>
  <c r="M33" i="55"/>
  <c r="M32" i="55"/>
  <c r="AM31" i="55"/>
  <c r="AM33" i="55" s="1"/>
  <c r="M31" i="55"/>
  <c r="AM29" i="55"/>
  <c r="M29" i="55"/>
  <c r="AM28" i="55"/>
  <c r="M28" i="55"/>
  <c r="AM27" i="55"/>
  <c r="M27" i="55"/>
  <c r="AM26" i="55"/>
  <c r="M26" i="55"/>
  <c r="AM25" i="55"/>
  <c r="M25" i="55"/>
  <c r="AM24" i="55"/>
  <c r="M24" i="55"/>
  <c r="AM23" i="55"/>
  <c r="M23" i="55"/>
  <c r="AM22" i="55"/>
  <c r="AM21" i="55"/>
  <c r="M21" i="55"/>
  <c r="AM20" i="55"/>
  <c r="M20" i="55"/>
  <c r="AM19" i="55"/>
  <c r="P17" i="55"/>
  <c r="P15" i="55"/>
  <c r="P14" i="55"/>
  <c r="AP12" i="55"/>
  <c r="AP11" i="55"/>
  <c r="AP10" i="55"/>
  <c r="P10" i="55"/>
  <c r="U8" i="55"/>
  <c r="AK7" i="55"/>
  <c r="U7" i="55"/>
  <c r="AK6" i="55"/>
  <c r="U6" i="55"/>
  <c r="AK5" i="55"/>
  <c r="U5" i="55"/>
  <c r="AK4" i="55"/>
  <c r="U4" i="55"/>
  <c r="M21" i="54"/>
  <c r="M20" i="54"/>
  <c r="M19" i="54"/>
  <c r="AU18" i="54" s="1"/>
  <c r="AU19" i="54" s="1"/>
  <c r="AU23" i="54" s="1"/>
  <c r="M15" i="54"/>
  <c r="M14" i="54"/>
  <c r="M11" i="54" s="1"/>
  <c r="U8" i="54"/>
  <c r="AK7" i="54"/>
  <c r="U7" i="54"/>
  <c r="AK6" i="54"/>
  <c r="U6" i="54"/>
  <c r="AK5" i="54"/>
  <c r="U5" i="54"/>
  <c r="AK4" i="54"/>
  <c r="U4" i="54"/>
  <c r="P92" i="53"/>
  <c r="P91" i="53"/>
  <c r="M89" i="53"/>
  <c r="AM39" i="55" s="1"/>
  <c r="AU81" i="53"/>
  <c r="AU82" i="53" s="1"/>
  <c r="AU86" i="53" s="1"/>
  <c r="M74" i="53"/>
  <c r="AM32" i="55" s="1"/>
  <c r="AM34" i="55" s="1"/>
  <c r="AU67" i="53"/>
  <c r="J66" i="53"/>
  <c r="J43" i="55" s="1"/>
  <c r="AJ64" i="53"/>
  <c r="AJ63" i="53"/>
  <c r="AJ62" i="53"/>
  <c r="AU61" i="53"/>
  <c r="AJ61" i="53"/>
  <c r="S10" i="59" s="1"/>
  <c r="AU56" i="53"/>
  <c r="P55" i="53"/>
  <c r="P59" i="53" s="1"/>
  <c r="P53" i="53"/>
  <c r="P50" i="53"/>
  <c r="P45" i="53"/>
  <c r="P43" i="53" a="1"/>
  <c r="P43" i="53" s="1"/>
  <c r="P41" i="53"/>
  <c r="P37" i="53"/>
  <c r="AM26" i="53"/>
  <c r="P49" i="53" s="1"/>
  <c r="AU75" i="53"/>
  <c r="AU76" i="53" s="1"/>
  <c r="P13" i="53"/>
  <c r="S13" i="56" s="1"/>
  <c r="S14" i="56" s="1"/>
  <c r="M23" i="57" l="1"/>
  <c r="AJ66" i="53"/>
  <c r="S53" i="53"/>
  <c r="E7" i="35"/>
  <c r="P56" i="53"/>
  <c r="AJ67" i="53" s="1"/>
  <c r="U13" i="53"/>
  <c r="P11" i="53"/>
  <c r="P11" i="55" s="1"/>
  <c r="AM36" i="55"/>
  <c r="M24" i="54"/>
  <c r="P13" i="55"/>
  <c r="U13" i="55" s="1"/>
  <c r="P38" i="53"/>
  <c r="AU43" i="53" s="1"/>
  <c r="P39" i="53"/>
  <c r="AU49" i="53" s="1"/>
  <c r="S11" i="56"/>
  <c r="AR11" i="56" s="1"/>
  <c r="M30" i="55"/>
  <c r="M11" i="57"/>
  <c r="M17" i="54"/>
  <c r="M78" i="53"/>
  <c r="U59" i="53"/>
  <c r="AM41" i="55"/>
  <c r="P42" i="53"/>
  <c r="P48" i="53" s="1"/>
  <c r="AU47" i="53" s="1"/>
  <c r="M19" i="55"/>
  <c r="M18" i="54"/>
  <c r="AU45" i="53"/>
  <c r="P40" i="53" l="1"/>
  <c r="AU37" i="53" s="1"/>
  <c r="AU38" i="53" s="1"/>
  <c r="AU42" i="53"/>
  <c r="M22" i="54"/>
  <c r="M22" i="57"/>
  <c r="AU41" i="53"/>
  <c r="AU40" i="53"/>
  <c r="P46" i="53" l="1"/>
  <c r="AU39" i="53" s="1"/>
  <c r="AU52" i="53" s="1"/>
  <c r="J149" i="39" l="1" a="1"/>
  <c r="J149" i="39" s="1"/>
  <c r="J264" i="38" a="1"/>
  <c r="J264" i="38" s="1"/>
  <c r="J262" i="38" a="1"/>
  <c r="J262" i="38" s="1"/>
  <c r="J261" i="38" a="1"/>
  <c r="J261" i="38" s="1"/>
  <c r="J260" i="38" a="1"/>
  <c r="J260" i="38" s="1"/>
  <c r="J259" i="38" a="1"/>
  <c r="J259" i="38" s="1"/>
  <c r="J258" i="38" a="1"/>
  <c r="J258" i="38" s="1"/>
  <c r="D251" i="38" l="1" a="1"/>
  <c r="D251" i="38" s="1"/>
  <c r="D250" i="38" a="1"/>
  <c r="D250" i="38" s="1"/>
  <c r="D249" i="38" a="1"/>
  <c r="D249" i="38" s="1"/>
  <c r="D248" i="38" a="1"/>
  <c r="D248" i="38" s="1"/>
  <c r="D247" i="38" a="1"/>
  <c r="D247" i="38" s="1"/>
  <c r="D246" i="38" a="1"/>
  <c r="D246" i="38" s="1"/>
  <c r="D245" i="38" a="1"/>
  <c r="D245" i="38" s="1"/>
  <c r="D244" i="38" a="1"/>
  <c r="D244" i="38" s="1"/>
  <c r="D243" i="38" a="1"/>
  <c r="D243" i="38" s="1"/>
  <c r="M28" i="40" a="1"/>
  <c r="M28" i="40" s="1"/>
  <c r="M24" i="40" a="1"/>
  <c r="M24" i="40" s="1"/>
  <c r="M23" i="40" a="1"/>
  <c r="M23" i="40" s="1"/>
  <c r="M22" i="40" a="1"/>
  <c r="M22" i="40" s="1"/>
  <c r="M21" i="40" a="1"/>
  <c r="M21" i="40" s="1"/>
  <c r="M19" i="40" a="1"/>
  <c r="M19" i="40" s="1"/>
  <c r="M18" i="40" a="1"/>
  <c r="M18" i="40" s="1"/>
  <c r="M17" i="40" a="1"/>
  <c r="M17" i="40" s="1"/>
  <c r="M16" i="40" a="1"/>
  <c r="M16" i="40" s="1"/>
  <c r="M14" i="40" a="1"/>
  <c r="M14" i="40" s="1"/>
  <c r="M12" i="40" a="1"/>
  <c r="M12" i="40" s="1"/>
  <c r="M11" i="40" a="1"/>
  <c r="M11" i="40" s="1"/>
  <c r="M9" i="40" a="1"/>
  <c r="M9" i="40" s="1"/>
  <c r="M8" i="40" a="1"/>
  <c r="M8" i="40" s="1"/>
  <c r="M7" i="40" a="1"/>
  <c r="M7" i="40" s="1"/>
  <c r="M6" i="40" a="1"/>
  <c r="M6" i="40" s="1"/>
  <c r="M5" i="40" a="1"/>
  <c r="M5" i="40" s="1"/>
  <c r="M4" i="40" a="1"/>
  <c r="M4" i="40" s="1"/>
  <c r="M82" i="37" l="1"/>
  <c r="N82" i="37" s="1"/>
  <c r="K81" i="37"/>
  <c r="M81" i="37" s="1"/>
  <c r="M74" i="37"/>
  <c r="M73" i="37"/>
  <c r="N73" i="37" s="1"/>
  <c r="M72" i="37"/>
  <c r="M71" i="37"/>
  <c r="K70" i="37"/>
  <c r="M70" i="37" s="1"/>
  <c r="K69" i="37"/>
  <c r="M69" i="37" s="1"/>
  <c r="K68" i="37"/>
  <c r="M68" i="37" s="1"/>
  <c r="K66" i="37"/>
  <c r="M66" i="37" s="1"/>
  <c r="K65" i="37"/>
  <c r="M65" i="37" s="1"/>
  <c r="K64" i="37"/>
  <c r="M64" i="37" s="1"/>
  <c r="M58" i="37"/>
  <c r="O58" i="37" s="1"/>
  <c r="M57" i="37"/>
  <c r="N57" i="37" s="1"/>
  <c r="M56" i="37"/>
  <c r="O56" i="37" s="1"/>
  <c r="M55" i="37"/>
  <c r="O55" i="37" s="1"/>
  <c r="M54" i="37"/>
  <c r="M53" i="37"/>
  <c r="K52" i="37"/>
  <c r="M52" i="37" s="1"/>
  <c r="K51" i="37"/>
  <c r="M51" i="37" s="1"/>
  <c r="O51" i="37" s="1"/>
  <c r="K49" i="37"/>
  <c r="M49" i="37" s="1"/>
  <c r="K48" i="37"/>
  <c r="M48" i="37" s="1"/>
  <c r="K47" i="37"/>
  <c r="M47" i="37" s="1"/>
  <c r="N47" i="37" s="1"/>
  <c r="K46" i="37"/>
  <c r="M46" i="37" s="1"/>
  <c r="K45" i="37"/>
  <c r="M45" i="37" s="1"/>
  <c r="K43" i="37"/>
  <c r="M43" i="37" s="1"/>
  <c r="N43" i="37" s="1"/>
  <c r="K42" i="37"/>
  <c r="M42" i="37" s="1"/>
  <c r="O42" i="37" s="1"/>
  <c r="K39" i="37"/>
  <c r="M39" i="37" s="1"/>
  <c r="K38" i="37"/>
  <c r="M38" i="37" s="1"/>
  <c r="N38" i="37" s="1"/>
  <c r="M33" i="37"/>
  <c r="M32" i="37"/>
  <c r="M31" i="37"/>
  <c r="M30" i="37"/>
  <c r="K29" i="37"/>
  <c r="M29" i="37" s="1"/>
  <c r="N29" i="37" s="1"/>
  <c r="K28" i="37"/>
  <c r="M28" i="37" s="1"/>
  <c r="O28" i="37" s="1"/>
  <c r="K27" i="37"/>
  <c r="M27" i="37" s="1"/>
  <c r="K25" i="37"/>
  <c r="M25" i="37" s="1"/>
  <c r="K24" i="37"/>
  <c r="M24" i="37" s="1"/>
  <c r="K23" i="37"/>
  <c r="M23" i="37" s="1"/>
  <c r="M17" i="37"/>
  <c r="N17" i="37" s="1"/>
  <c r="M16" i="37"/>
  <c r="N16" i="37" s="1"/>
  <c r="M15" i="37"/>
  <c r="N15" i="37" s="1"/>
  <c r="M14" i="37"/>
  <c r="M13" i="37"/>
  <c r="N13" i="37" s="1"/>
  <c r="M12" i="37"/>
  <c r="N12" i="37" s="1"/>
  <c r="K11" i="37"/>
  <c r="M11" i="37" s="1"/>
  <c r="K9" i="37"/>
  <c r="M9" i="37" s="1"/>
  <c r="K6" i="37"/>
  <c r="M6" i="37" s="1"/>
  <c r="K5" i="37"/>
  <c r="M5" i="37" s="1"/>
  <c r="N14" i="37" l="1"/>
  <c r="O12" i="37"/>
  <c r="N54" i="37"/>
  <c r="N55" i="37"/>
  <c r="N71" i="37"/>
  <c r="N51" i="37"/>
  <c r="N52" i="37"/>
  <c r="N56" i="37"/>
  <c r="N74" i="37"/>
  <c r="O5" i="37"/>
  <c r="N5" i="37"/>
  <c r="N46" i="37"/>
  <c r="O46" i="37"/>
  <c r="N66" i="37"/>
  <c r="O66" i="37"/>
  <c r="N70" i="37"/>
  <c r="O70" i="37"/>
  <c r="O6" i="37"/>
  <c r="N6" i="37"/>
  <c r="N64" i="37"/>
  <c r="O64" i="37"/>
  <c r="N65" i="37"/>
  <c r="O65" i="37"/>
  <c r="N24" i="37"/>
  <c r="O24" i="37"/>
  <c r="O39" i="37"/>
  <c r="N39" i="37"/>
  <c r="N25" i="37"/>
  <c r="O25" i="37"/>
  <c r="N68" i="37"/>
  <c r="O68" i="37"/>
  <c r="N23" i="37"/>
  <c r="O23" i="37"/>
  <c r="O9" i="37"/>
  <c r="N9" i="37"/>
  <c r="N11" i="37"/>
  <c r="O11" i="37"/>
  <c r="O45" i="37"/>
  <c r="N45" i="37"/>
  <c r="N69" i="37"/>
  <c r="O69" i="37"/>
  <c r="N27" i="37"/>
  <c r="O27" i="37"/>
  <c r="N48" i="37"/>
  <c r="O48" i="37"/>
  <c r="N81" i="37"/>
  <c r="O49" i="37"/>
  <c r="N49" i="37"/>
  <c r="N31" i="37"/>
  <c r="N32" i="37"/>
  <c r="O53" i="37"/>
  <c r="N42" i="37"/>
  <c r="N58" i="37"/>
  <c r="N72" i="37"/>
  <c r="O52" i="37"/>
  <c r="N33" i="37"/>
  <c r="N28" i="37"/>
  <c r="O47" i="37"/>
  <c r="O29" i="37"/>
  <c r="O57" i="37"/>
  <c r="N30" i="37"/>
  <c r="N53" i="37"/>
  <c r="O54" i="37"/>
  <c r="O43" i="37"/>
  <c r="O38" i="37"/>
  <c r="C142" i="39"/>
  <c r="K128" i="39"/>
  <c r="K117" i="39"/>
  <c r="K106" i="39"/>
  <c r="K95" i="39"/>
  <c r="K84" i="39"/>
  <c r="K8" i="39"/>
  <c r="M126" i="39"/>
  <c r="Q126" i="39" s="1"/>
  <c r="M125" i="39"/>
  <c r="M124" i="39"/>
  <c r="K123" i="39"/>
  <c r="M123" i="39" s="1"/>
  <c r="M115" i="39"/>
  <c r="Q115" i="39" s="1"/>
  <c r="M114" i="39"/>
  <c r="M113" i="39"/>
  <c r="K112" i="39"/>
  <c r="M112" i="39" s="1"/>
  <c r="M104" i="39"/>
  <c r="Q104" i="39" s="1"/>
  <c r="M103" i="39"/>
  <c r="M102" i="39"/>
  <c r="K101" i="39"/>
  <c r="M101" i="39" s="1"/>
  <c r="M93" i="39"/>
  <c r="Q93" i="39" s="1"/>
  <c r="M92" i="39"/>
  <c r="M91" i="39"/>
  <c r="K90" i="39"/>
  <c r="M90" i="39" s="1"/>
  <c r="M82" i="39"/>
  <c r="M81" i="39"/>
  <c r="M80" i="39"/>
  <c r="K79" i="39"/>
  <c r="M79" i="39" s="1"/>
  <c r="M39" i="39"/>
  <c r="K28" i="39"/>
  <c r="M28" i="39" s="1"/>
  <c r="M32" i="39"/>
  <c r="M31" i="39"/>
  <c r="M30" i="39"/>
  <c r="K29" i="39"/>
  <c r="M29" i="39" s="1"/>
  <c r="K25" i="39"/>
  <c r="M25" i="39" s="1"/>
  <c r="O25" i="39" s="1"/>
  <c r="O28" i="39" l="1"/>
  <c r="O29" i="39"/>
  <c r="O79" i="39"/>
  <c r="O123" i="39"/>
  <c r="O112" i="39"/>
  <c r="O101" i="39"/>
  <c r="O90" i="39"/>
  <c r="Q82" i="39"/>
  <c r="M18" i="39"/>
  <c r="M17" i="39"/>
  <c r="K15" i="39"/>
  <c r="M15" i="39" s="1"/>
  <c r="K13" i="39"/>
  <c r="M13" i="39" s="1"/>
  <c r="O13" i="39" s="1"/>
  <c r="K16" i="39"/>
  <c r="M16" i="39" s="1"/>
  <c r="Q16" i="39" s="1"/>
  <c r="K20" i="39" s="1"/>
  <c r="Q28" i="39"/>
  <c r="K34" i="39" s="1"/>
  <c r="K5" i="39"/>
  <c r="M5" i="39" s="1"/>
  <c r="O5" i="39" s="1"/>
  <c r="M6" i="39"/>
  <c r="O15" i="39" l="1"/>
  <c r="K227" i="38" l="1"/>
  <c r="M225" i="38"/>
  <c r="M224" i="38"/>
  <c r="M223" i="38"/>
  <c r="M222" i="38"/>
  <c r="M221" i="38"/>
  <c r="M220" i="38"/>
  <c r="M219" i="38"/>
  <c r="M218" i="38"/>
  <c r="M217" i="38"/>
  <c r="M216" i="38"/>
  <c r="M215" i="38"/>
  <c r="M214" i="38"/>
  <c r="M213" i="38"/>
  <c r="M212" i="38"/>
  <c r="M211" i="38"/>
  <c r="M210" i="38"/>
  <c r="K209" i="38"/>
  <c r="M209" i="38" s="1"/>
  <c r="K208" i="38"/>
  <c r="M208" i="38" s="1"/>
  <c r="K202" i="38"/>
  <c r="M202" i="38" s="1"/>
  <c r="K199" i="38"/>
  <c r="M199" i="38" s="1"/>
  <c r="K195" i="38"/>
  <c r="M195" i="38" s="1"/>
  <c r="K194" i="38"/>
  <c r="M194" i="38" s="1"/>
  <c r="K193" i="38"/>
  <c r="M193" i="38" s="1"/>
  <c r="K192" i="38"/>
  <c r="M192" i="38" s="1"/>
  <c r="K188" i="38"/>
  <c r="M188" i="38" s="1"/>
  <c r="K184" i="38"/>
  <c r="M182" i="38"/>
  <c r="M181" i="38"/>
  <c r="M180" i="38"/>
  <c r="M179" i="38"/>
  <c r="M178" i="38"/>
  <c r="M177" i="38"/>
  <c r="M176" i="38"/>
  <c r="M175" i="38"/>
  <c r="M174" i="38"/>
  <c r="M173" i="38"/>
  <c r="K171" i="38"/>
  <c r="M171" i="38" s="1"/>
  <c r="K157" i="38"/>
  <c r="M155" i="38"/>
  <c r="M154" i="38"/>
  <c r="K153" i="38"/>
  <c r="M153" i="38" s="1"/>
  <c r="K151" i="38"/>
  <c r="M151" i="38" s="1"/>
  <c r="K147" i="38"/>
  <c r="M145" i="38"/>
  <c r="M144" i="38"/>
  <c r="M143" i="38"/>
  <c r="M142" i="38"/>
  <c r="M141" i="38"/>
  <c r="M140" i="38"/>
  <c r="K138" i="38"/>
  <c r="M138" i="38" s="1"/>
  <c r="O138" i="38" s="1"/>
  <c r="K137" i="38"/>
  <c r="M137" i="38" s="1"/>
  <c r="K136" i="38"/>
  <c r="M136" i="38" s="1"/>
  <c r="K133" i="38"/>
  <c r="M131" i="38"/>
  <c r="M130" i="38"/>
  <c r="M129" i="38"/>
  <c r="M128" i="38"/>
  <c r="K126" i="38"/>
  <c r="M126" i="38" s="1"/>
  <c r="O126" i="38" s="1"/>
  <c r="K125" i="38"/>
  <c r="M125" i="38" s="1"/>
  <c r="K118" i="38"/>
  <c r="M116" i="38"/>
  <c r="M115" i="38"/>
  <c r="N115" i="38" s="1"/>
  <c r="M114" i="38"/>
  <c r="N114" i="38" s="1"/>
  <c r="M113" i="38"/>
  <c r="N113" i="38" s="1"/>
  <c r="M95" i="38"/>
  <c r="M94" i="38"/>
  <c r="M93" i="38"/>
  <c r="M92" i="38"/>
  <c r="M91" i="38"/>
  <c r="M90" i="38"/>
  <c r="M89" i="38"/>
  <c r="K88" i="38"/>
  <c r="O88" i="38" s="1"/>
  <c r="K87" i="38"/>
  <c r="O87" i="38" s="1"/>
  <c r="K86" i="38"/>
  <c r="M86" i="38" s="1"/>
  <c r="N116" i="38" l="1"/>
  <c r="O86" i="38"/>
  <c r="O202" i="38"/>
  <c r="O194" i="38"/>
  <c r="O192" i="38"/>
  <c r="Q209" i="38"/>
  <c r="O193" i="38"/>
  <c r="O195" i="38"/>
  <c r="Q208" i="38"/>
  <c r="O188" i="38"/>
  <c r="O199" i="38"/>
  <c r="O137" i="38"/>
  <c r="O151" i="38"/>
  <c r="Q171" i="38"/>
  <c r="O125" i="38"/>
  <c r="O136" i="38"/>
  <c r="M87" i="38"/>
  <c r="M88" i="38"/>
  <c r="O153" i="38"/>
  <c r="K49" i="38"/>
  <c r="K72" i="38"/>
  <c r="M70" i="38"/>
  <c r="M69" i="38"/>
  <c r="M62" i="38"/>
  <c r="K68" i="38"/>
  <c r="K67" i="38"/>
  <c r="M67" i="38" s="1"/>
  <c r="K63" i="38"/>
  <c r="O63" i="38" s="1"/>
  <c r="M47" i="38"/>
  <c r="M46" i="38"/>
  <c r="K45" i="38"/>
  <c r="M45" i="38" s="1"/>
  <c r="K44" i="38"/>
  <c r="M44" i="38" s="1"/>
  <c r="K29" i="38"/>
  <c r="M27" i="38"/>
  <c r="M26" i="38"/>
  <c r="K25" i="38"/>
  <c r="M25" i="38" s="1"/>
  <c r="K24" i="38"/>
  <c r="M24" i="38" s="1"/>
  <c r="K13" i="38"/>
  <c r="M11" i="38"/>
  <c r="M10" i="38"/>
  <c r="O67" i="38" l="1"/>
  <c r="O25" i="38"/>
  <c r="O44" i="38"/>
  <c r="O24" i="38"/>
  <c r="O45" i="38"/>
  <c r="M63" i="38"/>
  <c r="B100" i="37" l="1"/>
  <c r="J100" i="37" s="1" a="1"/>
  <c r="J100" i="37" s="1"/>
  <c r="B139" i="38"/>
  <c r="B162" i="38"/>
  <c r="P162" i="38" s="1" a="1"/>
  <c r="P162" i="38" s="1"/>
  <c r="B97" i="37"/>
  <c r="J97" i="37" s="1" a="1"/>
  <c r="J97" i="37" s="1"/>
  <c r="B127" i="38"/>
  <c r="B201" i="38"/>
  <c r="P201" i="38" s="1" a="1"/>
  <c r="P201" i="38" s="1"/>
  <c r="B112" i="38"/>
  <c r="P112" i="38" s="1" a="1"/>
  <c r="P112" i="38" s="1"/>
  <c r="B150" i="38"/>
  <c r="P150" i="38" s="1" a="1"/>
  <c r="P150" i="38" s="1"/>
  <c r="B239" i="38" a="1"/>
  <c r="B239" i="38" s="1"/>
  <c r="D239" i="38" s="1" a="1"/>
  <c r="D239" i="38" s="1"/>
  <c r="B238" i="38" a="1"/>
  <c r="B238" i="38" s="1"/>
  <c r="D238" i="38" s="1" a="1"/>
  <c r="D238" i="38" s="1"/>
  <c r="B140" i="39" a="1"/>
  <c r="B140" i="39" s="1"/>
  <c r="D140" i="39" s="1" a="1"/>
  <c r="D140" i="39" s="1"/>
  <c r="B139" i="39" a="1"/>
  <c r="B139" i="39" s="1"/>
  <c r="B242" i="38" a="1"/>
  <c r="B242" i="38" s="1"/>
  <c r="D242" i="38" s="1" a="1"/>
  <c r="D242" i="38" s="1"/>
  <c r="B143" i="39" a="1"/>
  <c r="B143" i="39" s="1"/>
  <c r="D143" i="39" s="1" a="1"/>
  <c r="D143" i="39" s="1"/>
  <c r="B142" i="39" a="1"/>
  <c r="B142" i="39" s="1"/>
  <c r="D142" i="39" s="1" a="1"/>
  <c r="D142" i="39" s="1"/>
  <c r="B141" i="39" a="1"/>
  <c r="B141" i="39" s="1"/>
  <c r="D141" i="39" s="1" a="1"/>
  <c r="D141" i="39" s="1"/>
  <c r="D139" i="39" l="1" a="1"/>
  <c r="D139" i="39" s="1"/>
  <c r="B111" i="38"/>
  <c r="P111" i="38" s="1" a="1"/>
  <c r="P111" i="38" s="1"/>
  <c r="B44" i="37"/>
  <c r="P44" i="37" s="1" a="1"/>
  <c r="P44" i="37" s="1"/>
  <c r="B101" i="37"/>
  <c r="J101" i="37" s="1" a="1"/>
  <c r="J101" i="37" s="1"/>
  <c r="J143" i="39" a="1"/>
  <c r="J143" i="39" s="1"/>
  <c r="J139" i="39" a="1"/>
  <c r="J139" i="39" s="1"/>
  <c r="J142" i="39" a="1"/>
  <c r="J142" i="39" s="1"/>
  <c r="J140" i="39" a="1"/>
  <c r="J140" i="39" s="1"/>
  <c r="B152" i="38"/>
  <c r="B236" i="38" a="1"/>
  <c r="B236" i="38" s="1"/>
  <c r="D236" i="38" s="1" a="1"/>
  <c r="D236" i="38" s="1"/>
  <c r="B241" i="38" a="1"/>
  <c r="B241" i="38" s="1"/>
  <c r="B240" i="38" a="1"/>
  <c r="B240" i="38" s="1"/>
  <c r="J141" i="39" a="1"/>
  <c r="J141" i="39" s="1"/>
  <c r="B237" i="38" a="1"/>
  <c r="B237" i="38" s="1"/>
  <c r="J242" i="38" a="1"/>
  <c r="J242" i="38" s="1"/>
  <c r="J239" i="38" a="1"/>
  <c r="J239" i="38" s="1"/>
  <c r="J238" i="38" a="1"/>
  <c r="J238" i="38" s="1"/>
  <c r="B52" i="37"/>
  <c r="P52" i="37" s="1" a="1"/>
  <c r="P52" i="37" s="1"/>
  <c r="B110" i="38"/>
  <c r="D100" i="37" l="1" a="1"/>
  <c r="D100" i="37" s="1"/>
  <c r="D101" i="37" a="1"/>
  <c r="D101" i="37" s="1"/>
  <c r="J236" i="38" a="1"/>
  <c r="J236" i="38" s="1"/>
  <c r="J237" i="38" a="1"/>
  <c r="J237" i="38" s="1"/>
  <c r="D237" i="38" a="1"/>
  <c r="D237" i="38" s="1"/>
  <c r="J240" i="38" a="1"/>
  <c r="J240" i="38" s="1"/>
  <c r="D240" i="38" a="1"/>
  <c r="D240" i="38" s="1"/>
  <c r="J241" i="38" a="1"/>
  <c r="J241" i="38" s="1"/>
  <c r="D241" i="38" a="1"/>
  <c r="D241" i="38" s="1"/>
  <c r="Q174" i="38"/>
  <c r="Q173" i="38"/>
  <c r="Q141" i="38"/>
  <c r="Q140" i="38"/>
  <c r="I84" i="37"/>
  <c r="I60" i="37"/>
  <c r="I19" i="37"/>
  <c r="W50" i="38"/>
  <c r="W49" i="38"/>
  <c r="W48" i="38"/>
  <c r="W47" i="38"/>
  <c r="W46" i="38"/>
  <c r="B9" i="38" a="1"/>
  <c r="B9" i="38" s="1"/>
  <c r="I85" i="38"/>
  <c r="K85" i="38" s="1"/>
  <c r="M85" i="38" s="1"/>
  <c r="Q85" i="38" s="1"/>
  <c r="A82" i="38" a="1"/>
  <c r="A82" i="38" s="1"/>
  <c r="I83" i="38" a="1"/>
  <c r="I83" i="38" s="1"/>
  <c r="K83" i="38" s="1"/>
  <c r="C85" i="38" a="1"/>
  <c r="C85" i="38" s="1"/>
  <c r="C84" i="38" a="1"/>
  <c r="C84" i="38" s="1"/>
  <c r="C83" i="38" a="1"/>
  <c r="C83" i="38" s="1"/>
  <c r="I84" i="38"/>
  <c r="K84" i="38" s="1"/>
  <c r="M84" i="38" s="1"/>
  <c r="Q84" i="38" s="1"/>
  <c r="B168" i="38" a="1"/>
  <c r="B168" i="38" s="1"/>
  <c r="P168" i="38" s="1" a="1"/>
  <c r="P168" i="38" s="1"/>
  <c r="B125" i="38" a="1"/>
  <c r="B125" i="38" s="1"/>
  <c r="P125" i="38" s="1" a="1"/>
  <c r="P125" i="38" s="1"/>
  <c r="B167" i="38" a="1"/>
  <c r="B167" i="38" s="1"/>
  <c r="P167" i="38" s="1" a="1"/>
  <c r="P167" i="38" s="1"/>
  <c r="Q52" i="37" l="1"/>
  <c r="R52" i="37"/>
  <c r="Q72" i="37"/>
  <c r="R72" i="37"/>
  <c r="R12" i="37"/>
  <c r="Q12" i="37"/>
  <c r="Q31" i="37"/>
  <c r="R31" i="37"/>
  <c r="Q53" i="37"/>
  <c r="R53" i="37"/>
  <c r="N95" i="38"/>
  <c r="N94" i="38"/>
  <c r="N92" i="38"/>
  <c r="N93" i="38"/>
  <c r="N91" i="38"/>
  <c r="N87" i="38"/>
  <c r="N90" i="38"/>
  <c r="N89" i="38"/>
  <c r="N88" i="38"/>
  <c r="N86" i="38"/>
  <c r="N85" i="38"/>
  <c r="R85" i="38" s="1"/>
  <c r="N84" i="38"/>
  <c r="R84" i="38" s="1"/>
  <c r="O83" i="38"/>
  <c r="M83" i="38"/>
  <c r="N83" i="38" s="1"/>
  <c r="N69" i="38"/>
  <c r="N70" i="38"/>
  <c r="N67" i="38"/>
  <c r="N63" i="38"/>
  <c r="N62" i="38"/>
  <c r="K97" i="38"/>
  <c r="B67" i="37" a="1"/>
  <c r="B67" i="37" s="1"/>
  <c r="P67" i="37" s="1" a="1"/>
  <c r="P67" i="37" s="1"/>
  <c r="B93" i="37" a="1"/>
  <c r="B93" i="37" s="1"/>
  <c r="D93" i="37" s="1" a="1"/>
  <c r="D93" i="37" s="1"/>
  <c r="B69" i="37" a="1"/>
  <c r="B69" i="37" s="1"/>
  <c r="P69" i="37" s="1" a="1"/>
  <c r="P69" i="37" s="1"/>
  <c r="B92" i="37" a="1"/>
  <c r="B92" i="37" s="1"/>
  <c r="B5" i="38" a="1"/>
  <c r="B5" i="38" s="1"/>
  <c r="B95" i="37" a="1"/>
  <c r="B95" i="37" s="1"/>
  <c r="D95" i="37" s="1" a="1"/>
  <c r="D95" i="37" s="1"/>
  <c r="B48" i="37" a="1"/>
  <c r="B48" i="37" s="1"/>
  <c r="P48" i="37" s="1" a="1"/>
  <c r="P48" i="37" s="1"/>
  <c r="B94" i="37" a="1"/>
  <c r="B94" i="37" s="1"/>
  <c r="D94" i="37" s="1" a="1"/>
  <c r="D94" i="37" s="1"/>
  <c r="B63" i="37" a="1"/>
  <c r="B63" i="37" s="1"/>
  <c r="P63" i="37" s="1" a="1"/>
  <c r="P63" i="37" s="1"/>
  <c r="B24" i="38" a="1"/>
  <c r="B24" i="38" s="1"/>
  <c r="B25" i="38" a="1"/>
  <c r="B25" i="38" s="1"/>
  <c r="B44" i="38" a="1"/>
  <c r="B44" i="38" s="1"/>
  <c r="B45" i="38" a="1"/>
  <c r="B45" i="38" s="1"/>
  <c r="B160" i="38" a="1"/>
  <c r="B160" i="38" s="1"/>
  <c r="P160" i="38" s="1" a="1"/>
  <c r="P160" i="38" s="1"/>
  <c r="B64" i="37" a="1"/>
  <c r="B64" i="37" s="1"/>
  <c r="P64" i="37" s="1" a="1"/>
  <c r="P64" i="37" s="1"/>
  <c r="B26" i="37" a="1"/>
  <c r="B26" i="37" s="1"/>
  <c r="P26" i="37" s="1" a="1"/>
  <c r="P26" i="37" s="1"/>
  <c r="B27" i="37" a="1"/>
  <c r="B27" i="37" s="1"/>
  <c r="P27" i="37" s="1" a="1"/>
  <c r="P27" i="37" s="1"/>
  <c r="B29" i="37" a="1"/>
  <c r="B29" i="37" s="1"/>
  <c r="P29" i="37" s="1" a="1"/>
  <c r="P29" i="37" s="1"/>
  <c r="B67" i="38" a="1"/>
  <c r="B67" i="38" s="1"/>
  <c r="B63" i="38" a="1"/>
  <c r="B63" i="38" s="1"/>
  <c r="B161" i="38" a="1"/>
  <c r="B161" i="38" s="1"/>
  <c r="P161" i="38" s="1" a="1"/>
  <c r="P161" i="38" s="1"/>
  <c r="B7" i="37" a="1"/>
  <c r="B7" i="37" s="1"/>
  <c r="P7" i="37" s="1" a="1"/>
  <c r="P7" i="37" s="1"/>
  <c r="B42" i="37" a="1"/>
  <c r="B42" i="37" s="1"/>
  <c r="P42" i="37" s="1" a="1"/>
  <c r="P42" i="37" s="1"/>
  <c r="B66" i="37" a="1"/>
  <c r="B66" i="37" s="1"/>
  <c r="P66" i="37" s="1" a="1"/>
  <c r="P66" i="37" s="1"/>
  <c r="B86" i="38" a="1"/>
  <c r="B86" i="38" s="1"/>
  <c r="P86" i="38" s="1" a="1"/>
  <c r="P86" i="38" s="1"/>
  <c r="B138" i="38" a="1"/>
  <c r="B138" i="38" s="1"/>
  <c r="P138" i="38" s="1" a="1"/>
  <c r="P138" i="38" s="1"/>
  <c r="B163" i="38" a="1"/>
  <c r="B163" i="38" s="1"/>
  <c r="P163" i="38" s="1" a="1"/>
  <c r="P163" i="38" s="1"/>
  <c r="B126" i="38" a="1"/>
  <c r="B126" i="38" s="1"/>
  <c r="P126" i="38" s="1" a="1"/>
  <c r="P126" i="38" s="1"/>
  <c r="B136" i="38" a="1"/>
  <c r="B136" i="38" s="1"/>
  <c r="P136" i="38" s="1" a="1"/>
  <c r="P136" i="38" s="1"/>
  <c r="B137" i="38" a="1"/>
  <c r="B137" i="38" s="1"/>
  <c r="P137" i="38" s="1" a="1"/>
  <c r="P137" i="38" s="1"/>
  <c r="B151" i="38" a="1"/>
  <c r="B151" i="38" s="1"/>
  <c r="P151" i="38" s="1" a="1"/>
  <c r="P151" i="38" s="1"/>
  <c r="B64" i="38" a="1"/>
  <c r="B64" i="38" s="1"/>
  <c r="B153" i="38" a="1"/>
  <c r="B153" i="38" s="1"/>
  <c r="P153" i="38" s="1" a="1"/>
  <c r="P153" i="38" s="1"/>
  <c r="B83" i="38" a="1"/>
  <c r="B83" i="38" s="1"/>
  <c r="P83" i="38" s="1" a="1"/>
  <c r="P83" i="38" s="1"/>
  <c r="B6" i="37" a="1"/>
  <c r="B6" i="37" s="1"/>
  <c r="P6" i="37" s="1" a="1"/>
  <c r="P6" i="37" s="1"/>
  <c r="B41" i="37" a="1"/>
  <c r="B41" i="37" s="1"/>
  <c r="P41" i="37" s="1" a="1"/>
  <c r="P41" i="37" s="1"/>
  <c r="B70" i="37" a="1"/>
  <c r="B70" i="37" s="1"/>
  <c r="P70" i="37" s="1" a="1"/>
  <c r="P70" i="37" s="1"/>
  <c r="B79" i="37" a="1"/>
  <c r="B79" i="37" s="1"/>
  <c r="P79" i="37" s="1" a="1"/>
  <c r="P79" i="37" s="1"/>
  <c r="B87" i="38" a="1"/>
  <c r="B87" i="38" s="1"/>
  <c r="P87" i="38" s="1" a="1"/>
  <c r="P87" i="38" s="1"/>
  <c r="B8" i="37" a="1"/>
  <c r="B8" i="37" s="1"/>
  <c r="P8" i="37" s="1" a="1"/>
  <c r="P8" i="37" s="1"/>
  <c r="B43" i="37" a="1"/>
  <c r="B43" i="37" s="1"/>
  <c r="P43" i="37" s="1" a="1"/>
  <c r="P43" i="37" s="1"/>
  <c r="B80" i="37" a="1"/>
  <c r="B80" i="37" s="1"/>
  <c r="P80" i="37" s="1" a="1"/>
  <c r="P80" i="37" s="1"/>
  <c r="B170" i="38" a="1"/>
  <c r="B170" i="38" s="1"/>
  <c r="P170" i="38" s="1" a="1"/>
  <c r="P170" i="38" s="1"/>
  <c r="B6" i="38" a="1"/>
  <c r="B6" i="38" s="1"/>
  <c r="B88" i="38" a="1"/>
  <c r="B88" i="38" s="1"/>
  <c r="P88" i="38" s="1" a="1"/>
  <c r="P88" i="38" s="1"/>
  <c r="B9" i="37" a="1"/>
  <c r="B9" i="37" s="1"/>
  <c r="P9" i="37" s="1" a="1"/>
  <c r="P9" i="37" s="1"/>
  <c r="B45" i="37" a="1"/>
  <c r="B45" i="37" s="1"/>
  <c r="P45" i="37" s="1" a="1"/>
  <c r="P45" i="37" s="1"/>
  <c r="B81" i="37" a="1"/>
  <c r="B81" i="37" s="1"/>
  <c r="P81" i="37" s="1" a="1"/>
  <c r="P81" i="37" s="1"/>
  <c r="B109" i="38" a="1"/>
  <c r="B109" i="38" s="1"/>
  <c r="P109" i="38" s="1" a="1"/>
  <c r="P109" i="38" s="1"/>
  <c r="B11" i="37" a="1"/>
  <c r="B11" i="37" s="1"/>
  <c r="P11" i="37" s="1" a="1"/>
  <c r="P11" i="37" s="1"/>
  <c r="B46" i="37" a="1"/>
  <c r="B46" i="37" s="1"/>
  <c r="P46" i="37" s="1" a="1"/>
  <c r="P46" i="37" s="1"/>
  <c r="B8" i="38" a="1"/>
  <c r="B8" i="38" s="1"/>
  <c r="B22" i="37" a="1"/>
  <c r="B22" i="37" s="1"/>
  <c r="P22" i="37" s="1" a="1"/>
  <c r="P22" i="37" s="1"/>
  <c r="B47" i="37" a="1"/>
  <c r="B47" i="37" s="1"/>
  <c r="P47" i="37" s="1" a="1"/>
  <c r="P47" i="37" s="1"/>
  <c r="B23" i="37" a="1"/>
  <c r="B23" i="37" s="1"/>
  <c r="P23" i="37" s="1" a="1"/>
  <c r="P23" i="37" s="1"/>
  <c r="B24" i="37" a="1"/>
  <c r="B24" i="37" s="1"/>
  <c r="P24" i="37" s="1" a="1"/>
  <c r="P24" i="37" s="1"/>
  <c r="B49" i="37" a="1"/>
  <c r="B49" i="37" s="1"/>
  <c r="P49" i="37" s="1" a="1"/>
  <c r="P49" i="37" s="1"/>
  <c r="B25" i="37" a="1"/>
  <c r="B25" i="37" s="1"/>
  <c r="P25" i="37" s="1" a="1"/>
  <c r="P25" i="37" s="1"/>
  <c r="B51" i="37" a="1"/>
  <c r="B51" i="37" s="1"/>
  <c r="P51" i="37" s="1" a="1"/>
  <c r="P51" i="37" s="1"/>
  <c r="B28" i="37" a="1"/>
  <c r="B28" i="37" s="1"/>
  <c r="P28" i="37" s="1" a="1"/>
  <c r="P28" i="37" s="1"/>
  <c r="B65" i="37" a="1"/>
  <c r="B65" i="37" s="1"/>
  <c r="P65" i="37" s="1" a="1"/>
  <c r="P65" i="37" s="1"/>
  <c r="B65" i="38" a="1"/>
  <c r="B65" i="38" s="1"/>
  <c r="B38" i="37" a="1"/>
  <c r="B38" i="37" s="1"/>
  <c r="P38" i="37" s="1" a="1"/>
  <c r="P38" i="37" s="1"/>
  <c r="B39" i="37" a="1"/>
  <c r="B39" i="37" s="1"/>
  <c r="P39" i="37" s="1" a="1"/>
  <c r="P39" i="37" s="1"/>
  <c r="B68" i="37" a="1"/>
  <c r="B68" i="37" s="1"/>
  <c r="P68" i="37" s="1" a="1"/>
  <c r="P68" i="37" s="1"/>
  <c r="B68" i="38" a="1"/>
  <c r="B68" i="38" s="1"/>
  <c r="P68" i="38" s="1" a="1"/>
  <c r="P68" i="38" s="1"/>
  <c r="B5" i="37" a="1"/>
  <c r="B5" i="37" s="1"/>
  <c r="B40" i="37" a="1"/>
  <c r="B40" i="37" s="1"/>
  <c r="P40" i="37" s="1" a="1"/>
  <c r="P40" i="37" s="1"/>
  <c r="B7" i="38" a="1"/>
  <c r="B7" i="38" s="1"/>
  <c r="D92" i="37" l="1" a="1"/>
  <c r="D92" i="37" s="1"/>
  <c r="D21" i="60"/>
  <c r="G21" i="60" s="1"/>
  <c r="D24" i="60"/>
  <c r="G24" i="60" s="1"/>
  <c r="Q39" i="37"/>
  <c r="R39" i="37"/>
  <c r="R51" i="37"/>
  <c r="Q51" i="37"/>
  <c r="Q25" i="37"/>
  <c r="R25" i="37"/>
  <c r="Q43" i="37"/>
  <c r="R43" i="37"/>
  <c r="Q66" i="37"/>
  <c r="R66" i="37"/>
  <c r="Q42" i="37"/>
  <c r="R42" i="37"/>
  <c r="Q48" i="37"/>
  <c r="R48" i="37"/>
  <c r="Q49" i="37"/>
  <c r="R49" i="37"/>
  <c r="Q47" i="37"/>
  <c r="R47" i="37"/>
  <c r="Q70" i="37"/>
  <c r="R70" i="37"/>
  <c r="Q28" i="37"/>
  <c r="R28" i="37"/>
  <c r="Q23" i="37"/>
  <c r="R23" i="37"/>
  <c r="Q46" i="37"/>
  <c r="R46" i="37"/>
  <c r="Q6" i="37"/>
  <c r="R6" i="37"/>
  <c r="Q69" i="37"/>
  <c r="R69" i="37"/>
  <c r="Q24" i="37"/>
  <c r="R24" i="37"/>
  <c r="Q68" i="37"/>
  <c r="R68" i="37"/>
  <c r="Q11" i="37"/>
  <c r="R11" i="37"/>
  <c r="R29" i="37"/>
  <c r="Q29" i="37"/>
  <c r="Q27" i="37"/>
  <c r="R27" i="37"/>
  <c r="Q38" i="37"/>
  <c r="R38" i="37"/>
  <c r="Q81" i="37"/>
  <c r="R81" i="37"/>
  <c r="Q45" i="37"/>
  <c r="R45" i="37"/>
  <c r="Q64" i="37"/>
  <c r="R64" i="37"/>
  <c r="Q65" i="37"/>
  <c r="R65" i="37"/>
  <c r="Q9" i="37"/>
  <c r="R9" i="37"/>
  <c r="P5" i="37" a="1"/>
  <c r="P5" i="37" s="1"/>
  <c r="R43" i="38"/>
  <c r="O46" i="38" a="1"/>
  <c r="O46" i="38" s="1"/>
  <c r="C46" i="38" a="1"/>
  <c r="C46" i="38" s="1"/>
  <c r="E46" i="38" a="1"/>
  <c r="E46" i="38" s="1"/>
  <c r="D46" i="38" a="1"/>
  <c r="D46" i="38" s="1"/>
  <c r="B46" i="38" a="1"/>
  <c r="B46" i="38" s="1"/>
  <c r="A43" i="38" a="1"/>
  <c r="A43" i="38" s="1"/>
  <c r="C26" i="38" a="1"/>
  <c r="C26" i="38" s="1"/>
  <c r="E26" i="38" a="1"/>
  <c r="E26" i="38" s="1"/>
  <c r="D26" i="38" a="1"/>
  <c r="D26" i="38" s="1"/>
  <c r="B26" i="38" a="1"/>
  <c r="B26" i="38" s="1"/>
  <c r="B278" i="38" s="1"/>
  <c r="A23" i="38" a="1"/>
  <c r="A23" i="38" s="1"/>
  <c r="A3" i="38" a="1"/>
  <c r="A3" i="38" s="1"/>
  <c r="R3" i="38"/>
  <c r="C10" i="38" a="1"/>
  <c r="C10" i="38" s="1"/>
  <c r="E10" i="38" a="1"/>
  <c r="E10" i="38" s="1"/>
  <c r="D10" i="38" a="1"/>
  <c r="D10" i="38" s="1"/>
  <c r="B10" i="38" a="1"/>
  <c r="B10" i="38" s="1"/>
  <c r="I5" i="38" a="1"/>
  <c r="I5" i="38" s="1"/>
  <c r="K5" i="38" s="1"/>
  <c r="I4" i="38" a="1"/>
  <c r="I4" i="38" s="1"/>
  <c r="P9" i="38" a="1"/>
  <c r="P9" i="38" s="1"/>
  <c r="O45" i="40"/>
  <c r="O44" i="40"/>
  <c r="O41" i="40"/>
  <c r="O40" i="40"/>
  <c r="S3" i="38" a="1"/>
  <c r="S43" i="38" a="1"/>
  <c r="B277" i="38" l="1"/>
  <c r="A55" i="60"/>
  <c r="S43" i="38"/>
  <c r="S3" i="38"/>
  <c r="A58" i="60"/>
  <c r="F58" i="60" s="1" a="1"/>
  <c r="F58" i="60" s="1"/>
  <c r="Q5" i="37"/>
  <c r="R5" i="37"/>
  <c r="N25" i="38"/>
  <c r="N26" i="38"/>
  <c r="N27" i="38"/>
  <c r="N24" i="38"/>
  <c r="M5" i="38"/>
  <c r="O5" i="38"/>
  <c r="K4" i="38"/>
  <c r="M4" i="38" s="1"/>
  <c r="Q4" i="38" s="1"/>
  <c r="C55" i="60" l="1" a="1"/>
  <c r="C55" i="60" s="1"/>
  <c r="F55" i="60" a="1"/>
  <c r="F55" i="60" s="1"/>
  <c r="J277" i="38" s="1" a="1"/>
  <c r="J277" i="38" s="1"/>
  <c r="J58" i="60" a="1"/>
  <c r="J58" i="60" s="1"/>
  <c r="K58" i="60" a="1"/>
  <c r="K58" i="60" s="1"/>
  <c r="I58" i="60" a="1"/>
  <c r="I58" i="60" s="1"/>
  <c r="J55" i="60" a="1"/>
  <c r="J55" i="60" s="1"/>
  <c r="K55" i="60" a="1"/>
  <c r="K55" i="60" s="1"/>
  <c r="I55" i="60" a="1"/>
  <c r="I55" i="60" s="1"/>
  <c r="J278" i="38" a="1"/>
  <c r="J278" i="38" s="1"/>
  <c r="C58" i="60" a="1"/>
  <c r="C58" i="60" s="1"/>
  <c r="J322" i="38" a="1"/>
  <c r="J322" i="38" s="1"/>
  <c r="J293" i="38" a="1"/>
  <c r="J293" i="38" s="1"/>
  <c r="J292" i="38" a="1"/>
  <c r="J292" i="38" s="1"/>
  <c r="J291" i="38" a="1"/>
  <c r="J291" i="38" s="1"/>
  <c r="J290" i="38" a="1"/>
  <c r="J290" i="38" s="1"/>
  <c r="J289" i="38" a="1"/>
  <c r="J289" i="38" s="1"/>
  <c r="J288" i="38" a="1"/>
  <c r="J288" i="38" s="1"/>
  <c r="J272" i="38" a="1"/>
  <c r="J272" i="38" s="1"/>
  <c r="J287" i="38" a="1"/>
  <c r="J287" i="38" s="1"/>
  <c r="J271" i="38" a="1"/>
  <c r="J271" i="38" s="1"/>
  <c r="J298" i="38" a="1"/>
  <c r="J298" i="38" s="1"/>
  <c r="J301" i="38" a="1"/>
  <c r="J301" i="38" s="1"/>
  <c r="J286" i="38" a="1"/>
  <c r="J286" i="38" s="1"/>
  <c r="J300" i="38" a="1"/>
  <c r="J300" i="38" s="1"/>
  <c r="J285" i="38" a="1"/>
  <c r="J285" i="38" s="1"/>
  <c r="J309" i="38" a="1"/>
  <c r="J309" i="38" s="1"/>
  <c r="J299" i="38" a="1"/>
  <c r="J299" i="38" s="1"/>
  <c r="J284" i="38" a="1"/>
  <c r="J284" i="38" s="1"/>
  <c r="J295" i="38" a="1"/>
  <c r="J295" i="38" s="1"/>
  <c r="J279" i="38" a="1"/>
  <c r="J279" i="38" s="1"/>
  <c r="J283" i="38" a="1"/>
  <c r="J283" i="38" s="1"/>
  <c r="J297" i="38" a="1"/>
  <c r="J297" i="38" s="1"/>
  <c r="J282" i="38" a="1"/>
  <c r="J282" i="38" s="1"/>
  <c r="J294" i="38" a="1"/>
  <c r="J294" i="38" s="1"/>
  <c r="J296" i="38" a="1"/>
  <c r="J296" i="38" s="1"/>
  <c r="J281" i="38" a="1"/>
  <c r="J281" i="38" s="1"/>
  <c r="J280" i="38" a="1"/>
  <c r="J280" i="38" s="1"/>
  <c r="P142" i="38" a="1"/>
  <c r="P142" i="38" s="1"/>
  <c r="Q142" i="38" s="1"/>
  <c r="P89" i="38" a="1"/>
  <c r="P89" i="38" s="1"/>
  <c r="P224" i="38" a="1"/>
  <c r="P224" i="38" s="1"/>
  <c r="Q224" i="38" s="1"/>
  <c r="Q70" i="38"/>
  <c r="R70" i="38" s="1"/>
  <c r="P223" i="38" a="1"/>
  <c r="P223" i="38" s="1"/>
  <c r="Q223" i="38" s="1"/>
  <c r="P69" i="38" a="1"/>
  <c r="P69" i="38" s="1"/>
  <c r="Q69" i="38" s="1"/>
  <c r="R69" i="38" s="1"/>
  <c r="P222" i="38" a="1"/>
  <c r="P222" i="38" s="1"/>
  <c r="Q222" i="38" s="1"/>
  <c r="P221" i="38" a="1"/>
  <c r="P221" i="38" s="1"/>
  <c r="Q221" i="38" s="1"/>
  <c r="Q177" i="38"/>
  <c r="P220" i="38" a="1"/>
  <c r="P220" i="38" s="1"/>
  <c r="Q220" i="38" s="1"/>
  <c r="P219" i="38" a="1"/>
  <c r="P219" i="38" s="1"/>
  <c r="Q219" i="38" s="1"/>
  <c r="P176" i="38" a="1"/>
  <c r="P176" i="38" s="1"/>
  <c r="Q176" i="38" s="1"/>
  <c r="P128" i="38" a="1"/>
  <c r="P128" i="38" s="1"/>
  <c r="Q128" i="38" s="1"/>
  <c r="P218" i="38" a="1"/>
  <c r="P218" i="38" s="1"/>
  <c r="Q218" i="38" s="1"/>
  <c r="P175" i="38" a="1"/>
  <c r="P175" i="38" s="1"/>
  <c r="Q175" i="38" s="1"/>
  <c r="P210" i="38" a="1"/>
  <c r="P210" i="38" s="1"/>
  <c r="Q210" i="38" s="1"/>
  <c r="P217" i="38" a="1"/>
  <c r="P217" i="38" s="1"/>
  <c r="Q217" i="38" s="1"/>
  <c r="P115" i="38" a="1"/>
  <c r="P115" i="38" s="1"/>
  <c r="P216" i="38" a="1"/>
  <c r="P216" i="38" s="1"/>
  <c r="Q216" i="38" s="1"/>
  <c r="P114" i="38" a="1"/>
  <c r="P114" i="38" s="1"/>
  <c r="P215" i="38" a="1"/>
  <c r="P215" i="38" s="1"/>
  <c r="Q215" i="38" s="1"/>
  <c r="P169" i="38" a="1"/>
  <c r="P169" i="38" s="1"/>
  <c r="P113" i="38" a="1"/>
  <c r="P113" i="38" s="1"/>
  <c r="P143" i="38" a="1"/>
  <c r="P143" i="38" s="1"/>
  <c r="Q143" i="38" s="1"/>
  <c r="P214" i="38" a="1"/>
  <c r="P214" i="38" s="1"/>
  <c r="Q214" i="38" s="1"/>
  <c r="P213" i="38" a="1"/>
  <c r="P213" i="38" s="1"/>
  <c r="Q213" i="38" s="1"/>
  <c r="P154" i="38" a="1"/>
  <c r="P154" i="38" s="1"/>
  <c r="Q154" i="38" s="1"/>
  <c r="P211" i="38" a="1"/>
  <c r="P211" i="38" s="1"/>
  <c r="Q211" i="38" s="1"/>
  <c r="P212" i="38" a="1"/>
  <c r="P212" i="38" s="1"/>
  <c r="Q212" i="38" s="1"/>
  <c r="Q47" i="38"/>
  <c r="Q27" i="38"/>
  <c r="Q11" i="38"/>
  <c r="P71" i="37" a="1"/>
  <c r="P71" i="37" s="1"/>
  <c r="P30" i="37" a="1"/>
  <c r="P30" i="37" s="1"/>
  <c r="J113" i="37" a="1"/>
  <c r="J113" i="37" s="1"/>
  <c r="N137" i="38"/>
  <c r="N136" i="38"/>
  <c r="N144" i="38"/>
  <c r="N143" i="38"/>
  <c r="N142" i="38"/>
  <c r="N138" i="38"/>
  <c r="N145" i="38"/>
  <c r="N140" i="38"/>
  <c r="R140" i="38" s="1"/>
  <c r="N141" i="38"/>
  <c r="R141" i="38" s="1"/>
  <c r="N45" i="38"/>
  <c r="N46" i="38"/>
  <c r="N47" i="38"/>
  <c r="N44" i="38"/>
  <c r="N11" i="38"/>
  <c r="N10" i="38"/>
  <c r="N4" i="38"/>
  <c r="N5" i="38"/>
  <c r="P46" i="38" l="1" a="1"/>
  <c r="P46" i="38" s="1"/>
  <c r="Q46" i="38" s="1"/>
  <c r="F49" i="38" s="1"/>
  <c r="P26" i="38" a="1"/>
  <c r="P26" i="38" s="1"/>
  <c r="Q26" i="38" s="1"/>
  <c r="F29" i="38" s="1"/>
  <c r="R143" i="38"/>
  <c r="R142" i="38"/>
  <c r="R47" i="38"/>
  <c r="R114" i="38"/>
  <c r="Q114" i="38"/>
  <c r="Q115" i="38"/>
  <c r="R115" i="38"/>
  <c r="Q94" i="38"/>
  <c r="R94" i="38"/>
  <c r="Q89" i="38"/>
  <c r="R89" i="38"/>
  <c r="Q113" i="38"/>
  <c r="R113" i="38"/>
  <c r="P10" i="38" a="1"/>
  <c r="P10" i="38" s="1"/>
  <c r="Q10" i="38" s="1"/>
  <c r="F13" i="38" s="1"/>
  <c r="R27" i="38"/>
  <c r="Q73" i="37"/>
  <c r="R73" i="37"/>
  <c r="Q30" i="37"/>
  <c r="R30" i="37"/>
  <c r="Q71" i="37"/>
  <c r="R71" i="37"/>
  <c r="Q32" i="37"/>
  <c r="R32" i="37"/>
  <c r="R11" i="38"/>
  <c r="R4" i="38"/>
  <c r="N37" i="40"/>
  <c r="N36" i="40"/>
  <c r="N35" i="40"/>
  <c r="N34" i="40"/>
  <c r="N33" i="40"/>
  <c r="N32" i="40"/>
  <c r="N31" i="40"/>
  <c r="N30" i="40"/>
  <c r="N29" i="40"/>
  <c r="N28" i="40"/>
  <c r="N27" i="40"/>
  <c r="N26" i="40"/>
  <c r="N38" i="40"/>
  <c r="R46" i="38" l="1"/>
  <c r="R26" i="38"/>
  <c r="R10" i="38"/>
  <c r="N18" i="40"/>
  <c r="N17" i="40"/>
  <c r="N16" i="40"/>
  <c r="N15" i="40"/>
  <c r="N14" i="40"/>
  <c r="N12" i="40"/>
  <c r="N11" i="40"/>
  <c r="N9" i="40"/>
  <c r="N8" i="40"/>
  <c r="N7" i="40"/>
  <c r="N6" i="40"/>
  <c r="N5" i="40"/>
  <c r="N4" i="40"/>
  <c r="T1" i="37"/>
  <c r="N19" i="40" l="1"/>
  <c r="O16" i="40"/>
  <c r="O17" i="40"/>
  <c r="S38" i="36" a="1"/>
  <c r="S38" i="36" s="1"/>
  <c r="S37" i="36" a="1"/>
  <c r="S37" i="36" s="1"/>
  <c r="S36" i="36" a="1"/>
  <c r="S36" i="36" s="1"/>
  <c r="S35" i="36" a="1"/>
  <c r="S35" i="36" s="1"/>
  <c r="S34" i="36" a="1"/>
  <c r="S34" i="36" s="1"/>
  <c r="S33" i="36" a="1"/>
  <c r="S33" i="36" s="1"/>
  <c r="S32" i="36" a="1"/>
  <c r="S32" i="36" s="1"/>
  <c r="S31" i="36" a="1"/>
  <c r="S31" i="36" s="1"/>
  <c r="O18" i="40" l="1"/>
  <c r="D161" i="41"/>
  <c r="M160" i="41"/>
  <c r="M159" i="41"/>
  <c r="M158" i="41"/>
  <c r="M157" i="41"/>
  <c r="P149" i="41"/>
  <c r="N149" i="41"/>
  <c r="L149" i="41"/>
  <c r="P148" i="41"/>
  <c r="N148" i="41"/>
  <c r="L148" i="41"/>
  <c r="P147" i="41"/>
  <c r="N147" i="41"/>
  <c r="L147" i="41"/>
  <c r="P146" i="41"/>
  <c r="N146" i="41"/>
  <c r="L146" i="41"/>
  <c r="P145" i="41"/>
  <c r="N145" i="41"/>
  <c r="L145" i="41"/>
  <c r="P144" i="41"/>
  <c r="N144" i="41"/>
  <c r="L144" i="41"/>
  <c r="P143" i="41"/>
  <c r="N143" i="41"/>
  <c r="L143" i="41"/>
  <c r="P133" i="41"/>
  <c r="N133" i="41"/>
  <c r="P132" i="41"/>
  <c r="N132" i="41"/>
  <c r="P126" i="41"/>
  <c r="N126" i="41"/>
  <c r="L126" i="41"/>
  <c r="P125" i="41"/>
  <c r="N125" i="41"/>
  <c r="L125" i="41"/>
  <c r="P124" i="41"/>
  <c r="N124" i="41"/>
  <c r="L124" i="41"/>
  <c r="P123" i="41"/>
  <c r="N123" i="41"/>
  <c r="L123" i="41"/>
  <c r="P122" i="41"/>
  <c r="N122" i="41"/>
  <c r="L122" i="41"/>
  <c r="P121" i="41"/>
  <c r="N121" i="41"/>
  <c r="L121" i="41"/>
  <c r="P120" i="41"/>
  <c r="N120" i="41"/>
  <c r="L120" i="41"/>
  <c r="P119" i="41"/>
  <c r="N119" i="41"/>
  <c r="L119" i="41"/>
  <c r="P118" i="41"/>
  <c r="N118" i="41"/>
  <c r="L118" i="41"/>
  <c r="P117" i="41"/>
  <c r="N117" i="41"/>
  <c r="L117" i="41"/>
  <c r="P116" i="41"/>
  <c r="N116" i="41"/>
  <c r="L116" i="41"/>
  <c r="P115" i="41"/>
  <c r="N115" i="41"/>
  <c r="L115" i="41"/>
  <c r="P114" i="41"/>
  <c r="N114" i="41"/>
  <c r="L114" i="41"/>
  <c r="P113" i="41"/>
  <c r="N113" i="41"/>
  <c r="L113" i="41"/>
  <c r="P112" i="41"/>
  <c r="N112" i="41"/>
  <c r="L112" i="41"/>
  <c r="L107" i="41"/>
  <c r="P106" i="41"/>
  <c r="N106" i="41"/>
  <c r="P105" i="41"/>
  <c r="N105" i="41"/>
  <c r="P104" i="41"/>
  <c r="N104" i="41"/>
  <c r="P103" i="41"/>
  <c r="N103" i="41"/>
  <c r="P102" i="41"/>
  <c r="N102" i="41"/>
  <c r="P101" i="41"/>
  <c r="N101" i="41"/>
  <c r="P100" i="41"/>
  <c r="N100" i="41"/>
  <c r="P99" i="41"/>
  <c r="N99" i="41"/>
  <c r="P98" i="41"/>
  <c r="N98" i="41"/>
  <c r="P97" i="41"/>
  <c r="N97" i="41"/>
  <c r="P96" i="41"/>
  <c r="N96" i="41"/>
  <c r="P95" i="41"/>
  <c r="N95" i="41"/>
  <c r="P94" i="41"/>
  <c r="N94" i="41"/>
  <c r="P93" i="41"/>
  <c r="N93" i="41"/>
  <c r="P92" i="41"/>
  <c r="N92" i="41"/>
  <c r="P91" i="41"/>
  <c r="N91" i="41"/>
  <c r="P90" i="41"/>
  <c r="N90" i="41"/>
  <c r="P89" i="41"/>
  <c r="N89" i="41"/>
  <c r="P88" i="41"/>
  <c r="N88" i="41"/>
  <c r="P87" i="41"/>
  <c r="P86" i="41"/>
  <c r="P85" i="41"/>
  <c r="P84" i="41"/>
  <c r="P83" i="41"/>
  <c r="P82" i="41"/>
  <c r="P81" i="41"/>
  <c r="N81" i="41"/>
  <c r="P80" i="41"/>
  <c r="N80" i="41"/>
  <c r="L75" i="41"/>
  <c r="P74" i="41"/>
  <c r="N74" i="41"/>
  <c r="P73" i="41"/>
  <c r="N73" i="41"/>
  <c r="P72" i="41"/>
  <c r="N72" i="41"/>
  <c r="P71" i="41"/>
  <c r="N71" i="41"/>
  <c r="P70" i="41"/>
  <c r="N70" i="41"/>
  <c r="P69" i="41"/>
  <c r="N69" i="41"/>
  <c r="P68" i="41"/>
  <c r="N68" i="41"/>
  <c r="P63" i="41"/>
  <c r="M63" i="41"/>
  <c r="K63" i="41"/>
  <c r="P62" i="41"/>
  <c r="M62" i="41"/>
  <c r="K62" i="41"/>
  <c r="P61" i="41"/>
  <c r="M61" i="41"/>
  <c r="K61" i="41"/>
  <c r="P60" i="41"/>
  <c r="M60" i="41"/>
  <c r="K60" i="41"/>
  <c r="P59" i="41"/>
  <c r="M59" i="41"/>
  <c r="K59" i="41"/>
  <c r="P58" i="41"/>
  <c r="M58" i="41"/>
  <c r="K58" i="41"/>
  <c r="P57" i="41"/>
  <c r="M57" i="41"/>
  <c r="K57" i="41"/>
  <c r="P51" i="41"/>
  <c r="M51" i="41"/>
  <c r="K51" i="41"/>
  <c r="O50" i="41"/>
  <c r="P50" i="41" s="1"/>
  <c r="M50" i="41"/>
  <c r="K50" i="41"/>
  <c r="P49" i="41"/>
  <c r="M49" i="41"/>
  <c r="K49" i="41"/>
  <c r="P48" i="41"/>
  <c r="P47" i="41"/>
  <c r="M47" i="41"/>
  <c r="K47" i="41"/>
  <c r="P46" i="41"/>
  <c r="M46" i="41"/>
  <c r="K46" i="41"/>
  <c r="P45" i="41"/>
  <c r="M45" i="41"/>
  <c r="K45" i="41"/>
  <c r="P44" i="41"/>
  <c r="M44" i="41"/>
  <c r="K44" i="41"/>
  <c r="P43" i="41"/>
  <c r="M43" i="41"/>
  <c r="K43" i="41"/>
  <c r="P42" i="41"/>
  <c r="M42" i="41"/>
  <c r="K42" i="41"/>
  <c r="P41" i="41"/>
  <c r="M41" i="41"/>
  <c r="K41" i="41"/>
  <c r="P40" i="41"/>
  <c r="M40" i="41"/>
  <c r="K40" i="41"/>
  <c r="P39" i="41"/>
  <c r="M39" i="41"/>
  <c r="K39" i="41"/>
  <c r="P38" i="41"/>
  <c r="M38" i="41"/>
  <c r="K38" i="41"/>
  <c r="P37" i="41"/>
  <c r="M37" i="41"/>
  <c r="K37" i="41"/>
  <c r="P36" i="41"/>
  <c r="M36" i="41"/>
  <c r="K36" i="41"/>
  <c r="P35" i="41"/>
  <c r="M35" i="41"/>
  <c r="K35" i="41"/>
  <c r="P34" i="41"/>
  <c r="M34" i="41"/>
  <c r="K34" i="41"/>
  <c r="L29" i="41"/>
  <c r="P28" i="41"/>
  <c r="N28" i="41"/>
  <c r="P27" i="41"/>
  <c r="N27" i="41"/>
  <c r="P26" i="41"/>
  <c r="N26" i="41"/>
  <c r="P25" i="41"/>
  <c r="N25" i="41"/>
  <c r="P24" i="41"/>
  <c r="N24" i="41"/>
  <c r="P23" i="41"/>
  <c r="N23" i="41"/>
  <c r="P22" i="41"/>
  <c r="N22" i="41"/>
  <c r="G13" i="41"/>
  <c r="F5" i="41"/>
  <c r="P138" i="41" l="1"/>
  <c r="E12" i="41" s="1"/>
  <c r="N75" i="41"/>
  <c r="N127" i="41"/>
  <c r="P127" i="41"/>
  <c r="E11" i="41" s="1"/>
  <c r="P75" i="41"/>
  <c r="E9" i="41" s="1"/>
  <c r="N107" i="41"/>
  <c r="L150" i="41"/>
  <c r="L127" i="41"/>
  <c r="N29" i="41"/>
  <c r="N150" i="41"/>
  <c r="K64" i="41"/>
  <c r="M64" i="41"/>
  <c r="P150" i="41"/>
  <c r="H13" i="41" s="1"/>
  <c r="P64" i="41"/>
  <c r="E8" i="41" s="1"/>
  <c r="P107" i="41"/>
  <c r="E10" i="41" s="1"/>
  <c r="E5" i="41"/>
  <c r="P29" i="41"/>
  <c r="F6" i="41" s="1"/>
  <c r="E6" i="41" s="1"/>
  <c r="P52" i="41"/>
  <c r="E7" i="41" s="1"/>
  <c r="P29" i="39" l="1" a="1"/>
  <c r="P29" i="39" s="1"/>
  <c r="P27" i="39" a="1"/>
  <c r="P27" i="39" s="1"/>
  <c r="P25" i="39" a="1"/>
  <c r="P25" i="39" s="1"/>
  <c r="P14" i="39" a="1"/>
  <c r="P14" i="39" s="1"/>
  <c r="P13" i="39" a="1"/>
  <c r="P13" i="39" s="1"/>
  <c r="P123" i="39" a="1"/>
  <c r="P123" i="39" s="1"/>
  <c r="Q123" i="39" s="1"/>
  <c r="P122" i="39" a="1"/>
  <c r="P122" i="39" s="1"/>
  <c r="P112" i="39" a="1"/>
  <c r="P112" i="39" s="1"/>
  <c r="Q112" i="39" s="1"/>
  <c r="P111" i="39" a="1"/>
  <c r="P111" i="39" s="1"/>
  <c r="P101" i="39" a="1"/>
  <c r="P101" i="39" s="1"/>
  <c r="Q101" i="39" s="1"/>
  <c r="P100" i="39" a="1"/>
  <c r="P100" i="39" s="1"/>
  <c r="P90" i="39" a="1"/>
  <c r="P90" i="39" s="1"/>
  <c r="Q90" i="39" s="1"/>
  <c r="P89" i="39" a="1"/>
  <c r="P89" i="39" s="1"/>
  <c r="P79" i="39" a="1"/>
  <c r="P79" i="39" s="1"/>
  <c r="Q79" i="39" s="1"/>
  <c r="P78" i="39" a="1"/>
  <c r="P78" i="39" s="1"/>
  <c r="S38" i="39"/>
  <c r="N39" i="39" s="1"/>
  <c r="O39" i="39"/>
  <c r="G40" i="39"/>
  <c r="A38" i="39"/>
  <c r="N25" i="39" l="1"/>
  <c r="N31" i="39"/>
  <c r="N32" i="39"/>
  <c r="N30" i="39"/>
  <c r="N29" i="39"/>
  <c r="N28" i="39"/>
  <c r="I27" i="39"/>
  <c r="K27" i="39" s="1"/>
  <c r="M27" i="39" s="1"/>
  <c r="A24" i="39"/>
  <c r="H26" i="39"/>
  <c r="K26" i="39" s="1"/>
  <c r="M26" i="39" s="1"/>
  <c r="I14" i="39"/>
  <c r="K14" i="39" s="1"/>
  <c r="M14" i="39" s="1"/>
  <c r="O14" i="39" s="1"/>
  <c r="A12" i="39"/>
  <c r="A3" i="39"/>
  <c r="R28" i="39" l="1"/>
  <c r="O27" i="39"/>
  <c r="N27" i="39"/>
  <c r="O26" i="39"/>
  <c r="N26" i="39"/>
  <c r="N18" i="39"/>
  <c r="N17" i="39"/>
  <c r="N16" i="39"/>
  <c r="N14" i="39"/>
  <c r="N15" i="39"/>
  <c r="N13" i="39"/>
  <c r="S3" i="39"/>
  <c r="H4" i="39"/>
  <c r="K4" i="39" s="1"/>
  <c r="M4" i="39" s="1"/>
  <c r="O4" i="39" s="1"/>
  <c r="P26" i="39" a="1"/>
  <c r="P26" i="39" s="1"/>
  <c r="P15" i="39" a="1"/>
  <c r="P15" i="39" s="1"/>
  <c r="P5" i="39" a="1"/>
  <c r="P5" i="39" s="1"/>
  <c r="Q5" i="39" s="1"/>
  <c r="H141" i="39" l="1"/>
  <c r="K141" i="39" s="1"/>
  <c r="H160" i="39"/>
  <c r="H154" i="39"/>
  <c r="H162" i="39"/>
  <c r="H139" i="39"/>
  <c r="K139" i="39" s="1"/>
  <c r="P4" i="39" a="1"/>
  <c r="P4" i="39" s="1"/>
  <c r="Q4" i="39" s="1"/>
  <c r="H142" i="39"/>
  <c r="H164" i="39"/>
  <c r="H157" i="39"/>
  <c r="H158" i="39"/>
  <c r="H163" i="39"/>
  <c r="R16" i="39"/>
  <c r="H149" i="39"/>
  <c r="N6" i="39"/>
  <c r="N5" i="39"/>
  <c r="R5" i="39" s="1"/>
  <c r="N4" i="39"/>
  <c r="P63" i="38" a="1"/>
  <c r="P63" i="38" s="1"/>
  <c r="Q63" i="38" s="1"/>
  <c r="P65" i="38" a="1"/>
  <c r="P65" i="38" s="1"/>
  <c r="P44" i="38" a="1"/>
  <c r="P44" i="38" s="1"/>
  <c r="P24" i="38" a="1"/>
  <c r="P24" i="38" s="1"/>
  <c r="P6" i="38" a="1"/>
  <c r="P6" i="38" s="1"/>
  <c r="P45" i="38" a="1"/>
  <c r="P45" i="38" s="1"/>
  <c r="P25" i="38" a="1"/>
  <c r="P25" i="38" s="1"/>
  <c r="P8" i="38" a="1"/>
  <c r="P8" i="38" s="1"/>
  <c r="P67" i="38" a="1"/>
  <c r="P67" i="38" s="1"/>
  <c r="Q67" i="38" s="1"/>
  <c r="R67" i="38" s="1"/>
  <c r="P64" i="38" a="1"/>
  <c r="P64" i="38" s="1"/>
  <c r="P7" i="38" a="1"/>
  <c r="P7" i="38" s="1"/>
  <c r="P5" i="38" a="1"/>
  <c r="P5" i="38" s="1"/>
  <c r="D118" i="60" l="1"/>
  <c r="G118" i="60" s="1"/>
  <c r="D84" i="60"/>
  <c r="K154" i="39"/>
  <c r="D47" i="60"/>
  <c r="G47" i="60" s="1"/>
  <c r="K142" i="39"/>
  <c r="D9" i="60"/>
  <c r="G9" i="60" s="1"/>
  <c r="K149" i="39"/>
  <c r="D39" i="60"/>
  <c r="G39" i="60" s="1"/>
  <c r="H8" i="39"/>
  <c r="H156" i="39"/>
  <c r="R4" i="39"/>
  <c r="H140" i="39"/>
  <c r="K140" i="39" s="1"/>
  <c r="Q5" i="38"/>
  <c r="R5" i="38"/>
  <c r="Q25" i="38"/>
  <c r="R25" i="38"/>
  <c r="Q45" i="38"/>
  <c r="R45" i="38"/>
  <c r="Q44" i="38"/>
  <c r="R44" i="38"/>
  <c r="Q24" i="38"/>
  <c r="R24" i="38"/>
  <c r="R63" i="38"/>
  <c r="J95" i="37" a="1"/>
  <c r="J95" i="37" s="1"/>
  <c r="J94" i="37" a="1"/>
  <c r="J94" i="37" s="1"/>
  <c r="J93" i="37" a="1"/>
  <c r="J93" i="37" s="1"/>
  <c r="J92" i="37" a="1"/>
  <c r="J92" i="37" s="1"/>
  <c r="Q29" i="38" l="1"/>
  <c r="H29" i="38"/>
  <c r="Q49" i="38"/>
  <c r="H49" i="38"/>
  <c r="O49" i="35"/>
  <c r="O50" i="35"/>
  <c r="O51" i="35"/>
  <c r="O52" i="35"/>
  <c r="O53" i="35"/>
  <c r="O48" i="35"/>
  <c r="G263" i="40"/>
  <c r="G219" i="40"/>
  <c r="O39" i="35"/>
  <c r="O40" i="35"/>
  <c r="O41" i="35"/>
  <c r="O42" i="35"/>
  <c r="O43" i="35"/>
  <c r="O44" i="35"/>
  <c r="O45" i="35"/>
  <c r="O38" i="35"/>
  <c r="O54" i="35" l="1"/>
  <c r="E33" i="35" s="1"/>
  <c r="P32" i="35"/>
  <c r="G131" i="39"/>
  <c r="W130" i="39" l="1"/>
  <c r="A68" i="38"/>
  <c r="A61" i="38"/>
  <c r="G66" i="38"/>
  <c r="H66" i="38"/>
  <c r="C62" i="38" a="1"/>
  <c r="C62" i="38" s="1"/>
  <c r="I64" i="38"/>
  <c r="K64" i="38" s="1"/>
  <c r="C64" i="38"/>
  <c r="I66" i="38" a="1"/>
  <c r="I66" i="38" s="1"/>
  <c r="C66" i="38" a="1"/>
  <c r="C66" i="38" s="1"/>
  <c r="C65" i="38"/>
  <c r="O62" i="38" a="1"/>
  <c r="O62" i="38" s="1"/>
  <c r="I65" i="38"/>
  <c r="K65" i="38" s="1"/>
  <c r="T130" i="39"/>
  <c r="U130" i="39"/>
  <c r="B62" i="38" l="1"/>
  <c r="C96" i="60"/>
  <c r="M65" i="38"/>
  <c r="O65" i="38"/>
  <c r="O64" i="38"/>
  <c r="M64" i="38"/>
  <c r="K66" i="38"/>
  <c r="O68" i="38"/>
  <c r="M68" i="38"/>
  <c r="B66" i="38" a="1"/>
  <c r="B66" i="38" s="1"/>
  <c r="P66" i="38" s="1" a="1"/>
  <c r="P66" i="38" s="1"/>
  <c r="T62" i="40" a="1"/>
  <c r="T62" i="40" s="1"/>
  <c r="S62" i="40" a="1"/>
  <c r="S62" i="40" s="1"/>
  <c r="R62" i="40" a="1"/>
  <c r="R62" i="40" s="1"/>
  <c r="Q62" i="40" a="1"/>
  <c r="Q62" i="40" s="1"/>
  <c r="O34" i="40"/>
  <c r="O33" i="40"/>
  <c r="O32" i="40"/>
  <c r="O37" i="40"/>
  <c r="O36" i="40"/>
  <c r="O35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97" i="40"/>
  <c r="G98" i="40"/>
  <c r="G99" i="40"/>
  <c r="G100" i="40"/>
  <c r="G101" i="40"/>
  <c r="G102" i="40"/>
  <c r="G103" i="40"/>
  <c r="G104" i="40"/>
  <c r="G105" i="40"/>
  <c r="G106" i="40"/>
  <c r="G107" i="40"/>
  <c r="G108" i="40"/>
  <c r="G109" i="40"/>
  <c r="G110" i="40"/>
  <c r="G111" i="40"/>
  <c r="G112" i="40"/>
  <c r="G113" i="40"/>
  <c r="G114" i="40"/>
  <c r="G115" i="40"/>
  <c r="G116" i="40"/>
  <c r="G117" i="40"/>
  <c r="G118" i="40"/>
  <c r="G119" i="40"/>
  <c r="G120" i="40"/>
  <c r="G121" i="40"/>
  <c r="G122" i="40"/>
  <c r="G123" i="40"/>
  <c r="G124" i="40"/>
  <c r="G125" i="40"/>
  <c r="G126" i="40"/>
  <c r="G127" i="40"/>
  <c r="G128" i="40"/>
  <c r="G129" i="40"/>
  <c r="G130" i="40"/>
  <c r="G131" i="40"/>
  <c r="G132" i="40"/>
  <c r="G133" i="40"/>
  <c r="G134" i="40"/>
  <c r="G135" i="40"/>
  <c r="G136" i="40"/>
  <c r="G137" i="40"/>
  <c r="G138" i="40"/>
  <c r="G139" i="40"/>
  <c r="G140" i="40"/>
  <c r="G141" i="40"/>
  <c r="G142" i="40"/>
  <c r="G143" i="40"/>
  <c r="G144" i="40"/>
  <c r="G145" i="40"/>
  <c r="G146" i="40"/>
  <c r="G147" i="40"/>
  <c r="G148" i="40"/>
  <c r="G149" i="40"/>
  <c r="G150" i="40"/>
  <c r="G151" i="40"/>
  <c r="G152" i="40"/>
  <c r="G153" i="40"/>
  <c r="G154" i="40"/>
  <c r="G155" i="40"/>
  <c r="G156" i="40"/>
  <c r="G157" i="40"/>
  <c r="G158" i="40"/>
  <c r="G159" i="40"/>
  <c r="G160" i="40"/>
  <c r="G161" i="40"/>
  <c r="G162" i="40"/>
  <c r="G163" i="40"/>
  <c r="G164" i="40"/>
  <c r="G165" i="40"/>
  <c r="G166" i="40"/>
  <c r="G167" i="40"/>
  <c r="G168" i="40"/>
  <c r="G169" i="40"/>
  <c r="G170" i="40"/>
  <c r="G171" i="40"/>
  <c r="G172" i="40"/>
  <c r="G173" i="40"/>
  <c r="G174" i="40"/>
  <c r="G175" i="40"/>
  <c r="G176" i="40"/>
  <c r="G177" i="40"/>
  <c r="G178" i="40"/>
  <c r="G179" i="40"/>
  <c r="G180" i="40"/>
  <c r="G181" i="40"/>
  <c r="G182" i="40"/>
  <c r="G183" i="40"/>
  <c r="G184" i="40"/>
  <c r="G185" i="40"/>
  <c r="G186" i="40"/>
  <c r="G187" i="40"/>
  <c r="G188" i="40"/>
  <c r="G189" i="40"/>
  <c r="G190" i="40"/>
  <c r="G191" i="40"/>
  <c r="G192" i="40"/>
  <c r="G193" i="40"/>
  <c r="G194" i="40"/>
  <c r="G195" i="40"/>
  <c r="G196" i="40"/>
  <c r="G197" i="40"/>
  <c r="G198" i="40"/>
  <c r="G199" i="40"/>
  <c r="G200" i="40"/>
  <c r="G201" i="40"/>
  <c r="G202" i="40"/>
  <c r="G203" i="40"/>
  <c r="G204" i="40"/>
  <c r="G205" i="40"/>
  <c r="G206" i="40"/>
  <c r="G207" i="40"/>
  <c r="G208" i="40"/>
  <c r="G209" i="40"/>
  <c r="G210" i="40"/>
  <c r="G211" i="40"/>
  <c r="G212" i="40"/>
  <c r="G213" i="40"/>
  <c r="G214" i="40"/>
  <c r="G215" i="40"/>
  <c r="G216" i="40"/>
  <c r="G217" i="40"/>
  <c r="G218" i="40"/>
  <c r="G220" i="40"/>
  <c r="G221" i="40"/>
  <c r="G222" i="40"/>
  <c r="G223" i="40"/>
  <c r="G224" i="40"/>
  <c r="G225" i="40"/>
  <c r="G226" i="40"/>
  <c r="G227" i="40"/>
  <c r="G228" i="40"/>
  <c r="G229" i="40"/>
  <c r="G230" i="40"/>
  <c r="G231" i="40"/>
  <c r="G232" i="40"/>
  <c r="G233" i="40"/>
  <c r="G234" i="40"/>
  <c r="G235" i="40"/>
  <c r="G236" i="40"/>
  <c r="G237" i="40"/>
  <c r="G238" i="40"/>
  <c r="G239" i="40"/>
  <c r="G240" i="40"/>
  <c r="G241" i="40"/>
  <c r="G242" i="40"/>
  <c r="G243" i="40"/>
  <c r="G244" i="40"/>
  <c r="G245" i="40"/>
  <c r="G246" i="40"/>
  <c r="G247" i="40"/>
  <c r="G248" i="40"/>
  <c r="G249" i="40"/>
  <c r="G250" i="40"/>
  <c r="G251" i="40"/>
  <c r="G252" i="40"/>
  <c r="G253" i="40"/>
  <c r="G254" i="40"/>
  <c r="G255" i="40"/>
  <c r="G256" i="40"/>
  <c r="G257" i="40"/>
  <c r="G258" i="40"/>
  <c r="G259" i="40"/>
  <c r="G260" i="40"/>
  <c r="G261" i="40"/>
  <c r="G262" i="40"/>
  <c r="G264" i="40"/>
  <c r="G265" i="40"/>
  <c r="G266" i="40"/>
  <c r="G267" i="40"/>
  <c r="G268" i="40"/>
  <c r="G269" i="40"/>
  <c r="G270" i="40"/>
  <c r="G64" i="40"/>
  <c r="G65" i="40"/>
  <c r="G66" i="40"/>
  <c r="G67" i="40"/>
  <c r="G68" i="40"/>
  <c r="G69" i="40"/>
  <c r="G70" i="40"/>
  <c r="G71" i="40"/>
  <c r="A96" i="60" l="1"/>
  <c r="H305" i="38"/>
  <c r="H272" i="38"/>
  <c r="H311" i="38"/>
  <c r="H273" i="38"/>
  <c r="H293" i="38"/>
  <c r="H289" i="38"/>
  <c r="H303" i="38"/>
  <c r="H317" i="38"/>
  <c r="H320" i="38"/>
  <c r="H274" i="38"/>
  <c r="H288" i="38"/>
  <c r="H304" i="38"/>
  <c r="H306" i="38"/>
  <c r="H314" i="38"/>
  <c r="H297" i="38"/>
  <c r="H302" i="38"/>
  <c r="H271" i="38"/>
  <c r="H308" i="38"/>
  <c r="H251" i="38"/>
  <c r="Q68" i="38"/>
  <c r="R68" i="38" s="1"/>
  <c r="N68" i="38"/>
  <c r="M66" i="38"/>
  <c r="O66" i="38"/>
  <c r="Q64" i="38"/>
  <c r="N64" i="38"/>
  <c r="Q65" i="38"/>
  <c r="R65" i="38" s="1"/>
  <c r="N65" i="38"/>
  <c r="O31" i="40"/>
  <c r="O30" i="40"/>
  <c r="O29" i="40"/>
  <c r="Q62" i="38" l="1"/>
  <c r="F72" i="38" s="1"/>
  <c r="P91" i="39" a="1"/>
  <c r="P91" i="39" s="1"/>
  <c r="Q91" i="39" s="1"/>
  <c r="J316" i="38" a="1"/>
  <c r="J316" i="38" s="1"/>
  <c r="P181" i="38" a="1"/>
  <c r="P181" i="38" s="1"/>
  <c r="Q181" i="38" s="1"/>
  <c r="P90" i="38" a="1"/>
  <c r="P90" i="38" s="1"/>
  <c r="P58" i="37" a="1"/>
  <c r="P58" i="37" s="1"/>
  <c r="P81" i="39" a="1"/>
  <c r="P81" i="39" s="1"/>
  <c r="Q81" i="39" s="1"/>
  <c r="J315" i="38" a="1"/>
  <c r="J315" i="38" s="1"/>
  <c r="P180" i="38" a="1"/>
  <c r="P180" i="38" s="1"/>
  <c r="Q180" i="38" s="1"/>
  <c r="J163" i="39" a="1"/>
  <c r="J163" i="39" s="1"/>
  <c r="K163" i="39" s="1"/>
  <c r="J162" i="39" a="1"/>
  <c r="J162" i="39" s="1"/>
  <c r="K162" i="39" s="1"/>
  <c r="P80" i="39" a="1"/>
  <c r="P80" i="39" s="1"/>
  <c r="Q80" i="39" s="1"/>
  <c r="J314" i="38" a="1"/>
  <c r="J314" i="38" s="1"/>
  <c r="K314" i="38" s="1"/>
  <c r="P179" i="38" a="1"/>
  <c r="P179" i="38" s="1"/>
  <c r="Q179" i="38" s="1"/>
  <c r="J161" i="39" a="1"/>
  <c r="J161" i="39" s="1"/>
  <c r="P32" i="39" a="1"/>
  <c r="P32" i="39" s="1"/>
  <c r="J313" i="38" a="1"/>
  <c r="J313" i="38" s="1"/>
  <c r="P178" i="38" a="1"/>
  <c r="P178" i="38" s="1"/>
  <c r="Q178" i="38" s="1"/>
  <c r="J160" i="39" a="1"/>
  <c r="J160" i="39" s="1"/>
  <c r="K160" i="39" s="1"/>
  <c r="P31" i="39" a="1"/>
  <c r="P31" i="39" s="1"/>
  <c r="J312" i="38" a="1"/>
  <c r="J312" i="38" s="1"/>
  <c r="P155" i="38" a="1"/>
  <c r="P155" i="38" s="1"/>
  <c r="Q155" i="38" s="1"/>
  <c r="F157" i="38" s="1"/>
  <c r="J159" i="39" a="1"/>
  <c r="J159" i="39" s="1"/>
  <c r="P30" i="39" a="1"/>
  <c r="P30" i="39" s="1"/>
  <c r="J311" i="38" a="1"/>
  <c r="J311" i="38" s="1"/>
  <c r="K311" i="38" s="1"/>
  <c r="P145" i="38" a="1"/>
  <c r="P145" i="38" s="1"/>
  <c r="J121" i="37" a="1"/>
  <c r="J121" i="37" s="1"/>
  <c r="P33" i="37" a="1"/>
  <c r="P33" i="37" s="1"/>
  <c r="P18" i="39" a="1"/>
  <c r="P18" i="39" s="1"/>
  <c r="P144" i="38" a="1"/>
  <c r="P144" i="38" s="1"/>
  <c r="J120" i="37" a="1"/>
  <c r="J120" i="37" s="1"/>
  <c r="P17" i="39" a="1"/>
  <c r="P17" i="39" s="1"/>
  <c r="J308" i="38" a="1"/>
  <c r="J308" i="38" s="1"/>
  <c r="K308" i="38" s="1"/>
  <c r="P131" i="38" a="1"/>
  <c r="P131" i="38" s="1"/>
  <c r="Q131" i="38" s="1"/>
  <c r="J119" i="37" a="1"/>
  <c r="J119" i="37" s="1"/>
  <c r="P16" i="37" a="1"/>
  <c r="P16" i="37" s="1"/>
  <c r="P93" i="38" a="1"/>
  <c r="P93" i="38" s="1"/>
  <c r="P82" i="37" a="1"/>
  <c r="P82" i="37" s="1"/>
  <c r="J318" i="38" a="1"/>
  <c r="J318" i="38" s="1"/>
  <c r="P225" i="38" a="1"/>
  <c r="P225" i="38" s="1"/>
  <c r="Q225" i="38" s="1"/>
  <c r="F227" i="38" s="1"/>
  <c r="P92" i="38" a="1"/>
  <c r="P92" i="38" s="1"/>
  <c r="P74" i="37" a="1"/>
  <c r="P74" i="37" s="1"/>
  <c r="P56" i="37" a="1"/>
  <c r="P56" i="37" s="1"/>
  <c r="J158" i="39" a="1"/>
  <c r="J158" i="39" s="1"/>
  <c r="K158" i="39" s="1"/>
  <c r="J310" i="38" a="1"/>
  <c r="J310" i="38" s="1"/>
  <c r="J157" i="39" a="1"/>
  <c r="J157" i="39" s="1"/>
  <c r="K157" i="39" s="1"/>
  <c r="J156" i="39" a="1"/>
  <c r="J156" i="39" s="1"/>
  <c r="K156" i="39" s="1"/>
  <c r="P6" i="39" a="1"/>
  <c r="P6" i="39" s="1"/>
  <c r="J307" i="38" a="1"/>
  <c r="J307" i="38" s="1"/>
  <c r="P130" i="38" a="1"/>
  <c r="P130" i="38" s="1"/>
  <c r="Q130" i="38" s="1"/>
  <c r="J118" i="37" a="1"/>
  <c r="J118" i="37" s="1"/>
  <c r="P15" i="37" a="1"/>
  <c r="P15" i="37" s="1"/>
  <c r="J305" i="38" a="1"/>
  <c r="J305" i="38" s="1"/>
  <c r="K305" i="38" s="1"/>
  <c r="J116" i="37" a="1"/>
  <c r="J116" i="37" s="1"/>
  <c r="P125" i="39" a="1"/>
  <c r="P125" i="39" s="1"/>
  <c r="Q125" i="39" s="1"/>
  <c r="J306" i="38" a="1"/>
  <c r="J306" i="38" s="1"/>
  <c r="K306" i="38" s="1"/>
  <c r="P129" i="38" a="1"/>
  <c r="P129" i="38" s="1"/>
  <c r="Q129" i="38" s="1"/>
  <c r="J117" i="37" a="1"/>
  <c r="J117" i="37" s="1"/>
  <c r="P14" i="37" a="1"/>
  <c r="P14" i="37" s="1"/>
  <c r="J321" i="38" a="1"/>
  <c r="J321" i="38" s="1"/>
  <c r="P116" i="38" a="1"/>
  <c r="P116" i="38" s="1"/>
  <c r="P13" i="37" a="1"/>
  <c r="P13" i="37" s="1"/>
  <c r="J320" i="38" a="1"/>
  <c r="J320" i="38" s="1"/>
  <c r="K320" i="38" s="1"/>
  <c r="J115" i="37" a="1"/>
  <c r="J115" i="37" s="1"/>
  <c r="P124" i="39" a="1"/>
  <c r="P124" i="39" s="1"/>
  <c r="Q124" i="39" s="1"/>
  <c r="P57" i="37" a="1"/>
  <c r="P57" i="37" s="1"/>
  <c r="P55" i="37" a="1"/>
  <c r="P55" i="37" s="1"/>
  <c r="P54" i="37" a="1"/>
  <c r="P54" i="37" s="1"/>
  <c r="P114" i="39" a="1"/>
  <c r="P114" i="39" s="1"/>
  <c r="Q114" i="39" s="1"/>
  <c r="P95" i="38" a="1"/>
  <c r="P95" i="38" s="1"/>
  <c r="P17" i="37" a="1"/>
  <c r="P17" i="37" s="1"/>
  <c r="P113" i="39" a="1"/>
  <c r="P113" i="39" s="1"/>
  <c r="Q113" i="39" s="1"/>
  <c r="J319" i="38" a="1"/>
  <c r="J319" i="38" s="1"/>
  <c r="P103" i="39" a="1"/>
  <c r="P103" i="39" s="1"/>
  <c r="Q103" i="39" s="1"/>
  <c r="P102" i="39" a="1"/>
  <c r="P102" i="39" s="1"/>
  <c r="Q102" i="39" s="1"/>
  <c r="P92" i="39" a="1"/>
  <c r="P92" i="39" s="1"/>
  <c r="Q92" i="39" s="1"/>
  <c r="J317" i="38" a="1"/>
  <c r="J317" i="38" s="1"/>
  <c r="K317" i="38" s="1"/>
  <c r="P182" i="38" a="1"/>
  <c r="P182" i="38" s="1"/>
  <c r="Q182" i="38" s="1"/>
  <c r="P91" i="38" a="1"/>
  <c r="P91" i="38" s="1"/>
  <c r="D99" i="60"/>
  <c r="G99" i="60" s="1"/>
  <c r="K302" i="38"/>
  <c r="D93" i="60"/>
  <c r="G93" i="60" s="1"/>
  <c r="D106" i="60"/>
  <c r="G106" i="60" s="1"/>
  <c r="K304" i="38"/>
  <c r="D95" i="60"/>
  <c r="G95" i="60" s="1"/>
  <c r="D116" i="60"/>
  <c r="G116" i="60" s="1"/>
  <c r="D113" i="60"/>
  <c r="G113" i="60" s="1"/>
  <c r="K303" i="38"/>
  <c r="D94" i="60"/>
  <c r="G94" i="60" s="1"/>
  <c r="D102" i="60"/>
  <c r="G102" i="60" s="1"/>
  <c r="D97" i="60"/>
  <c r="G97" i="60" s="1"/>
  <c r="K288" i="38"/>
  <c r="D68" i="60"/>
  <c r="G68" i="60" s="1"/>
  <c r="K274" i="38"/>
  <c r="D52" i="60"/>
  <c r="G52" i="60" s="1"/>
  <c r="K297" i="38"/>
  <c r="D77" i="60"/>
  <c r="G77" i="60" s="1"/>
  <c r="K289" i="38"/>
  <c r="D69" i="60"/>
  <c r="G69" i="60" s="1"/>
  <c r="K293" i="38"/>
  <c r="D73" i="60"/>
  <c r="G73" i="60" s="1"/>
  <c r="K273" i="38"/>
  <c r="D49" i="60"/>
  <c r="G49" i="60" s="1"/>
  <c r="K271" i="38"/>
  <c r="D56" i="60"/>
  <c r="G56" i="60" s="1"/>
  <c r="K272" i="38"/>
  <c r="D57" i="60"/>
  <c r="G57" i="60" s="1"/>
  <c r="K251" i="38"/>
  <c r="D27" i="60"/>
  <c r="G27" i="60" s="1"/>
  <c r="Q66" i="38"/>
  <c r="R66" i="38" s="1"/>
  <c r="N66" i="38"/>
  <c r="R64" i="38"/>
  <c r="I122" i="39"/>
  <c r="K122" i="39" s="1"/>
  <c r="M122" i="39" s="1"/>
  <c r="S109" i="39"/>
  <c r="I111" i="39" s="1"/>
  <c r="K111" i="39" s="1"/>
  <c r="M111" i="39" s="1"/>
  <c r="I100" i="39"/>
  <c r="K100" i="39" s="1"/>
  <c r="M100" i="39" s="1"/>
  <c r="I89" i="39"/>
  <c r="K89" i="39" s="1"/>
  <c r="M89" i="39" s="1"/>
  <c r="H278" i="38" l="1"/>
  <c r="K278" i="38" s="1"/>
  <c r="H277" i="38"/>
  <c r="R62" i="38"/>
  <c r="F128" i="39"/>
  <c r="V121" i="39" s="1"/>
  <c r="F84" i="39"/>
  <c r="F117" i="39"/>
  <c r="V110" i="39" s="1"/>
  <c r="Q31" i="39"/>
  <c r="R31" i="39"/>
  <c r="Q17" i="39"/>
  <c r="R17" i="39"/>
  <c r="Q6" i="39"/>
  <c r="R6" i="39"/>
  <c r="Q90" i="38"/>
  <c r="R90" i="38"/>
  <c r="Q32" i="39"/>
  <c r="R32" i="39"/>
  <c r="F106" i="39"/>
  <c r="V99" i="39" s="1"/>
  <c r="Q30" i="39"/>
  <c r="R30" i="39"/>
  <c r="F95" i="39"/>
  <c r="V88" i="39" s="1"/>
  <c r="Q18" i="39"/>
  <c r="R18" i="39"/>
  <c r="Q145" i="38"/>
  <c r="R145" i="38"/>
  <c r="Q116" i="38"/>
  <c r="F118" i="38" s="1"/>
  <c r="R116" i="38"/>
  <c r="Q95" i="38"/>
  <c r="R95" i="38"/>
  <c r="Q91" i="38"/>
  <c r="R91" i="38"/>
  <c r="Q144" i="38"/>
  <c r="R144" i="38"/>
  <c r="F133" i="38"/>
  <c r="Q93" i="38"/>
  <c r="R93" i="38"/>
  <c r="Q92" i="38"/>
  <c r="R92" i="38"/>
  <c r="R33" i="37"/>
  <c r="Q33" i="37"/>
  <c r="Q82" i="37"/>
  <c r="R82" i="37"/>
  <c r="D84" i="37" s="1"/>
  <c r="R58" i="37"/>
  <c r="Q58" i="37"/>
  <c r="Q16" i="37"/>
  <c r="R16" i="37"/>
  <c r="Q54" i="37"/>
  <c r="R54" i="37"/>
  <c r="Q17" i="37"/>
  <c r="R17" i="37"/>
  <c r="Q57" i="37"/>
  <c r="R57" i="37"/>
  <c r="Q56" i="37"/>
  <c r="R56" i="37"/>
  <c r="R13" i="37"/>
  <c r="Q13" i="37"/>
  <c r="Q55" i="37"/>
  <c r="R55" i="37"/>
  <c r="Q14" i="37"/>
  <c r="R14" i="37"/>
  <c r="R74" i="37"/>
  <c r="Q74" i="37"/>
  <c r="Q15" i="37"/>
  <c r="R15" i="37"/>
  <c r="U99" i="39"/>
  <c r="N102" i="39"/>
  <c r="R102" i="39" s="1"/>
  <c r="N101" i="39"/>
  <c r="R101" i="39" s="1"/>
  <c r="N104" i="39"/>
  <c r="R104" i="39" s="1"/>
  <c r="N103" i="39"/>
  <c r="R103" i="39" s="1"/>
  <c r="N79" i="39"/>
  <c r="R79" i="39" s="1"/>
  <c r="N81" i="39"/>
  <c r="N80" i="39"/>
  <c r="N82" i="39"/>
  <c r="U88" i="39"/>
  <c r="N90" i="39"/>
  <c r="R90" i="39" s="1"/>
  <c r="N91" i="39"/>
  <c r="R91" i="39" s="1"/>
  <c r="N92" i="39"/>
  <c r="R92" i="39" s="1"/>
  <c r="N93" i="39"/>
  <c r="R93" i="39" s="1"/>
  <c r="U110" i="39"/>
  <c r="N115" i="39"/>
  <c r="R115" i="39" s="1"/>
  <c r="N112" i="39"/>
  <c r="R112" i="39" s="1"/>
  <c r="N113" i="39"/>
  <c r="R113" i="39" s="1"/>
  <c r="N114" i="39"/>
  <c r="R114" i="39" s="1"/>
  <c r="U121" i="39"/>
  <c r="N125" i="39"/>
  <c r="R125" i="39" s="1"/>
  <c r="N126" i="39"/>
  <c r="R126" i="39" s="1"/>
  <c r="N123" i="39"/>
  <c r="R123" i="39" s="1"/>
  <c r="N124" i="39"/>
  <c r="R124" i="39" s="1"/>
  <c r="N100" i="39"/>
  <c r="R100" i="39" s="1"/>
  <c r="O100" i="39"/>
  <c r="O106" i="39" s="1"/>
  <c r="Q100" i="39"/>
  <c r="N89" i="39"/>
  <c r="R89" i="39" s="1"/>
  <c r="Q89" i="39"/>
  <c r="O89" i="39"/>
  <c r="O95" i="39" s="1"/>
  <c r="N111" i="39"/>
  <c r="R111" i="39" s="1"/>
  <c r="O111" i="39"/>
  <c r="O117" i="39" s="1"/>
  <c r="Q111" i="39"/>
  <c r="O122" i="39"/>
  <c r="O128" i="39" s="1"/>
  <c r="N122" i="39"/>
  <c r="R122" i="39" s="1"/>
  <c r="Q122" i="39"/>
  <c r="H72" i="38"/>
  <c r="Q72" i="38"/>
  <c r="U61" i="38"/>
  <c r="G63" i="40"/>
  <c r="U82" i="38"/>
  <c r="W135" i="38"/>
  <c r="U38" i="39"/>
  <c r="U12" i="39"/>
  <c r="W3" i="39"/>
  <c r="W24" i="39"/>
  <c r="O15" i="40"/>
  <c r="O11" i="40"/>
  <c r="I196" i="38"/>
  <c r="O38" i="40"/>
  <c r="O28" i="40"/>
  <c r="O27" i="40"/>
  <c r="O26" i="40"/>
  <c r="O24" i="40"/>
  <c r="O23" i="40"/>
  <c r="O22" i="40"/>
  <c r="O21" i="40"/>
  <c r="O12" i="40"/>
  <c r="O9" i="40"/>
  <c r="O8" i="40"/>
  <c r="O7" i="40"/>
  <c r="O6" i="40"/>
  <c r="O5" i="40"/>
  <c r="O4" i="40"/>
  <c r="I78" i="39"/>
  <c r="K78" i="39" s="1"/>
  <c r="M78" i="39" s="1"/>
  <c r="U77" i="39"/>
  <c r="O73" i="39"/>
  <c r="R71" i="39"/>
  <c r="R73" i="39" s="1"/>
  <c r="V70" i="39" s="1"/>
  <c r="O68" i="39"/>
  <c r="R66" i="39"/>
  <c r="R68" i="39" s="1"/>
  <c r="V65" i="39" s="1"/>
  <c r="O63" i="39"/>
  <c r="R61" i="39"/>
  <c r="R63" i="39" s="1"/>
  <c r="V60" i="39" s="1"/>
  <c r="O58" i="39"/>
  <c r="R56" i="39"/>
  <c r="R58" i="39" s="1"/>
  <c r="V55" i="39" s="1"/>
  <c r="O53" i="39"/>
  <c r="R51" i="39"/>
  <c r="R53" i="39" s="1"/>
  <c r="V50" i="39" s="1"/>
  <c r="O41" i="39"/>
  <c r="O16" i="39"/>
  <c r="O20" i="39" s="1"/>
  <c r="K207" i="38"/>
  <c r="M207" i="38" s="1"/>
  <c r="K204" i="38"/>
  <c r="M204" i="38" s="1"/>
  <c r="K172" i="38"/>
  <c r="M172" i="38" s="1"/>
  <c r="O171" i="38"/>
  <c r="K170" i="38"/>
  <c r="M170" i="38" s="1"/>
  <c r="O169" i="38"/>
  <c r="K169" i="38"/>
  <c r="K163" i="38"/>
  <c r="M163" i="38" s="1"/>
  <c r="K162" i="38"/>
  <c r="M162" i="38" s="1"/>
  <c r="K161" i="38"/>
  <c r="M161" i="38" s="1"/>
  <c r="K139" i="38"/>
  <c r="M139" i="38" s="1"/>
  <c r="K127" i="38"/>
  <c r="M127" i="38" s="1"/>
  <c r="Q127" i="38" s="1"/>
  <c r="K112" i="38"/>
  <c r="M112" i="38" s="1"/>
  <c r="K111" i="38"/>
  <c r="M111" i="38" s="1"/>
  <c r="K110" i="38"/>
  <c r="M110" i="38" s="1"/>
  <c r="K109" i="38"/>
  <c r="M109" i="38" s="1"/>
  <c r="N109" i="38" s="1"/>
  <c r="W61" i="38"/>
  <c r="W43" i="38"/>
  <c r="U43" i="38"/>
  <c r="O10" i="38"/>
  <c r="K9" i="38"/>
  <c r="O9" i="38" s="1"/>
  <c r="K8" i="38"/>
  <c r="O8" i="38" s="1"/>
  <c r="K7" i="38"/>
  <c r="O7" i="38" s="1"/>
  <c r="K6" i="38"/>
  <c r="O6" i="38" s="1"/>
  <c r="W3" i="38"/>
  <c r="U3" i="38"/>
  <c r="O81" i="37"/>
  <c r="W78" i="37"/>
  <c r="U78" i="37"/>
  <c r="U62" i="37"/>
  <c r="K44" i="37"/>
  <c r="M44" i="37" s="1"/>
  <c r="W37" i="37"/>
  <c r="U37" i="37"/>
  <c r="U21" i="37"/>
  <c r="W4" i="37"/>
  <c r="U4" i="37"/>
  <c r="D55" i="60" l="1"/>
  <c r="G55" i="60" s="1"/>
  <c r="D58" i="60"/>
  <c r="G58" i="60" s="1"/>
  <c r="K277" i="38"/>
  <c r="D96" i="60"/>
  <c r="G96" i="60" s="1"/>
  <c r="F147" i="38"/>
  <c r="V135" i="38" s="1"/>
  <c r="F34" i="39"/>
  <c r="V24" i="39" s="1"/>
  <c r="F8" i="39"/>
  <c r="V3" i="39" s="1"/>
  <c r="Q8" i="39"/>
  <c r="F20" i="39"/>
  <c r="V12" i="39" s="1"/>
  <c r="F97" i="38"/>
  <c r="V82" i="38" s="1"/>
  <c r="Q112" i="38"/>
  <c r="N112" i="38"/>
  <c r="Q111" i="38"/>
  <c r="N111" i="38"/>
  <c r="Q110" i="38"/>
  <c r="N110" i="38"/>
  <c r="R110" i="38" s="1"/>
  <c r="O44" i="37"/>
  <c r="Q44" i="37"/>
  <c r="N44" i="37"/>
  <c r="R82" i="39"/>
  <c r="H155" i="39"/>
  <c r="R80" i="39"/>
  <c r="H159" i="39"/>
  <c r="R81" i="39"/>
  <c r="H161" i="39"/>
  <c r="H128" i="39"/>
  <c r="Q128" i="39"/>
  <c r="H117" i="39"/>
  <c r="Q117" i="39"/>
  <c r="O78" i="39"/>
  <c r="O84" i="39" s="1"/>
  <c r="N78" i="39"/>
  <c r="Q78" i="39"/>
  <c r="H95" i="39"/>
  <c r="Q95" i="39"/>
  <c r="Q106" i="39"/>
  <c r="H106" i="39"/>
  <c r="U186" i="38"/>
  <c r="N211" i="38"/>
  <c r="H279" i="38" s="1"/>
  <c r="D59" i="60" s="1"/>
  <c r="G59" i="60" s="1"/>
  <c r="N213" i="38"/>
  <c r="H282" i="38" s="1"/>
  <c r="D62" i="60" s="1"/>
  <c r="G62" i="60" s="1"/>
  <c r="N202" i="38"/>
  <c r="N212" i="38"/>
  <c r="H281" i="38" s="1"/>
  <c r="D61" i="60" s="1"/>
  <c r="G61" i="60" s="1"/>
  <c r="N214" i="38"/>
  <c r="H280" i="38" s="1"/>
  <c r="D60" i="60" s="1"/>
  <c r="G60" i="60" s="1"/>
  <c r="N195" i="38"/>
  <c r="N215" i="38"/>
  <c r="H284" i="38" s="1"/>
  <c r="D64" i="60" s="1"/>
  <c r="G64" i="60" s="1"/>
  <c r="N210" i="38"/>
  <c r="H298" i="38" s="1"/>
  <c r="D78" i="60" s="1"/>
  <c r="G78" i="60" s="1"/>
  <c r="N192" i="38"/>
  <c r="N208" i="38"/>
  <c r="N216" i="38"/>
  <c r="H295" i="38" s="1"/>
  <c r="D75" i="60" s="1"/>
  <c r="G75" i="60" s="1"/>
  <c r="N194" i="38"/>
  <c r="N188" i="38"/>
  <c r="N224" i="38"/>
  <c r="H292" i="38" s="1"/>
  <c r="D72" i="60" s="1"/>
  <c r="G72" i="60" s="1"/>
  <c r="N217" i="38"/>
  <c r="H296" i="38" s="1"/>
  <c r="D76" i="60" s="1"/>
  <c r="G76" i="60" s="1"/>
  <c r="N219" i="38"/>
  <c r="H283" i="38" s="1"/>
  <c r="D63" i="60" s="1"/>
  <c r="G63" i="60" s="1"/>
  <c r="N223" i="38"/>
  <c r="H291" i="38" s="1"/>
  <c r="D71" i="60" s="1"/>
  <c r="G71" i="60" s="1"/>
  <c r="N225" i="38"/>
  <c r="N218" i="38"/>
  <c r="H294" i="38" s="1"/>
  <c r="D74" i="60" s="1"/>
  <c r="G74" i="60" s="1"/>
  <c r="N209" i="38"/>
  <c r="R209" i="38" s="1"/>
  <c r="N220" i="38"/>
  <c r="H287" i="38" s="1"/>
  <c r="D67" i="60" s="1"/>
  <c r="G67" i="60" s="1"/>
  <c r="N193" i="38"/>
  <c r="N221" i="38"/>
  <c r="H286" i="38" s="1"/>
  <c r="D66" i="60" s="1"/>
  <c r="G66" i="60" s="1"/>
  <c r="N222" i="38"/>
  <c r="H285" i="38" s="1"/>
  <c r="D65" i="60" s="1"/>
  <c r="G65" i="60" s="1"/>
  <c r="N199" i="38"/>
  <c r="D76" i="37"/>
  <c r="V62" i="37" s="1"/>
  <c r="N207" i="38"/>
  <c r="Q207" i="38"/>
  <c r="N204" i="38"/>
  <c r="R204" i="38" s="1"/>
  <c r="Q204" i="38"/>
  <c r="W124" i="38"/>
  <c r="N131" i="38"/>
  <c r="H307" i="38" s="1"/>
  <c r="D98" i="60" s="1"/>
  <c r="G98" i="60" s="1"/>
  <c r="N130" i="38"/>
  <c r="N129" i="38"/>
  <c r="H313" i="38" s="1"/>
  <c r="D105" i="60" s="1"/>
  <c r="G105" i="60" s="1"/>
  <c r="N128" i="38"/>
  <c r="H290" i="38" s="1"/>
  <c r="D70" i="60" s="1"/>
  <c r="G70" i="60" s="1"/>
  <c r="N127" i="38"/>
  <c r="N126" i="38"/>
  <c r="N125" i="38"/>
  <c r="L169" i="38"/>
  <c r="M169" i="38"/>
  <c r="W108" i="38"/>
  <c r="O170" i="38"/>
  <c r="N172" i="38"/>
  <c r="Q172" i="38"/>
  <c r="N163" i="38"/>
  <c r="O163" i="38"/>
  <c r="N161" i="38"/>
  <c r="O161" i="38"/>
  <c r="O109" i="38"/>
  <c r="O118" i="38" s="1"/>
  <c r="U159" i="38"/>
  <c r="N170" i="38"/>
  <c r="N175" i="38"/>
  <c r="H300" i="38" s="1"/>
  <c r="D80" i="60" s="1"/>
  <c r="G80" i="60" s="1"/>
  <c r="N162" i="38"/>
  <c r="H244" i="38" s="1"/>
  <c r="D19" i="60" s="1"/>
  <c r="G19" i="60" s="1"/>
  <c r="N177" i="38"/>
  <c r="H322" i="38" s="1"/>
  <c r="N173" i="38"/>
  <c r="H276" i="38" s="1"/>
  <c r="D54" i="60" s="1"/>
  <c r="G54" i="60" s="1"/>
  <c r="N176" i="38"/>
  <c r="H301" i="38" s="1"/>
  <c r="D81" i="60" s="1"/>
  <c r="G81" i="60" s="1"/>
  <c r="N174" i="38"/>
  <c r="H275" i="38" s="1"/>
  <c r="D53" i="60" s="1"/>
  <c r="G53" i="60" s="1"/>
  <c r="N178" i="38"/>
  <c r="H315" i="38" s="1"/>
  <c r="D108" i="60" s="1"/>
  <c r="G108" i="60" s="1"/>
  <c r="N179" i="38"/>
  <c r="R179" i="38" s="1"/>
  <c r="N180" i="38"/>
  <c r="H312" i="38" s="1"/>
  <c r="D104" i="60" s="1"/>
  <c r="G104" i="60" s="1"/>
  <c r="N181" i="38"/>
  <c r="H318" i="38" s="1"/>
  <c r="D114" i="60" s="1"/>
  <c r="G114" i="60" s="1"/>
  <c r="N182" i="38"/>
  <c r="H319" i="38" s="1"/>
  <c r="D115" i="60" s="1"/>
  <c r="G115" i="60" s="1"/>
  <c r="N171" i="38"/>
  <c r="K196" i="38"/>
  <c r="M196" i="38" s="1"/>
  <c r="W149" i="38"/>
  <c r="N155" i="38"/>
  <c r="H316" i="38" s="1"/>
  <c r="D111" i="60" s="1"/>
  <c r="G111" i="60" s="1"/>
  <c r="N154" i="38"/>
  <c r="H299" i="38" s="1"/>
  <c r="D79" i="60" s="1"/>
  <c r="G79" i="60" s="1"/>
  <c r="N153" i="38"/>
  <c r="N151" i="38"/>
  <c r="Q139" i="38"/>
  <c r="N139" i="38"/>
  <c r="M9" i="38"/>
  <c r="M8" i="38"/>
  <c r="M7" i="38"/>
  <c r="M6" i="38"/>
  <c r="D60" i="37"/>
  <c r="V37" i="37" s="1"/>
  <c r="V124" i="38"/>
  <c r="V149" i="38"/>
  <c r="V186" i="38"/>
  <c r="W82" i="38"/>
  <c r="V108" i="38"/>
  <c r="V43" i="38"/>
  <c r="D35" i="37"/>
  <c r="V21" i="37" s="1"/>
  <c r="I76" i="37"/>
  <c r="W62" i="37" s="1"/>
  <c r="I35" i="37"/>
  <c r="W21" i="37" s="1"/>
  <c r="D19" i="37"/>
  <c r="V4" i="37" s="1"/>
  <c r="V78" i="37"/>
  <c r="V3" i="38"/>
  <c r="U86" i="37"/>
  <c r="O19" i="40"/>
  <c r="V77" i="39"/>
  <c r="Q151" i="38"/>
  <c r="Q153" i="38"/>
  <c r="Q161" i="38"/>
  <c r="Q162" i="38"/>
  <c r="U124" i="38"/>
  <c r="U108" i="38"/>
  <c r="U135" i="38"/>
  <c r="U149" i="38"/>
  <c r="H26" i="37"/>
  <c r="K26" i="37" s="1"/>
  <c r="M26" i="37" s="1"/>
  <c r="H80" i="37"/>
  <c r="K80" i="37" s="1"/>
  <c r="M80" i="37" s="1"/>
  <c r="H63" i="37"/>
  <c r="K63" i="37" s="1"/>
  <c r="M63" i="37" s="1"/>
  <c r="I8" i="37"/>
  <c r="K8" i="37" s="1"/>
  <c r="M8" i="37" s="1"/>
  <c r="W12" i="39"/>
  <c r="W134" i="39" s="1"/>
  <c r="U3" i="39"/>
  <c r="I50" i="37"/>
  <c r="K50" i="37" s="1"/>
  <c r="M50" i="37" s="1"/>
  <c r="H67" i="37"/>
  <c r="K67" i="37" s="1"/>
  <c r="M67" i="37" s="1"/>
  <c r="H22" i="37"/>
  <c r="K22" i="37" s="1"/>
  <c r="M22" i="37" s="1"/>
  <c r="O14" i="40"/>
  <c r="I7" i="37"/>
  <c r="K7" i="37" s="1"/>
  <c r="M7" i="37" s="1"/>
  <c r="I10" i="37"/>
  <c r="K10" i="37" s="1"/>
  <c r="M10" i="37" s="1"/>
  <c r="I168" i="38"/>
  <c r="K168" i="38" s="1"/>
  <c r="U24" i="39"/>
  <c r="I40" i="37"/>
  <c r="K40" i="37" s="1"/>
  <c r="M40" i="37" s="1"/>
  <c r="I41" i="37"/>
  <c r="K41" i="37" s="1"/>
  <c r="M41" i="37" s="1"/>
  <c r="H79" i="37"/>
  <c r="K79" i="37" s="1"/>
  <c r="M79" i="37" s="1"/>
  <c r="Q163" i="38"/>
  <c r="Q170" i="38"/>
  <c r="Q125" i="38"/>
  <c r="Q126" i="38"/>
  <c r="I197" i="38"/>
  <c r="I198" i="38"/>
  <c r="I187" i="38"/>
  <c r="I150" i="38"/>
  <c r="H203" i="38"/>
  <c r="K203" i="38" s="1"/>
  <c r="M203" i="38" s="1"/>
  <c r="I152" i="38"/>
  <c r="I205" i="38"/>
  <c r="K205" i="38" s="1"/>
  <c r="M205" i="38" s="1"/>
  <c r="I189" i="38"/>
  <c r="I160" i="38"/>
  <c r="K160" i="38" s="1"/>
  <c r="M160" i="38" s="1"/>
  <c r="I200" i="38"/>
  <c r="K200" i="38" s="1"/>
  <c r="I190" i="38"/>
  <c r="I201" i="38"/>
  <c r="H191" i="38"/>
  <c r="I164" i="38"/>
  <c r="K164" i="38" s="1"/>
  <c r="I206" i="38"/>
  <c r="K206" i="38" s="1"/>
  <c r="M206" i="38" s="1"/>
  <c r="I165" i="38"/>
  <c r="K165" i="38" s="1"/>
  <c r="M165" i="38" s="1"/>
  <c r="I166" i="38"/>
  <c r="K166" i="38" s="1"/>
  <c r="M166" i="38" s="1"/>
  <c r="I167" i="38"/>
  <c r="K167" i="38" s="1"/>
  <c r="M167" i="38" s="1"/>
  <c r="N167" i="38" s="1"/>
  <c r="O34" i="39"/>
  <c r="O8" i="39"/>
  <c r="O147" i="38"/>
  <c r="O157" i="38"/>
  <c r="O29" i="38"/>
  <c r="O133" i="38"/>
  <c r="O49" i="38"/>
  <c r="O72" i="38"/>
  <c r="O97" i="38"/>
  <c r="V61" i="38"/>
  <c r="H250" i="38" l="1"/>
  <c r="D12" i="60" s="1"/>
  <c r="G12" i="60" s="1"/>
  <c r="K159" i="39"/>
  <c r="K161" i="39"/>
  <c r="D112" i="60"/>
  <c r="G112" i="60" s="1"/>
  <c r="K155" i="39"/>
  <c r="D48" i="60"/>
  <c r="G48" i="60" s="1"/>
  <c r="R111" i="38"/>
  <c r="H246" i="38"/>
  <c r="R112" i="38"/>
  <c r="H247" i="38"/>
  <c r="N7" i="37"/>
  <c r="O7" i="37"/>
  <c r="Q7" i="37"/>
  <c r="O8" i="37"/>
  <c r="N8" i="37"/>
  <c r="R8" i="37" s="1"/>
  <c r="Q8" i="37"/>
  <c r="N79" i="37"/>
  <c r="R79" i="37" s="1"/>
  <c r="O79" i="37"/>
  <c r="Q79" i="37"/>
  <c r="N41" i="37"/>
  <c r="R41" i="37" s="1"/>
  <c r="O41" i="37"/>
  <c r="Q41" i="37"/>
  <c r="N63" i="37"/>
  <c r="R63" i="37" s="1"/>
  <c r="O63" i="37"/>
  <c r="Q63" i="37"/>
  <c r="O40" i="37"/>
  <c r="N40" i="37"/>
  <c r="R40" i="37" s="1"/>
  <c r="Q40" i="37"/>
  <c r="O80" i="37"/>
  <c r="N80" i="37"/>
  <c r="R80" i="37" s="1"/>
  <c r="Q80" i="37"/>
  <c r="O10" i="37"/>
  <c r="N10" i="37"/>
  <c r="N26" i="37"/>
  <c r="R26" i="37" s="1"/>
  <c r="O26" i="37"/>
  <c r="Q26" i="37"/>
  <c r="N22" i="37"/>
  <c r="O22" i="37"/>
  <c r="Q22" i="37"/>
  <c r="N50" i="37"/>
  <c r="O50" i="37"/>
  <c r="N67" i="37"/>
  <c r="R67" i="37" s="1"/>
  <c r="O67" i="37"/>
  <c r="Q67" i="37"/>
  <c r="R44" i="37"/>
  <c r="H84" i="39"/>
  <c r="T77" i="39" s="1"/>
  <c r="Q84" i="39"/>
  <c r="R78" i="39"/>
  <c r="R84" i="39" s="1"/>
  <c r="H143" i="39"/>
  <c r="K143" i="39" s="1"/>
  <c r="K145" i="39" s="1"/>
  <c r="Q14" i="39"/>
  <c r="R14" i="39"/>
  <c r="Q25" i="39"/>
  <c r="R25" i="39"/>
  <c r="R27" i="39"/>
  <c r="Q27" i="39"/>
  <c r="Q15" i="39"/>
  <c r="R15" i="39"/>
  <c r="Q26" i="39"/>
  <c r="R26" i="39"/>
  <c r="Q13" i="39"/>
  <c r="R13" i="39"/>
  <c r="R29" i="39"/>
  <c r="Q29" i="39"/>
  <c r="H310" i="38"/>
  <c r="K310" i="38" s="1"/>
  <c r="H242" i="38"/>
  <c r="H321" i="38"/>
  <c r="R181" i="38"/>
  <c r="K318" i="38"/>
  <c r="R224" i="38"/>
  <c r="K292" i="38"/>
  <c r="R180" i="38"/>
  <c r="K312" i="38"/>
  <c r="R217" i="38"/>
  <c r="K296" i="38"/>
  <c r="R178" i="38"/>
  <c r="K315" i="38"/>
  <c r="R216" i="38"/>
  <c r="K295" i="38"/>
  <c r="R174" i="38"/>
  <c r="K275" i="38"/>
  <c r="R182" i="38"/>
  <c r="K319" i="38"/>
  <c r="R176" i="38"/>
  <c r="K301" i="38"/>
  <c r="R173" i="38"/>
  <c r="K276" i="38"/>
  <c r="R222" i="38"/>
  <c r="K285" i="38"/>
  <c r="R210" i="38"/>
  <c r="K298" i="38"/>
  <c r="R177" i="38"/>
  <c r="K322" i="38"/>
  <c r="R221" i="38"/>
  <c r="K286" i="38"/>
  <c r="R215" i="38"/>
  <c r="K284" i="38"/>
  <c r="R175" i="38"/>
  <c r="K300" i="38"/>
  <c r="R220" i="38"/>
  <c r="K287" i="38"/>
  <c r="R214" i="38"/>
  <c r="K280" i="38"/>
  <c r="R212" i="38"/>
  <c r="K281" i="38"/>
  <c r="R155" i="38"/>
  <c r="K316" i="38"/>
  <c r="R128" i="38"/>
  <c r="K290" i="38"/>
  <c r="R218" i="38"/>
  <c r="K294" i="38"/>
  <c r="R213" i="38"/>
  <c r="K282" i="38"/>
  <c r="R154" i="38"/>
  <c r="K299" i="38"/>
  <c r="R129" i="38"/>
  <c r="K313" i="38"/>
  <c r="R130" i="38"/>
  <c r="R223" i="38"/>
  <c r="K291" i="38"/>
  <c r="R211" i="38"/>
  <c r="K279" i="38"/>
  <c r="R131" i="38"/>
  <c r="K307" i="38"/>
  <c r="R219" i="38"/>
  <c r="K283" i="38"/>
  <c r="R172" i="38"/>
  <c r="H265" i="38"/>
  <c r="R208" i="38"/>
  <c r="H263" i="38"/>
  <c r="R225" i="38"/>
  <c r="H261" i="38"/>
  <c r="R171" i="38"/>
  <c r="H258" i="38"/>
  <c r="R199" i="38"/>
  <c r="Q199" i="38"/>
  <c r="Q202" i="38"/>
  <c r="R202" i="38"/>
  <c r="R126" i="38"/>
  <c r="R188" i="38"/>
  <c r="Q188" i="38"/>
  <c r="Q192" i="38"/>
  <c r="R192" i="38"/>
  <c r="R153" i="38"/>
  <c r="Q195" i="38"/>
  <c r="R195" i="38"/>
  <c r="R167" i="38"/>
  <c r="Q194" i="38"/>
  <c r="R194" i="38"/>
  <c r="Q193" i="38"/>
  <c r="R193" i="38"/>
  <c r="N196" i="38"/>
  <c r="R196" i="38" s="1"/>
  <c r="O196" i="38"/>
  <c r="Q196" i="38"/>
  <c r="N205" i="38"/>
  <c r="R205" i="38" s="1"/>
  <c r="Q205" i="38"/>
  <c r="N203" i="38"/>
  <c r="Q203" i="38"/>
  <c r="L200" i="38"/>
  <c r="M200" i="38"/>
  <c r="R109" i="38"/>
  <c r="Q206" i="38"/>
  <c r="N206" i="38"/>
  <c r="R207" i="38"/>
  <c r="M168" i="38"/>
  <c r="Q160" i="38"/>
  <c r="O160" i="38"/>
  <c r="K189" i="38"/>
  <c r="M189" i="38" s="1"/>
  <c r="R86" i="38"/>
  <c r="Q86" i="38"/>
  <c r="R170" i="38"/>
  <c r="N6" i="38"/>
  <c r="Q6" i="38"/>
  <c r="N160" i="38"/>
  <c r="R160" i="38" s="1"/>
  <c r="N169" i="38"/>
  <c r="H309" i="38" s="1"/>
  <c r="D83" i="60" s="1"/>
  <c r="G83" i="60" s="1"/>
  <c r="Q169" i="38"/>
  <c r="F184" i="38" s="1"/>
  <c r="V159" i="38" s="1"/>
  <c r="N7" i="38"/>
  <c r="Q7" i="38"/>
  <c r="R162" i="38"/>
  <c r="K244" i="38"/>
  <c r="Q136" i="38"/>
  <c r="R136" i="38"/>
  <c r="Q83" i="38"/>
  <c r="R83" i="38"/>
  <c r="R88" i="38"/>
  <c r="Q88" i="38"/>
  <c r="N8" i="38"/>
  <c r="H238" i="38" s="1"/>
  <c r="Q8" i="38"/>
  <c r="Q109" i="38"/>
  <c r="R125" i="38"/>
  <c r="K191" i="38"/>
  <c r="M191" i="38" s="1"/>
  <c r="K187" i="38"/>
  <c r="M187" i="38" s="1"/>
  <c r="N9" i="38"/>
  <c r="H239" i="38" s="1"/>
  <c r="Q9" i="38"/>
  <c r="R127" i="38"/>
  <c r="O167" i="38"/>
  <c r="Q167" i="38"/>
  <c r="K190" i="38"/>
  <c r="M190" i="38" s="1"/>
  <c r="K198" i="38"/>
  <c r="M198" i="38" s="1"/>
  <c r="N166" i="38"/>
  <c r="Q166" i="38"/>
  <c r="K197" i="38"/>
  <c r="M197" i="38" s="1"/>
  <c r="R139" i="38"/>
  <c r="R161" i="38"/>
  <c r="R87" i="38"/>
  <c r="Q87" i="38"/>
  <c r="N165" i="38"/>
  <c r="Q165" i="38"/>
  <c r="Q138" i="38"/>
  <c r="R138" i="38"/>
  <c r="Q137" i="38"/>
  <c r="R137" i="38"/>
  <c r="M164" i="38"/>
  <c r="H133" i="38"/>
  <c r="T124" i="38" s="1"/>
  <c r="Q133" i="38"/>
  <c r="R151" i="38"/>
  <c r="R163" i="38"/>
  <c r="K152" i="38"/>
  <c r="M152" i="38" s="1"/>
  <c r="K150" i="38"/>
  <c r="K201" i="38"/>
  <c r="M201" i="38" s="1"/>
  <c r="O13" i="38"/>
  <c r="T43" i="38"/>
  <c r="U134" i="39"/>
  <c r="T61" i="38"/>
  <c r="W86" i="37"/>
  <c r="W186" i="38"/>
  <c r="W159" i="38"/>
  <c r="R117" i="39"/>
  <c r="R128" i="39"/>
  <c r="R95" i="39"/>
  <c r="T110" i="39"/>
  <c r="T121" i="39"/>
  <c r="T99" i="39"/>
  <c r="T88" i="39"/>
  <c r="R106" i="39"/>
  <c r="R49" i="38"/>
  <c r="R72" i="38"/>
  <c r="V86" i="37"/>
  <c r="R8" i="39"/>
  <c r="T3" i="39"/>
  <c r="R29" i="38"/>
  <c r="R118" i="38" l="1"/>
  <c r="K250" i="38"/>
  <c r="M123" i="37"/>
  <c r="K321" i="38"/>
  <c r="D119" i="60"/>
  <c r="G119" i="60" s="1"/>
  <c r="K263" i="38"/>
  <c r="D38" i="60"/>
  <c r="G38" i="60" s="1"/>
  <c r="D3" i="60"/>
  <c r="G3" i="60" s="1"/>
  <c r="K261" i="38"/>
  <c r="D36" i="60"/>
  <c r="G36" i="60" s="1"/>
  <c r="K258" i="38"/>
  <c r="D33" i="60"/>
  <c r="G33" i="60" s="1"/>
  <c r="K265" i="38"/>
  <c r="D41" i="60"/>
  <c r="G41" i="60" s="1"/>
  <c r="K242" i="38"/>
  <c r="D7" i="60"/>
  <c r="G7" i="60" s="1"/>
  <c r="K247" i="38"/>
  <c r="D14" i="60"/>
  <c r="G14" i="60" s="1"/>
  <c r="K246" i="38"/>
  <c r="O19" i="37"/>
  <c r="O84" i="37"/>
  <c r="R22" i="37"/>
  <c r="R35" i="37" s="1"/>
  <c r="O76" i="37"/>
  <c r="O35" i="37"/>
  <c r="O60" i="37"/>
  <c r="R7" i="37"/>
  <c r="R20" i="39"/>
  <c r="H20" i="39"/>
  <c r="T12" i="39" s="1"/>
  <c r="Q20" i="39"/>
  <c r="H34" i="39"/>
  <c r="T24" i="39" s="1"/>
  <c r="Q34" i="39"/>
  <c r="R34" i="39"/>
  <c r="R169" i="38"/>
  <c r="K309" i="38"/>
  <c r="R166" i="38"/>
  <c r="H260" i="38"/>
  <c r="R206" i="38"/>
  <c r="H262" i="38"/>
  <c r="R203" i="38"/>
  <c r="H259" i="38"/>
  <c r="R165" i="38"/>
  <c r="H264" i="38"/>
  <c r="H241" i="38"/>
  <c r="R97" i="38"/>
  <c r="R147" i="38"/>
  <c r="R133" i="38"/>
  <c r="N200" i="38"/>
  <c r="Q200" i="38"/>
  <c r="N197" i="38"/>
  <c r="R197" i="38" s="1"/>
  <c r="O197" i="38"/>
  <c r="Q197" i="38"/>
  <c r="O187" i="38"/>
  <c r="N187" i="38"/>
  <c r="R187" i="38" s="1"/>
  <c r="Q187" i="38"/>
  <c r="N191" i="38"/>
  <c r="R191" i="38" s="1"/>
  <c r="Q191" i="38"/>
  <c r="O191" i="38"/>
  <c r="O198" i="38"/>
  <c r="Q198" i="38"/>
  <c r="N198" i="38"/>
  <c r="R198" i="38" s="1"/>
  <c r="N201" i="38"/>
  <c r="Q201" i="38"/>
  <c r="Q190" i="38"/>
  <c r="N190" i="38"/>
  <c r="R190" i="38" s="1"/>
  <c r="O190" i="38"/>
  <c r="N189" i="38"/>
  <c r="R189" i="38" s="1"/>
  <c r="O189" i="38"/>
  <c r="Q189" i="38"/>
  <c r="H118" i="38"/>
  <c r="T108" i="38" s="1"/>
  <c r="Q118" i="38"/>
  <c r="Q13" i="38"/>
  <c r="H13" i="38"/>
  <c r="T3" i="38" s="1"/>
  <c r="R6" i="38"/>
  <c r="R9" i="38"/>
  <c r="K239" i="38"/>
  <c r="R8" i="38"/>
  <c r="K238" i="38"/>
  <c r="N164" i="38"/>
  <c r="H237" i="38" s="1"/>
  <c r="O164" i="38"/>
  <c r="Q164" i="38"/>
  <c r="R7" i="38"/>
  <c r="H97" i="38"/>
  <c r="T82" i="38" s="1"/>
  <c r="Q97" i="38"/>
  <c r="Q152" i="38"/>
  <c r="N152" i="38"/>
  <c r="R152" i="38" s="1"/>
  <c r="M150" i="38"/>
  <c r="H147" i="38"/>
  <c r="T135" i="38" s="1"/>
  <c r="Q147" i="38"/>
  <c r="N168" i="38"/>
  <c r="H240" i="38" s="1"/>
  <c r="D10" i="60" s="1"/>
  <c r="G10" i="60" s="1"/>
  <c r="O168" i="38"/>
  <c r="Q168" i="38"/>
  <c r="F84" i="37"/>
  <c r="T78" i="37" s="1"/>
  <c r="F76" i="37"/>
  <c r="T62" i="37" s="1"/>
  <c r="R84" i="37"/>
  <c r="R76" i="37"/>
  <c r="F35" i="37" l="1"/>
  <c r="T21" i="37" s="1"/>
  <c r="H236" i="38"/>
  <c r="K236" i="38" s="1"/>
  <c r="K324" i="38"/>
  <c r="K264" i="38"/>
  <c r="D40" i="60"/>
  <c r="G40" i="60" s="1"/>
  <c r="K259" i="38"/>
  <c r="D34" i="60"/>
  <c r="G34" i="60" s="1"/>
  <c r="K262" i="38"/>
  <c r="D37" i="60"/>
  <c r="G37" i="60" s="1"/>
  <c r="K260" i="38"/>
  <c r="D35" i="60"/>
  <c r="G35" i="60" s="1"/>
  <c r="K241" i="38"/>
  <c r="T134" i="39"/>
  <c r="H184" i="38"/>
  <c r="T159" i="38" s="1"/>
  <c r="R201" i="38"/>
  <c r="H249" i="38"/>
  <c r="H245" i="38"/>
  <c r="O227" i="38"/>
  <c r="Q184" i="38"/>
  <c r="H227" i="38"/>
  <c r="T186" i="38" s="1"/>
  <c r="Q227" i="38"/>
  <c r="O184" i="38"/>
  <c r="R200" i="38"/>
  <c r="H243" i="38"/>
  <c r="R164" i="38"/>
  <c r="K237" i="38"/>
  <c r="R168" i="38"/>
  <c r="K240" i="38"/>
  <c r="Q150" i="38"/>
  <c r="N150" i="38"/>
  <c r="H248" i="38" s="1"/>
  <c r="D16" i="60" s="1"/>
  <c r="G16" i="60" s="1"/>
  <c r="R13" i="38"/>
  <c r="K267" i="38" l="1"/>
  <c r="D6" i="60"/>
  <c r="G6" i="60" s="1"/>
  <c r="H37" i="60"/>
  <c r="H38" i="60"/>
  <c r="H41" i="60"/>
  <c r="H34" i="60"/>
  <c r="H40" i="60"/>
  <c r="H35" i="60"/>
  <c r="H36" i="60"/>
  <c r="H39" i="60"/>
  <c r="H33" i="60"/>
  <c r="R227" i="38"/>
  <c r="G43" i="60"/>
  <c r="K245" i="38"/>
  <c r="D18" i="60"/>
  <c r="G18" i="60" s="1"/>
  <c r="K249" i="38"/>
  <c r="D13" i="60"/>
  <c r="G13" i="60" s="1"/>
  <c r="K243" i="38"/>
  <c r="D26" i="60"/>
  <c r="G26" i="60" s="1"/>
  <c r="R150" i="38"/>
  <c r="R157" i="38" s="1"/>
  <c r="K248" i="38"/>
  <c r="H157" i="38"/>
  <c r="T149" i="38" s="1"/>
  <c r="Q157" i="38"/>
  <c r="R184" i="38"/>
  <c r="P35" i="35"/>
  <c r="L35" i="35"/>
  <c r="P34" i="35"/>
  <c r="L34" i="35"/>
  <c r="P33" i="35"/>
  <c r="L33" i="35"/>
  <c r="L32" i="35"/>
  <c r="E32" i="35"/>
  <c r="E31" i="35"/>
  <c r="G24" i="35"/>
  <c r="E24" i="35" s="1"/>
  <c r="E22" i="35"/>
  <c r="J33" i="60" l="1"/>
  <c r="K253" i="38"/>
  <c r="B10" i="37" a="1"/>
  <c r="B10" i="37" s="1"/>
  <c r="V23" i="38"/>
  <c r="V230" i="38" s="1"/>
  <c r="W23" i="38"/>
  <c r="U23" i="38"/>
  <c r="U230" i="38" s="1"/>
  <c r="S14" i="36" s="1"/>
  <c r="T23" i="38"/>
  <c r="T230" i="38" s="1"/>
  <c r="M324" i="38" l="1"/>
  <c r="P10" i="37" a="1"/>
  <c r="P10" i="37" s="1"/>
  <c r="D97" i="37" a="1"/>
  <c r="D97" i="37" s="1"/>
  <c r="S11" i="35"/>
  <c r="R11" i="35" s="1"/>
  <c r="B50" i="37" a="1"/>
  <c r="B50" i="37" s="1"/>
  <c r="W230" i="38"/>
  <c r="S12" i="36" s="1"/>
  <c r="N53" i="40"/>
  <c r="O53" i="40" s="1"/>
  <c r="N52" i="40"/>
  <c r="O52" i="40" s="1"/>
  <c r="N51" i="40"/>
  <c r="O51" i="40" s="1"/>
  <c r="N50" i="40"/>
  <c r="O50" i="40" s="1"/>
  <c r="N49" i="40"/>
  <c r="O49" i="40" s="1"/>
  <c r="N48" i="40"/>
  <c r="O48" i="40" s="1"/>
  <c r="M48" i="41"/>
  <c r="M52" i="41" s="1"/>
  <c r="N58" i="40"/>
  <c r="O58" i="40" s="1"/>
  <c r="O42" i="40"/>
  <c r="S12" i="35"/>
  <c r="R12" i="35" s="1"/>
  <c r="N59" i="40"/>
  <c r="O59" i="40" s="1"/>
  <c r="N57" i="40"/>
  <c r="O57" i="40" s="1"/>
  <c r="N47" i="40"/>
  <c r="O47" i="40" s="1"/>
  <c r="N46" i="40"/>
  <c r="O46" i="40" s="1"/>
  <c r="O43" i="40"/>
  <c r="N60" i="40"/>
  <c r="O60" i="40" s="1"/>
  <c r="N56" i="40"/>
  <c r="O56" i="40" s="1"/>
  <c r="H99" i="37" l="1"/>
  <c r="H96" i="37"/>
  <c r="H97" i="37"/>
  <c r="K97" i="37" s="1"/>
  <c r="H98" i="37"/>
  <c r="K98" i="37" s="1"/>
  <c r="H100" i="37"/>
  <c r="K100" i="37" s="1"/>
  <c r="P50" i="37" a="1"/>
  <c r="P50" i="37" s="1"/>
  <c r="Q50" i="37" s="1"/>
  <c r="H121" i="37"/>
  <c r="H120" i="37"/>
  <c r="H119" i="37"/>
  <c r="H118" i="37"/>
  <c r="H117" i="37"/>
  <c r="H116" i="37"/>
  <c r="H115" i="37"/>
  <c r="H114" i="37"/>
  <c r="H111" i="37"/>
  <c r="H113" i="37"/>
  <c r="H112" i="37"/>
  <c r="F4" i="41"/>
  <c r="E4" i="41" s="1"/>
  <c r="G23" i="35"/>
  <c r="E23" i="35" s="1"/>
  <c r="K48" i="41"/>
  <c r="K52" i="41" s="1"/>
  <c r="F3" i="41" s="1"/>
  <c r="E3" i="41" s="1"/>
  <c r="O272" i="40"/>
  <c r="K122" i="60" s="1"/>
  <c r="E27" i="35"/>
  <c r="I43" i="60"/>
  <c r="H95" i="37"/>
  <c r="H93" i="37"/>
  <c r="H101" i="37"/>
  <c r="K101" i="37" s="1"/>
  <c r="H94" i="37"/>
  <c r="H92" i="37"/>
  <c r="Q10" i="37"/>
  <c r="R10" i="37"/>
  <c r="N63" i="40"/>
  <c r="O63" i="40" s="1"/>
  <c r="N183" i="40"/>
  <c r="O183" i="40" s="1"/>
  <c r="N199" i="40"/>
  <c r="O199" i="40" s="1"/>
  <c r="N247" i="40"/>
  <c r="O247" i="40" s="1"/>
  <c r="N232" i="40"/>
  <c r="O232" i="40" s="1"/>
  <c r="N66" i="40"/>
  <c r="O66" i="40" s="1"/>
  <c r="N210" i="40"/>
  <c r="O210" i="40" s="1"/>
  <c r="N116" i="40"/>
  <c r="O116" i="40" s="1"/>
  <c r="N249" i="40"/>
  <c r="O249" i="40" s="1"/>
  <c r="N245" i="40"/>
  <c r="O245" i="40" s="1"/>
  <c r="N100" i="40"/>
  <c r="O100" i="40" s="1"/>
  <c r="N148" i="40"/>
  <c r="O148" i="40" s="1"/>
  <c r="N265" i="40"/>
  <c r="O265" i="40" s="1"/>
  <c r="N229" i="40"/>
  <c r="O229" i="40" s="1"/>
  <c r="N216" i="40"/>
  <c r="O216" i="40" s="1"/>
  <c r="N164" i="40"/>
  <c r="O164" i="40" s="1"/>
  <c r="N202" i="40"/>
  <c r="O202" i="40" s="1"/>
  <c r="N160" i="40"/>
  <c r="O160" i="40" s="1"/>
  <c r="N218" i="40"/>
  <c r="O218" i="40" s="1"/>
  <c r="N192" i="40"/>
  <c r="O192" i="40" s="1"/>
  <c r="N172" i="40"/>
  <c r="O172" i="40" s="1"/>
  <c r="N129" i="40"/>
  <c r="O129" i="40" s="1"/>
  <c r="N178" i="40"/>
  <c r="O178" i="40" s="1"/>
  <c r="N255" i="40"/>
  <c r="O255" i="40" s="1"/>
  <c r="N81" i="40"/>
  <c r="O81" i="40" s="1"/>
  <c r="N127" i="40"/>
  <c r="O127" i="40" s="1"/>
  <c r="N143" i="40"/>
  <c r="O143" i="40" s="1"/>
  <c r="N258" i="40"/>
  <c r="O258" i="40" s="1"/>
  <c r="N204" i="40"/>
  <c r="O204" i="40" s="1"/>
  <c r="N114" i="40"/>
  <c r="O114" i="40" s="1"/>
  <c r="N195" i="40"/>
  <c r="O195" i="40" s="1"/>
  <c r="N80" i="40"/>
  <c r="O80" i="40" s="1"/>
  <c r="N99" i="40"/>
  <c r="O99" i="40" s="1"/>
  <c r="N220" i="40"/>
  <c r="O220" i="40" s="1"/>
  <c r="N112" i="40"/>
  <c r="O112" i="40" s="1"/>
  <c r="N211" i="40"/>
  <c r="O211" i="40" s="1"/>
  <c r="N253" i="40"/>
  <c r="O253" i="40" s="1"/>
  <c r="N241" i="40"/>
  <c r="O241" i="40" s="1"/>
  <c r="N84" i="40"/>
  <c r="O84" i="40" s="1"/>
  <c r="N128" i="40"/>
  <c r="O128" i="40" s="1"/>
  <c r="N226" i="40"/>
  <c r="O226" i="40" s="1"/>
  <c r="N213" i="40"/>
  <c r="O213" i="40" s="1"/>
  <c r="N167" i="40"/>
  <c r="O167" i="40" s="1"/>
  <c r="N200" i="40"/>
  <c r="O200" i="40" s="1"/>
  <c r="N233" i="40"/>
  <c r="O233" i="40" s="1"/>
  <c r="N186" i="40"/>
  <c r="O186" i="40" s="1"/>
  <c r="N267" i="40"/>
  <c r="O267" i="40" s="1"/>
  <c r="N188" i="40"/>
  <c r="O188" i="40" s="1"/>
  <c r="N237" i="40"/>
  <c r="O237" i="40" s="1"/>
  <c r="N269" i="40"/>
  <c r="O269" i="40" s="1"/>
  <c r="N239" i="40"/>
  <c r="O239" i="40" s="1"/>
  <c r="N146" i="40"/>
  <c r="O146" i="40" s="1"/>
  <c r="N132" i="40"/>
  <c r="O132" i="40" s="1"/>
  <c r="N224" i="40"/>
  <c r="O224" i="40" s="1"/>
  <c r="N131" i="40"/>
  <c r="O131" i="40" s="1"/>
  <c r="N261" i="40"/>
  <c r="O261" i="40" s="1"/>
  <c r="N215" i="40"/>
  <c r="O215" i="40" s="1"/>
  <c r="N248" i="40"/>
  <c r="O248" i="40" s="1"/>
  <c r="N79" i="40"/>
  <c r="O79" i="40" s="1"/>
  <c r="N234" i="40"/>
  <c r="O234" i="40" s="1"/>
  <c r="N207" i="40"/>
  <c r="O207" i="40" s="1"/>
  <c r="N236" i="40"/>
  <c r="O236" i="40" s="1"/>
  <c r="N78" i="40"/>
  <c r="O78" i="40" s="1"/>
  <c r="N256" i="40"/>
  <c r="O256" i="40" s="1"/>
  <c r="N179" i="40"/>
  <c r="O179" i="40" s="1"/>
  <c r="N70" i="40"/>
  <c r="O70" i="40" s="1"/>
  <c r="N231" i="40"/>
  <c r="O231" i="40" s="1"/>
  <c r="N264" i="40"/>
  <c r="O264" i="40" s="1"/>
  <c r="N159" i="40"/>
  <c r="O159" i="40" s="1"/>
  <c r="N250" i="40"/>
  <c r="O250" i="40" s="1"/>
  <c r="N134" i="40"/>
  <c r="O134" i="40" s="1"/>
  <c r="N252" i="40"/>
  <c r="O252" i="40" s="1"/>
  <c r="N94" i="40"/>
  <c r="O94" i="40" s="1"/>
  <c r="N86" i="40"/>
  <c r="O86" i="40" s="1"/>
  <c r="N268" i="40"/>
  <c r="O268" i="40" s="1"/>
  <c r="N144" i="40"/>
  <c r="O144" i="40" s="1"/>
  <c r="N242" i="40"/>
  <c r="O242" i="40" s="1"/>
  <c r="N180" i="40"/>
  <c r="O180" i="40" s="1"/>
  <c r="N113" i="40"/>
  <c r="O113" i="40" s="1"/>
  <c r="N243" i="40"/>
  <c r="O243" i="40" s="1"/>
  <c r="N214" i="40"/>
  <c r="O214" i="40" s="1"/>
  <c r="N263" i="40"/>
  <c r="O263" i="40" s="1"/>
  <c r="N166" i="40"/>
  <c r="O166" i="40" s="1"/>
  <c r="N198" i="40"/>
  <c r="O198" i="40" s="1"/>
  <c r="N95" i="40"/>
  <c r="O95" i="40" s="1"/>
  <c r="N107" i="40"/>
  <c r="O107" i="40" s="1"/>
  <c r="N77" i="40"/>
  <c r="O77" i="40" s="1"/>
  <c r="N126" i="40"/>
  <c r="O126" i="40" s="1"/>
  <c r="N102" i="40"/>
  <c r="O102" i="40" s="1"/>
  <c r="N176" i="40"/>
  <c r="O176" i="40" s="1"/>
  <c r="N196" i="40"/>
  <c r="O196" i="40" s="1"/>
  <c r="N145" i="40"/>
  <c r="O145" i="40" s="1"/>
  <c r="N69" i="40"/>
  <c r="O69" i="40" s="1"/>
  <c r="N230" i="40"/>
  <c r="O230" i="40" s="1"/>
  <c r="N111" i="40"/>
  <c r="O111" i="40" s="1"/>
  <c r="N72" i="40"/>
  <c r="O72" i="40" s="1"/>
  <c r="N73" i="40"/>
  <c r="O73" i="40" s="1"/>
  <c r="N191" i="40"/>
  <c r="O191" i="40" s="1"/>
  <c r="N139" i="40"/>
  <c r="O139" i="40" s="1"/>
  <c r="N93" i="40"/>
  <c r="O93" i="40" s="1"/>
  <c r="N142" i="40"/>
  <c r="O142" i="40" s="1"/>
  <c r="N110" i="40"/>
  <c r="O110" i="40" s="1"/>
  <c r="N208" i="40"/>
  <c r="O208" i="40" s="1"/>
  <c r="N83" i="40"/>
  <c r="O83" i="40" s="1"/>
  <c r="N212" i="40"/>
  <c r="O212" i="40" s="1"/>
  <c r="N193" i="40"/>
  <c r="O193" i="40" s="1"/>
  <c r="N85" i="40"/>
  <c r="O85" i="40" s="1"/>
  <c r="N246" i="40"/>
  <c r="O246" i="40" s="1"/>
  <c r="N182" i="40"/>
  <c r="O182" i="40" s="1"/>
  <c r="N89" i="40"/>
  <c r="O89" i="40" s="1"/>
  <c r="N105" i="40"/>
  <c r="O105" i="40" s="1"/>
  <c r="N118" i="40"/>
  <c r="O118" i="40" s="1"/>
  <c r="N171" i="40"/>
  <c r="O171" i="40" s="1"/>
  <c r="N109" i="40"/>
  <c r="O109" i="40" s="1"/>
  <c r="N158" i="40"/>
  <c r="O158" i="40" s="1"/>
  <c r="N115" i="40"/>
  <c r="O115" i="40" s="1"/>
  <c r="N228" i="40"/>
  <c r="O228" i="40" s="1"/>
  <c r="N225" i="40"/>
  <c r="O225" i="40" s="1"/>
  <c r="N101" i="40"/>
  <c r="O101" i="40" s="1"/>
  <c r="N262" i="40"/>
  <c r="O262" i="40" s="1"/>
  <c r="N88" i="40"/>
  <c r="O88" i="40" s="1"/>
  <c r="N121" i="40"/>
  <c r="O121" i="40" s="1"/>
  <c r="N74" i="40"/>
  <c r="O74" i="40" s="1"/>
  <c r="N91" i="40"/>
  <c r="O91" i="40" s="1"/>
  <c r="N203" i="40"/>
  <c r="O203" i="40" s="1"/>
  <c r="N125" i="40"/>
  <c r="O125" i="40" s="1"/>
  <c r="N174" i="40"/>
  <c r="O174" i="40" s="1"/>
  <c r="N150" i="40"/>
  <c r="O150" i="40" s="1"/>
  <c r="N266" i="40"/>
  <c r="O266" i="40" s="1"/>
  <c r="N67" i="40"/>
  <c r="O67" i="40" s="1"/>
  <c r="N240" i="40"/>
  <c r="O240" i="40" s="1"/>
  <c r="N65" i="40"/>
  <c r="O65" i="40" s="1"/>
  <c r="N147" i="40"/>
  <c r="O147" i="40" s="1"/>
  <c r="N244" i="40"/>
  <c r="O244" i="40" s="1"/>
  <c r="N257" i="40"/>
  <c r="O257" i="40" s="1"/>
  <c r="N117" i="40"/>
  <c r="O117" i="40" s="1"/>
  <c r="N71" i="40"/>
  <c r="O71" i="40" s="1"/>
  <c r="N104" i="40"/>
  <c r="O104" i="40" s="1"/>
  <c r="N137" i="40"/>
  <c r="O137" i="40" s="1"/>
  <c r="N90" i="40"/>
  <c r="O90" i="40" s="1"/>
  <c r="N123" i="40"/>
  <c r="O123" i="40" s="1"/>
  <c r="N76" i="40"/>
  <c r="O76" i="40" s="1"/>
  <c r="N141" i="40"/>
  <c r="O141" i="40" s="1"/>
  <c r="N190" i="40"/>
  <c r="O190" i="40" s="1"/>
  <c r="N75" i="40"/>
  <c r="O75" i="40" s="1"/>
  <c r="N97" i="40"/>
  <c r="O97" i="40" s="1"/>
  <c r="N163" i="40"/>
  <c r="O163" i="40" s="1"/>
  <c r="N260" i="40"/>
  <c r="O260" i="40" s="1"/>
  <c r="N82" i="40"/>
  <c r="O82" i="40" s="1"/>
  <c r="N133" i="40"/>
  <c r="O133" i="40" s="1"/>
  <c r="N87" i="40"/>
  <c r="O87" i="40" s="1"/>
  <c r="N120" i="40"/>
  <c r="O120" i="40" s="1"/>
  <c r="N153" i="40"/>
  <c r="O153" i="40" s="1"/>
  <c r="N106" i="40"/>
  <c r="O106" i="40" s="1"/>
  <c r="N155" i="40"/>
  <c r="O155" i="40" s="1"/>
  <c r="N92" i="40"/>
  <c r="O92" i="40" s="1"/>
  <c r="N157" i="40"/>
  <c r="O157" i="40" s="1"/>
  <c r="N206" i="40"/>
  <c r="O206" i="40" s="1"/>
  <c r="N98" i="40"/>
  <c r="O98" i="40" s="1"/>
  <c r="N103" i="40"/>
  <c r="O103" i="40" s="1"/>
  <c r="N136" i="40"/>
  <c r="O136" i="40" s="1"/>
  <c r="N122" i="40"/>
  <c r="O122" i="40" s="1"/>
  <c r="N108" i="40"/>
  <c r="O108" i="40" s="1"/>
  <c r="N173" i="40"/>
  <c r="O173" i="40" s="1"/>
  <c r="N161" i="40"/>
  <c r="O161" i="40" s="1"/>
  <c r="N227" i="40"/>
  <c r="O227" i="40" s="1"/>
  <c r="N223" i="40"/>
  <c r="O223" i="40" s="1"/>
  <c r="N130" i="40"/>
  <c r="O130" i="40" s="1"/>
  <c r="N165" i="40"/>
  <c r="O165" i="40" s="1"/>
  <c r="N119" i="40"/>
  <c r="O119" i="40" s="1"/>
  <c r="N152" i="40"/>
  <c r="O152" i="40" s="1"/>
  <c r="N185" i="40"/>
  <c r="O185" i="40" s="1"/>
  <c r="N138" i="40"/>
  <c r="O138" i="40" s="1"/>
  <c r="N219" i="40"/>
  <c r="O219" i="40" s="1"/>
  <c r="N124" i="40"/>
  <c r="O124" i="40" s="1"/>
  <c r="N189" i="40"/>
  <c r="O189" i="40" s="1"/>
  <c r="N238" i="40"/>
  <c r="O238" i="40" s="1"/>
  <c r="N175" i="40"/>
  <c r="O175" i="40" s="1"/>
  <c r="N149" i="40"/>
  <c r="O149" i="40" s="1"/>
  <c r="N169" i="40"/>
  <c r="O169" i="40" s="1"/>
  <c r="N187" i="40"/>
  <c r="O187" i="40" s="1"/>
  <c r="N222" i="40"/>
  <c r="O222" i="40" s="1"/>
  <c r="N177" i="40"/>
  <c r="O177" i="40" s="1"/>
  <c r="N259" i="40"/>
  <c r="O259" i="40" s="1"/>
  <c r="N64" i="40"/>
  <c r="O64" i="40" s="1"/>
  <c r="N162" i="40"/>
  <c r="O162" i="40" s="1"/>
  <c r="N181" i="40"/>
  <c r="O181" i="40" s="1"/>
  <c r="N135" i="40"/>
  <c r="O135" i="40" s="1"/>
  <c r="N168" i="40"/>
  <c r="O168" i="40" s="1"/>
  <c r="N201" i="40"/>
  <c r="O201" i="40" s="1"/>
  <c r="N154" i="40"/>
  <c r="O154" i="40" s="1"/>
  <c r="N235" i="40"/>
  <c r="O235" i="40" s="1"/>
  <c r="N140" i="40"/>
  <c r="O140" i="40" s="1"/>
  <c r="N205" i="40"/>
  <c r="O205" i="40" s="1"/>
  <c r="N254" i="40"/>
  <c r="O254" i="40" s="1"/>
  <c r="N209" i="40"/>
  <c r="O209" i="40" s="1"/>
  <c r="N68" i="40"/>
  <c r="O68" i="40" s="1"/>
  <c r="N96" i="40"/>
  <c r="O96" i="40" s="1"/>
  <c r="N194" i="40"/>
  <c r="O194" i="40" s="1"/>
  <c r="N197" i="40"/>
  <c r="O197" i="40" s="1"/>
  <c r="N151" i="40"/>
  <c r="O151" i="40" s="1"/>
  <c r="N184" i="40"/>
  <c r="O184" i="40" s="1"/>
  <c r="N217" i="40"/>
  <c r="O217" i="40" s="1"/>
  <c r="N170" i="40"/>
  <c r="O170" i="40" s="1"/>
  <c r="N251" i="40"/>
  <c r="O251" i="40" s="1"/>
  <c r="N156" i="40"/>
  <c r="O156" i="40" s="1"/>
  <c r="N221" i="40"/>
  <c r="O221" i="40" s="1"/>
  <c r="N270" i="40"/>
  <c r="O270" i="40" s="1"/>
  <c r="M154" i="41" l="1"/>
  <c r="P161" i="41" s="1"/>
  <c r="K96" i="37"/>
  <c r="D20" i="60"/>
  <c r="G20" i="60" s="1"/>
  <c r="K99" i="37"/>
  <c r="D25" i="60"/>
  <c r="G25" i="60" s="1"/>
  <c r="R50" i="37"/>
  <c r="D23" i="60"/>
  <c r="G23" i="60" s="1"/>
  <c r="K118" i="37"/>
  <c r="D107" i="60"/>
  <c r="G107" i="60" s="1"/>
  <c r="K119" i="37"/>
  <c r="D109" i="60"/>
  <c r="G109" i="60" s="1"/>
  <c r="K113" i="37"/>
  <c r="D82" i="60"/>
  <c r="G82" i="60" s="1"/>
  <c r="K120" i="37"/>
  <c r="D110" i="60"/>
  <c r="G110" i="60" s="1"/>
  <c r="K116" i="37"/>
  <c r="D101" i="60"/>
  <c r="G101" i="60" s="1"/>
  <c r="K115" i="37"/>
  <c r="D100" i="60"/>
  <c r="G100" i="60" s="1"/>
  <c r="K121" i="37"/>
  <c r="D117" i="60"/>
  <c r="G117" i="60" s="1"/>
  <c r="K117" i="37"/>
  <c r="D103" i="60"/>
  <c r="G103" i="60" s="1"/>
  <c r="K114" i="37"/>
  <c r="D92" i="60"/>
  <c r="G92" i="60" s="1"/>
  <c r="K92" i="37"/>
  <c r="D5" i="60"/>
  <c r="G5" i="60" s="1"/>
  <c r="K94" i="37"/>
  <c r="D11" i="60"/>
  <c r="G11" i="60" s="1"/>
  <c r="D15" i="60"/>
  <c r="G15" i="60" s="1"/>
  <c r="D22" i="60"/>
  <c r="G22" i="60" s="1"/>
  <c r="K93" i="37"/>
  <c r="D4" i="60"/>
  <c r="G4" i="60" s="1"/>
  <c r="K112" i="37"/>
  <c r="D51" i="60"/>
  <c r="G51" i="60" s="1"/>
  <c r="K111" i="37"/>
  <c r="D50" i="60"/>
  <c r="G50" i="60" s="1"/>
  <c r="K95" i="37"/>
  <c r="D8" i="60"/>
  <c r="G8" i="60" s="1"/>
  <c r="D17" i="60"/>
  <c r="G17" i="60" s="1"/>
  <c r="F19" i="37"/>
  <c r="T4" i="37" s="1"/>
  <c r="R19" i="37"/>
  <c r="R60" i="37"/>
  <c r="F60" i="37"/>
  <c r="T37" i="37" s="1"/>
  <c r="I161" i="41" l="1"/>
  <c r="K161" i="41" s="1"/>
  <c r="H103" i="60"/>
  <c r="H117" i="60"/>
  <c r="H100" i="60"/>
  <c r="H101" i="60"/>
  <c r="H110" i="60"/>
  <c r="H109" i="60"/>
  <c r="H93" i="60"/>
  <c r="H107" i="60"/>
  <c r="G121" i="60"/>
  <c r="H92" i="60"/>
  <c r="H118" i="60"/>
  <c r="H97" i="60"/>
  <c r="H102" i="60"/>
  <c r="H94" i="60"/>
  <c r="H113" i="60"/>
  <c r="H116" i="60"/>
  <c r="H95" i="60"/>
  <c r="H106" i="60"/>
  <c r="H99" i="60"/>
  <c r="H96" i="60"/>
  <c r="H114" i="60"/>
  <c r="H111" i="60"/>
  <c r="H115" i="60"/>
  <c r="H104" i="60"/>
  <c r="H98" i="60"/>
  <c r="H108" i="60"/>
  <c r="H105" i="60"/>
  <c r="H112" i="60"/>
  <c r="H119" i="60"/>
  <c r="H8" i="60"/>
  <c r="H4" i="60"/>
  <c r="H14" i="60"/>
  <c r="H12" i="60"/>
  <c r="H10" i="60"/>
  <c r="H3" i="60"/>
  <c r="H24" i="60"/>
  <c r="H21" i="60"/>
  <c r="H9" i="60"/>
  <c r="H25" i="60"/>
  <c r="H23" i="60"/>
  <c r="H20" i="60"/>
  <c r="H19" i="60"/>
  <c r="H27" i="60"/>
  <c r="H7" i="60"/>
  <c r="H6" i="60"/>
  <c r="H16" i="60"/>
  <c r="H18" i="60"/>
  <c r="H26" i="60"/>
  <c r="H13" i="60"/>
  <c r="H22" i="60"/>
  <c r="H15" i="60"/>
  <c r="H11" i="60"/>
  <c r="H17" i="60"/>
  <c r="H5" i="60"/>
  <c r="K123" i="37"/>
  <c r="K103" i="37"/>
  <c r="G29" i="60"/>
  <c r="T86" i="37"/>
  <c r="S10" i="36" s="1"/>
  <c r="E14" i="41"/>
  <c r="K92" i="60" l="1"/>
  <c r="J3" i="60"/>
  <c r="E26" i="35"/>
  <c r="I29" i="60"/>
  <c r="R13" i="41"/>
  <c r="E15" i="41"/>
  <c r="P13" i="41"/>
  <c r="P15" i="41"/>
  <c r="P16" i="41"/>
  <c r="P14" i="41"/>
  <c r="K14" i="41" a="1"/>
  <c r="K15" i="41" a="1"/>
  <c r="L13" i="41" a="1"/>
  <c r="L14" i="41" a="1"/>
  <c r="K13" i="41" a="1"/>
  <c r="L15" i="41" a="1"/>
  <c r="K14" i="41" l="1"/>
  <c r="O14" i="41" s="1"/>
  <c r="L14" i="41"/>
  <c r="K15" i="41"/>
  <c r="O15" i="41" s="1"/>
  <c r="L15" i="41"/>
  <c r="K13" i="41"/>
  <c r="L13" i="41"/>
  <c r="E16" i="41" s="1"/>
  <c r="E17" i="41" s="1"/>
  <c r="K16" i="41" l="1"/>
  <c r="N16" i="41" s="1"/>
  <c r="O16" i="41" s="1"/>
  <c r="O13" i="41"/>
  <c r="Q39" i="39"/>
  <c r="Q41" i="39" s="1"/>
  <c r="V38" i="39" s="1"/>
  <c r="V134" i="39" s="1"/>
  <c r="S11" i="36" s="1"/>
  <c r="F84" i="60"/>
  <c r="G84" i="60" s="1"/>
  <c r="R39" i="39"/>
  <c r="R41" i="39" s="1"/>
  <c r="J121" i="60" l="1"/>
  <c r="H84" i="60"/>
  <c r="H51" i="60"/>
  <c r="H75" i="60"/>
  <c r="H62" i="60"/>
  <c r="H63" i="60"/>
  <c r="H77" i="60"/>
  <c r="G86" i="60"/>
  <c r="I121" i="60" s="1"/>
  <c r="H76" i="60"/>
  <c r="H83" i="60"/>
  <c r="H78" i="60"/>
  <c r="H52" i="60"/>
  <c r="H48" i="60"/>
  <c r="H56" i="60"/>
  <c r="H66" i="60"/>
  <c r="H54" i="60"/>
  <c r="H72" i="60"/>
  <c r="H74" i="60"/>
  <c r="H59" i="60"/>
  <c r="H67" i="60"/>
  <c r="H55" i="60"/>
  <c r="H57" i="60"/>
  <c r="H61" i="60"/>
  <c r="H70" i="60"/>
  <c r="H58" i="60"/>
  <c r="H65" i="60"/>
  <c r="H79" i="60"/>
  <c r="H50" i="60"/>
  <c r="H68" i="60"/>
  <c r="H53" i="60"/>
  <c r="H64" i="60"/>
  <c r="H81" i="60"/>
  <c r="H49" i="60"/>
  <c r="H82" i="60"/>
  <c r="H69" i="60"/>
  <c r="H60" i="60"/>
  <c r="H71" i="60"/>
  <c r="H80" i="60"/>
  <c r="H73" i="60"/>
  <c r="H47" i="60"/>
  <c r="J164" i="39" a="1"/>
  <c r="J164" i="39" s="1"/>
  <c r="K164" i="39" s="1"/>
  <c r="K166" i="39" s="1"/>
  <c r="M166" i="39"/>
  <c r="M47" i="60" l="1"/>
  <c r="K121" i="60"/>
  <c r="S13" i="36"/>
  <c r="E29" i="35"/>
  <c r="O32" i="35" l="1"/>
  <c r="F30" i="35"/>
  <c r="F26" i="35"/>
  <c r="F32" i="35"/>
  <c r="F23" i="35"/>
  <c r="F24" i="35"/>
  <c r="F22" i="35"/>
  <c r="F33" i="35"/>
  <c r="F28" i="35"/>
  <c r="F27" i="35"/>
  <c r="F31" i="35"/>
  <c r="F25" i="35"/>
  <c r="F29" i="35"/>
  <c r="J32" i="35" a="1"/>
  <c r="K32" i="35" a="1"/>
  <c r="Q32" i="35" a="1"/>
  <c r="J32" i="35" l="1"/>
  <c r="N32" i="35" s="1"/>
  <c r="K32" i="35"/>
  <c r="Q32" i="35"/>
  <c r="O35" i="35"/>
  <c r="O34" i="35"/>
  <c r="O33" i="35"/>
  <c r="J34" i="35" a="1"/>
  <c r="Q34" i="35" a="1"/>
  <c r="K34" i="35" a="1"/>
  <c r="K35" i="35" a="1"/>
  <c r="J33" i="35" a="1"/>
  <c r="K33" i="35" a="1"/>
  <c r="J35" i="35" a="1"/>
  <c r="Q35" i="35" a="1"/>
  <c r="Q33" i="35" a="1"/>
  <c r="J33" i="35" l="1"/>
  <c r="N33" i="35" s="1"/>
  <c r="Q33" i="35"/>
  <c r="K33" i="35"/>
  <c r="J34" i="35"/>
  <c r="N34" i="35" s="1"/>
  <c r="K34" i="35"/>
  <c r="Q34" i="35"/>
  <c r="J35" i="35"/>
  <c r="N35" i="35" s="1"/>
  <c r="Q35" i="35"/>
  <c r="K35" i="35"/>
  <c r="F8" i="35" l="1"/>
  <c r="AU10" i="54"/>
  <c r="AU11" i="54"/>
  <c r="AU15" i="54"/>
  <c r="M16" i="54"/>
  <c r="AU44" i="53"/>
  <c r="AU48" i="53"/>
  <c r="AU50" i="53"/>
  <c r="AU51" i="53"/>
  <c r="AU53" i="53"/>
  <c r="AU55" i="53"/>
  <c r="P57" i="53"/>
  <c r="AU57" i="53"/>
  <c r="AU59" i="53"/>
  <c r="AX59" i="53"/>
  <c r="AU64" i="53"/>
  <c r="AU65" i="53"/>
  <c r="AU66" i="53"/>
  <c r="AJ68" i="53"/>
  <c r="AU68" i="53"/>
  <c r="AJ69" i="53"/>
  <c r="AU69" i="53"/>
  <c r="AJ70" i="53"/>
  <c r="AU70" i="53"/>
  <c r="AU73" i="53"/>
  <c r="AU74" i="53"/>
  <c r="AU77" i="53"/>
  <c r="AU78" i="53"/>
  <c r="P90" i="53"/>
  <c r="P93" i="53"/>
  <c r="M24" i="57"/>
  <c r="M25" i="57"/>
  <c r="S10" i="56"/>
  <c r="AR10" i="56"/>
  <c r="AR12" i="56"/>
  <c r="AU12" i="56"/>
  <c r="S15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tc={AFCC35B6-041C-48C2-B901-8D948E38245B}</author>
    <author>Michael Sutherland</author>
    <author>Kerry Dissinger</author>
  </authors>
  <commentList>
    <comment ref="P4" authorId="0" shapeId="0" xr:uid="{AFCC35B6-041C-48C2-B901-8D948E38245B}">
      <text>
        <t>[Threaded comment]
Your version of Excel allows you to read this threaded comment; however, any edits to it will get removed if the file is opened in a newer version of Excel. Learn more: https://go.microsoft.com/fwlink/?linkid=870924
Comment:
    MES is Profile End Disc, CF is Clean Flight</t>
      </text>
    </comment>
    <comment ref="D17" authorId="1" shapeId="0" xr:uid="{30BE9B30-6A01-40C2-A3EC-2C7D7172FCF2}">
      <text>
        <r>
          <rPr>
            <b/>
            <sz val="9"/>
            <color indexed="81"/>
            <rFont val="Tahoma"/>
            <family val="2"/>
          </rPr>
          <t>Michael Sutherland:</t>
        </r>
        <r>
          <rPr>
            <sz val="9"/>
            <color indexed="81"/>
            <rFont val="Tahoma"/>
            <family val="2"/>
          </rPr>
          <t xml:space="preserve">
Need to add Martin Scrapers</t>
        </r>
      </text>
    </comment>
    <comment ref="B22" authorId="2" shapeId="0" xr:uid="{9ED800B2-64F5-4016-A73F-BFD65C0256B4}">
      <text>
        <r>
          <rPr>
            <sz val="9"/>
            <color indexed="81"/>
            <rFont val="Calibri"/>
            <family val="2"/>
          </rPr>
          <t xml:space="preserve">All project execution labor hours. 
(Project Management, Engineering, &amp; Design)
</t>
        </r>
      </text>
    </comment>
    <comment ref="B23" authorId="2" shapeId="0" xr:uid="{AA51CB58-5063-44CA-B5DD-9B6D70B468CF}">
      <text>
        <r>
          <rPr>
            <sz val="9"/>
            <color indexed="81"/>
            <rFont val="Calibri"/>
            <family val="2"/>
          </rPr>
          <t>All manufacturing labor hours. 
(Including inhouse passivation)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24" authorId="2" shapeId="0" xr:uid="{35E0F9E3-47D4-4F5F-9CD4-98786036BED2}">
      <text>
        <r>
          <rPr>
            <sz val="9"/>
            <color indexed="81"/>
            <rFont val="Calibri"/>
            <family val="2"/>
          </rPr>
          <t>All field service labor hours.</t>
        </r>
      </text>
    </comment>
    <comment ref="B25" authorId="2" shapeId="0" xr:uid="{F4F1D569-321D-4DBA-BCE1-3166A4D7D577}">
      <text>
        <r>
          <rPr>
            <sz val="9"/>
            <color indexed="81"/>
            <rFont val="Calibri"/>
            <family val="2"/>
          </rPr>
          <t>Example: Outside passivation, painting, galvanizing, sandblasting, etc.,</t>
        </r>
      </text>
    </comment>
    <comment ref="B26" authorId="2" shapeId="0" xr:uid="{91D6ECDE-1047-4C0B-893B-7F28D929AE5E}">
      <text>
        <r>
          <rPr>
            <sz val="9"/>
            <color indexed="81"/>
            <rFont val="Calibri"/>
            <family val="2"/>
          </rPr>
          <t>Examples: Stainless steel, carbon, steel, aluminum, brass, etc.…</t>
        </r>
      </text>
    </comment>
    <comment ref="B27" authorId="2" shapeId="0" xr:uid="{F3B60E30-D94C-4195-AAE8-3D533C4B263F}">
      <text>
        <r>
          <rPr>
            <sz val="9"/>
            <color indexed="81"/>
            <rFont val="Calibri"/>
            <family val="2"/>
          </rPr>
          <t>Examples: Plastics, rubber, FRP, sealants, oils, polymers, elastomers, vinyl’s, etc.…</t>
        </r>
      </text>
    </comment>
    <comment ref="B28" authorId="2" shapeId="0" xr:uid="{469B68E3-9341-4B93-8787-8DF4A8EA73B7}">
      <text>
        <r>
          <rPr>
            <sz val="9"/>
            <color indexed="81"/>
            <rFont val="Calibri"/>
            <family val="2"/>
          </rPr>
          <t>Examples: Silos, structural systems, nitrogen systems, drag chain system, etc.…</t>
        </r>
      </text>
    </comment>
    <comment ref="B29" authorId="2" shapeId="0" xr:uid="{48E4864B-C2AD-4E27-AA56-223AC3B397A8}">
      <text>
        <r>
          <rPr>
            <sz val="9"/>
            <color indexed="81"/>
            <rFont val="Calibri"/>
            <family val="2"/>
          </rPr>
          <t>Examples: Gearmotors, motors, pulleys, cable, machined components, actuators, bearings, hardware, anchors, switches, idlers, belts, seals, chain, sprockets, sprocket teeth, zero speed, shear pin assemblies, etc.…</t>
        </r>
      </text>
    </comment>
    <comment ref="B30" authorId="2" shapeId="0" xr:uid="{D73706BA-5E1A-4830-B8AE-B47CAA0559D5}">
      <text>
        <r>
          <rPr>
            <sz val="9"/>
            <color indexed="81"/>
            <rFont val="Calibri"/>
            <family val="2"/>
          </rPr>
          <t>Control Panels</t>
        </r>
      </text>
    </comment>
    <comment ref="B31" authorId="2" shapeId="0" xr:uid="{E6472CC5-81C7-4452-B69D-7AE9F784DD25}">
      <text>
        <r>
          <rPr>
            <sz val="9"/>
            <color indexed="81"/>
            <rFont val="Calibri"/>
            <family val="2"/>
          </rPr>
          <t xml:space="preserve">Freight, Overseas Shipping Containers, Permits, etc...
</t>
        </r>
      </text>
    </comment>
    <comment ref="B32" authorId="2" shapeId="0" xr:uid="{7797D7CC-E582-48A2-8E9F-C6839CE69C84}">
      <text>
        <r>
          <rPr>
            <sz val="9"/>
            <color indexed="81"/>
            <rFont val="Calibri"/>
            <family val="2"/>
          </rPr>
          <t xml:space="preserve">Examples: Travels Expenses at $250/day, flights at $800 each, 3rd Party Engineering, PE Stamps, Seismic Calcs, Testing, Consulting, etc.…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5" authorId="2" shapeId="0" xr:uid="{4B3E8705-DFDC-4E30-A644-65B352D034A2}">
      <text>
        <r>
          <rPr>
            <b/>
            <sz val="9"/>
            <color indexed="81"/>
            <rFont val="Tahoma"/>
            <family val="2"/>
          </rPr>
          <t>Kerry Dissinger:</t>
        </r>
        <r>
          <rPr>
            <sz val="9"/>
            <color indexed="81"/>
            <rFont val="Tahoma"/>
            <family val="2"/>
          </rPr>
          <t xml:space="preserve">
Price stops moving with GMaC's under 10%.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Kerry Dissinger</author>
  </authors>
  <commentList>
    <comment ref="B3" authorId="0" shapeId="0" xr:uid="{46FB4AD2-BA8A-4C2E-8744-D33DE04CFAC5}">
      <text>
        <r>
          <rPr>
            <sz val="9"/>
            <color indexed="81"/>
            <rFont val="Calibri"/>
            <family val="2"/>
            <scheme val="minor"/>
          </rPr>
          <t xml:space="preserve">All project execution labor hours. 
(Project Management, Engineering, &amp; Design)
</t>
        </r>
      </text>
    </comment>
    <comment ref="B4" authorId="0" shapeId="0" xr:uid="{18AD57AD-3E85-4E2C-BBB3-B5EA76E1ABCE}">
      <text>
        <r>
          <rPr>
            <sz val="9"/>
            <color indexed="81"/>
            <rFont val="Calibri"/>
            <family val="2"/>
            <scheme val="minor"/>
          </rPr>
          <t>All manufacturing labor hours. 
(Including inhouse passivation)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5" authorId="0" shapeId="0" xr:uid="{F0B2076D-4640-4F1B-A776-4FF9BD79A6A0}">
      <text>
        <r>
          <rPr>
            <sz val="9"/>
            <color indexed="81"/>
            <rFont val="Calibri"/>
            <family val="2"/>
            <scheme val="minor"/>
          </rPr>
          <t>All field service labor hours.</t>
        </r>
      </text>
    </comment>
    <comment ref="B6" authorId="0" shapeId="0" xr:uid="{FC27101F-E8C3-4157-B294-4B167002EFE7}">
      <text>
        <r>
          <rPr>
            <sz val="9"/>
            <color indexed="81"/>
            <rFont val="Calibri"/>
            <family val="2"/>
            <scheme val="minor"/>
          </rPr>
          <t>Example: Outside passivation, painting, galvanizing, sandblasting, etc,</t>
        </r>
      </text>
    </comment>
    <comment ref="B7" authorId="0" shapeId="0" xr:uid="{8A3F174A-246D-41B5-97D6-7E09F32CE4C0}">
      <text>
        <r>
          <rPr>
            <sz val="9"/>
            <color indexed="81"/>
            <rFont val="Calibri"/>
            <family val="2"/>
            <scheme val="minor"/>
          </rPr>
          <t>Examples: Stainless steel, carbon, steel, aluminum, brass, etc…</t>
        </r>
      </text>
    </comment>
    <comment ref="B8" authorId="0" shapeId="0" xr:uid="{6FDA37C8-FD26-4560-8280-7F9C917B81E9}">
      <text>
        <r>
          <rPr>
            <sz val="9"/>
            <color indexed="81"/>
            <rFont val="Calibri"/>
            <family val="2"/>
            <scheme val="minor"/>
          </rPr>
          <t>Examples: Plastics, rubber, FRP, sealants, oils, polymers, elastomers, vinyl’s, etc…</t>
        </r>
      </text>
    </comment>
    <comment ref="B9" authorId="0" shapeId="0" xr:uid="{C6A8E434-76CF-45FE-8852-85D7A1DFBE60}">
      <text>
        <r>
          <rPr>
            <sz val="9"/>
            <color indexed="81"/>
            <rFont val="Calibri"/>
            <family val="2"/>
            <scheme val="minor"/>
          </rPr>
          <t>Examples: Silos, structural systems, nitrogen systems, drag chain system, etc…</t>
        </r>
      </text>
    </comment>
    <comment ref="B10" authorId="0" shapeId="0" xr:uid="{5E1F9FEE-9C76-469A-968C-85BFFF98B871}">
      <text>
        <r>
          <rPr>
            <sz val="9"/>
            <color indexed="81"/>
            <rFont val="Calibri"/>
            <family val="2"/>
            <scheme val="minor"/>
          </rPr>
          <t>Examples: Gearmotors, motors, pulleys, cable, machined components, actuators, bearings, hardware, anchors, switches, idlers, belts, seals, chain, sprockets, sprocket teeth, zero speed, shear pin assemblies, etc…</t>
        </r>
      </text>
    </comment>
    <comment ref="B11" authorId="0" shapeId="0" xr:uid="{5A275B93-4DC4-4E50-A7C2-BD4444600B95}">
      <text>
        <r>
          <rPr>
            <sz val="9"/>
            <color indexed="81"/>
            <rFont val="Calibri"/>
            <family val="2"/>
            <scheme val="minor"/>
          </rPr>
          <t>Control Panels</t>
        </r>
      </text>
    </comment>
    <comment ref="B12" authorId="0" shapeId="0" xr:uid="{AD78A086-7E08-4BF9-9215-9D62B3E99676}">
      <text>
        <r>
          <rPr>
            <sz val="9"/>
            <color indexed="81"/>
            <rFont val="Calibri"/>
            <family val="2"/>
            <scheme val="minor"/>
          </rPr>
          <t xml:space="preserve">Freight, Overseas Shipping Containers, Permits, etc...
</t>
        </r>
      </text>
    </comment>
    <comment ref="B13" authorId="0" shapeId="0" xr:uid="{8F249B6E-FEAD-4CE7-84CE-BCA4E083CBC5}">
      <text>
        <r>
          <rPr>
            <sz val="9"/>
            <color indexed="81"/>
            <rFont val="Calibri"/>
            <family val="2"/>
            <scheme val="minor"/>
          </rPr>
          <t xml:space="preserve">Examples: Travels Expenses at $250/day, flights at $800 each, 3rd Party Engineering, PE Stamps, Seismic Calcs, Testing, Consulting, etc…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2735168E-3B43-48AB-9F43-AD2C80F61A82}">
      <text>
        <r>
          <rPr>
            <sz val="9"/>
            <color indexed="81"/>
            <rFont val="Calibri"/>
            <family val="2"/>
            <scheme val="minor"/>
          </rPr>
          <t>Commission is unknown until an "As Sold" price is finalized.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Kerry Dissinger</author>
  </authors>
  <commentList>
    <comment ref="C18" authorId="0" shapeId="0" xr:uid="{F9CECF31-CF51-4BB5-A5D1-D7E7857386EF}">
      <text>
        <r>
          <rPr>
            <sz val="9"/>
            <color indexed="81"/>
            <rFont val="Tahoma"/>
            <family val="2"/>
          </rPr>
          <t xml:space="preserve">Adder for L Grade is $0.06/lbs as of 5/17/22
</t>
        </r>
      </text>
    </comment>
    <comment ref="C19" authorId="0" shapeId="0" xr:uid="{DF890AB1-3CEA-483C-B32B-A6BADD7E55E1}">
      <text>
        <r>
          <rPr>
            <sz val="9"/>
            <color indexed="81"/>
            <rFont val="Tahoma"/>
            <family val="2"/>
          </rPr>
          <t>Adder for L Grade is $0.06/lbs as of 5/17/22</t>
        </r>
      </text>
    </comment>
    <comment ref="C20" authorId="0" shapeId="0" xr:uid="{DC64FAED-DBC9-4881-A7C9-23F726D79134}">
      <text>
        <r>
          <rPr>
            <sz val="9"/>
            <color indexed="81"/>
            <rFont val="Tahoma"/>
            <family val="2"/>
          </rPr>
          <t>Adder for L Grade is $0.06/lbs as of 5/17/22</t>
        </r>
      </text>
    </comment>
    <comment ref="C21" authorId="0" shapeId="0" xr:uid="{9CD5AC36-47AC-4AAD-B872-D76497BC851E}">
      <text>
        <r>
          <rPr>
            <sz val="9"/>
            <color indexed="81"/>
            <rFont val="Tahoma"/>
            <family val="2"/>
          </rPr>
          <t>Adder for L Grade is $0.06/lbs as of 5/17/22</t>
        </r>
      </text>
    </comment>
    <comment ref="C22" authorId="0" shapeId="0" xr:uid="{5850FE56-7C6C-487F-9A26-19AF57887DC7}">
      <text>
        <r>
          <rPr>
            <sz val="9"/>
            <color indexed="81"/>
            <rFont val="Tahoma"/>
            <family val="2"/>
          </rPr>
          <t>Adder for L Grade is $0.06/lbs as of 5/17/22</t>
        </r>
      </text>
    </comment>
    <comment ref="C23" authorId="0" shapeId="0" xr:uid="{624631CC-B255-4335-B264-E02621B3D717}">
      <text>
        <r>
          <rPr>
            <sz val="9"/>
            <color indexed="81"/>
            <rFont val="Tahoma"/>
            <family val="2"/>
          </rPr>
          <t xml:space="preserve">Adder for L Grade is $0.06/lbs as of 5/17/22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tc={1750FF33-4ED3-4861-96CB-F81369DF24CC}</author>
  </authors>
  <commentList>
    <comment ref="P3" authorId="0" shapeId="0" xr:uid="{1750FF33-4ED3-4861-96CB-F81369DF24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column should be driven by mega materials based off thickness column and material selected.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tc={9EA0826F-74BA-49D0-AB55-A209E6C67C49}</author>
    <author>Jim Hohler</author>
  </authors>
  <commentList>
    <comment ref="P2" authorId="0" shapeId="0" xr:uid="{9EA0826F-74BA-49D0-AB55-A209E6C67C4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column should be driven by mega materials based off thickness column and material selected.</t>
      </text>
    </comment>
    <comment ref="G71" authorId="1" shapeId="0" xr:uid="{EAD52E5B-016A-4CEC-8AA9-361520441E3E}">
      <text>
        <r>
          <rPr>
            <b/>
            <sz val="9"/>
            <color indexed="81"/>
            <rFont val="Tahoma"/>
            <family val="2"/>
          </rPr>
          <t>Jim Hohler:</t>
        </r>
        <r>
          <rPr>
            <sz val="9"/>
            <color indexed="81"/>
            <rFont val="Tahoma"/>
            <family val="2"/>
          </rPr>
          <t xml:space="preserve">
12/9/24 - INCREASED FROM 3 TO 10 BASED OFF 23020.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tc={C7B369A5-C242-4DEB-ABE8-BB2C5A2FB11D}</author>
  </authors>
  <commentList>
    <comment ref="P2" authorId="0" shapeId="0" xr:uid="{C7B369A5-C242-4DEB-ABE8-BB2C5A2FB11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column should be driven by mega materials based off thickness column and material selected.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73E8D7-FB48-4EE1-8174-8F2DD5C89C13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7680F8F7-0833-4F39-A751-77D6877EEEF3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  <connection id="3" xr16:uid="{25EB510C-C6C2-42A7-893A-E07A28FBB983}" keepAlive="1" name="Query - Sheet &amp; Plate - NEW" description="Connection to the 'Sheet &amp; Plate - NEW' query in the workbook." type="5" refreshedVersion="8" background="1" saveData="1">
    <dbPr connection="Provider=Microsoft.Mashup.OleDb.1;Data Source=$Workbook$;Location=&quot;Sheet &amp; Plate - NEW&quot;;Extended Properties=&quot;&quot;" command="SELECT * FROM [Sheet &amp; Plate - NE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<sst xmlns="http://schemas.openxmlformats.org/spreadsheetml/2006/main" count="23864" uniqueCount="8212">
  <si>
    <t>Primary input</t>
  </si>
  <si>
    <t>Secondary input (only change under specific circumstances)</t>
  </si>
  <si>
    <t>Calculation - secondary or intermediate output</t>
  </si>
  <si>
    <t>Primary output "pass"</t>
  </si>
  <si>
    <t>Output "failure"</t>
  </si>
  <si>
    <t>Note: If a warning appears stating there are circular references, ensure that iterative calculations is checked within settings/formulas.</t>
  </si>
  <si>
    <t>JIM MYERS &amp; SONS</t>
  </si>
  <si>
    <t>BELT CONVEYOR DESIGN SHEET</t>
  </si>
  <si>
    <t>PROJECT NO.:</t>
  </si>
  <si>
    <t>BY:</t>
  </si>
  <si>
    <t>LOCATION:</t>
  </si>
  <si>
    <t>DATE:</t>
  </si>
  <si>
    <t>CUSTOMER:</t>
  </si>
  <si>
    <t>REVISION:</t>
  </si>
  <si>
    <t>ENGINEER:</t>
  </si>
  <si>
    <t>REV DATE:</t>
  </si>
  <si>
    <t>DESCRIPTION:</t>
  </si>
  <si>
    <t>PAGE:</t>
  </si>
  <si>
    <t>OF</t>
  </si>
  <si>
    <t>CONVEYOR GENERAL INFORMATION</t>
  </si>
  <si>
    <t>IDENTIFICATION:</t>
  </si>
  <si>
    <t>DENSITY:</t>
  </si>
  <si>
    <r>
      <t>LB/FT</t>
    </r>
    <r>
      <rPr>
        <vertAlign val="superscript"/>
        <sz val="11"/>
        <color theme="1"/>
        <rFont val="Calibri"/>
        <family val="2"/>
        <scheme val="minor"/>
      </rPr>
      <t>3</t>
    </r>
  </si>
  <si>
    <t>SOLIDS CONTENT:</t>
  </si>
  <si>
    <t>%</t>
  </si>
  <si>
    <t>JMS ASSEMBLY:</t>
  </si>
  <si>
    <t>NOTES:</t>
  </si>
  <si>
    <t>LENGTH:</t>
  </si>
  <si>
    <t>FT</t>
  </si>
  <si>
    <t>(</t>
  </si>
  <si>
    <t>IN</t>
  </si>
  <si>
    <t>)</t>
  </si>
  <si>
    <t>DRIVE ARRANGEMENT:</t>
  </si>
  <si>
    <t>SERVICE DUTY:</t>
  </si>
  <si>
    <t>AREA CLASSIFICATION:</t>
  </si>
  <si>
    <t>CONVEYED MATERIAL:</t>
  </si>
  <si>
    <t>PERFORMANCE CRITERIA</t>
  </si>
  <si>
    <t>ACCESSORIES</t>
  </si>
  <si>
    <t>DESIGN WEIGHT LOADING:</t>
  </si>
  <si>
    <t>TON/HR</t>
  </si>
  <si>
    <t>SKIRTBOARD LENGTH:</t>
  </si>
  <si>
    <t>(LENGTH OF ONE SIDE)</t>
  </si>
  <si>
    <t>DESIGN VOLUME LOADING: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</si>
  <si>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>/HR</t>
    </r>
  </si>
  <si>
    <t>SKIRTBOARD FRICTION FACTOR:</t>
  </si>
  <si>
    <t>(0.14 IS STANDARD)</t>
  </si>
  <si>
    <t>SPEED:</t>
  </si>
  <si>
    <t>FPM</t>
  </si>
  <si>
    <t>QUANTITY OF PLOWS:</t>
  </si>
  <si>
    <t>DESIGN PARAMETERS</t>
  </si>
  <si>
    <t>QUANTITY OF SCRAPERS:</t>
  </si>
  <si>
    <t>BELT WIDTH:</t>
  </si>
  <si>
    <t>WASH BOX:</t>
  </si>
  <si>
    <t>HORIZONTAL LENGTH:</t>
  </si>
  <si>
    <t>BELT SCALE:</t>
  </si>
  <si>
    <t>MINIMUM INCLINE LENGTH:</t>
  </si>
  <si>
    <t>TYPE OF PLOW:</t>
  </si>
  <si>
    <t>INCLINE ANGLE:</t>
  </si>
  <si>
    <t>DEG</t>
  </si>
  <si>
    <t>DISCHARGE PLOW ALLOWANCE:</t>
  </si>
  <si>
    <t>LBS/IN OF BELT</t>
  </si>
  <si>
    <t>BELT LOAD RATING:</t>
  </si>
  <si>
    <t>PIW</t>
  </si>
  <si>
    <t>(220 IS STANDARD)</t>
  </si>
  <si>
    <t>ANALYSIS</t>
  </si>
  <si>
    <t>BELT THICKNESS:</t>
  </si>
  <si>
    <t>(0.3125 (5/16") IS STANDARD)</t>
  </si>
  <si>
    <t>TYPE OF TAKE UP:</t>
  </si>
  <si>
    <t>TAKE UP LENGTH:</t>
  </si>
  <si>
    <t>BELT TYPE</t>
  </si>
  <si>
    <t>(FABRIC IS STANDARD)</t>
  </si>
  <si>
    <t>LAGGING ON HEAD PULLEY?:</t>
  </si>
  <si>
    <t>BELT WEIGHT:</t>
  </si>
  <si>
    <t>LBS/FT</t>
  </si>
  <si>
    <t>(AUTOMATICALLY FILLED FROM TABLE 6-1)</t>
  </si>
  <si>
    <t>LAGGING THICKNESS:</t>
  </si>
  <si>
    <t>(0.375 (3/8) IS COMMON)</t>
  </si>
  <si>
    <t>CARRYING IDLER TYPE:</t>
  </si>
  <si>
    <t>DRIVE PULLEY SHAFT SIZE:</t>
  </si>
  <si>
    <t xml:space="preserve">CARRYING IDLER TROUGH  ANGLE: </t>
  </si>
  <si>
    <t>(20° IS STANDARD)</t>
  </si>
  <si>
    <t>TAIL PULLEY SHAFT SIZE:</t>
  </si>
  <si>
    <t>AVERAGE CARRYING IDLER SPACING:</t>
  </si>
  <si>
    <t>(3-4 FT IS STANDARD)</t>
  </si>
  <si>
    <t>SHAFT MATERIAL:</t>
  </si>
  <si>
    <t>(1045 IS STANDARD)</t>
  </si>
  <si>
    <t>AVERAGE RETURN IDLER SPACING:</t>
  </si>
  <si>
    <t>(8-10 FT IS STANDARD)</t>
  </si>
  <si>
    <t>GEARBOX WEIGHT:</t>
  </si>
  <si>
    <r>
      <t>LBS</t>
    </r>
    <r>
      <rPr>
        <i/>
        <sz val="11"/>
        <color theme="1"/>
        <rFont val="Calibri"/>
        <family val="2"/>
        <scheme val="minor"/>
      </rPr>
      <t xml:space="preserve"> (ENTER AFTER SELECTING A DRIVE)</t>
    </r>
  </si>
  <si>
    <t>DRUM PULLEY DIA:</t>
  </si>
  <si>
    <t>PULLEY WEIGHT:</t>
  </si>
  <si>
    <t>LBS</t>
  </si>
  <si>
    <t>(295 IS A CONSERVATIVE VALUE)</t>
  </si>
  <si>
    <t>IDLER SIZE:</t>
  </si>
  <si>
    <t>(5 IS STANDARD)</t>
  </si>
  <si>
    <t>ANGLE BTW TENSION AND OVERHUNG LOAD:</t>
  </si>
  <si>
    <r>
      <t xml:space="preserve">DEG </t>
    </r>
    <r>
      <rPr>
        <i/>
        <sz val="11"/>
        <color theme="1"/>
        <rFont val="Calibri"/>
        <family val="2"/>
        <scheme val="minor"/>
      </rPr>
      <t>(90 IS STANDARD)</t>
    </r>
  </si>
  <si>
    <t>H</t>
  </si>
  <si>
    <t>=</t>
  </si>
  <si>
    <t>Height Material is Lifted</t>
  </si>
  <si>
    <r>
      <t>T</t>
    </r>
    <r>
      <rPr>
        <vertAlign val="subscript"/>
        <sz val="11"/>
        <color theme="1"/>
        <rFont val="Calibri"/>
        <family val="2"/>
        <scheme val="minor"/>
      </rPr>
      <t>o</t>
    </r>
  </si>
  <si>
    <t>Minimum Tension 2% Sag</t>
  </si>
  <si>
    <r>
      <t>W</t>
    </r>
    <r>
      <rPr>
        <vertAlign val="subscript"/>
        <sz val="11"/>
        <color theme="1"/>
        <rFont val="Calibri"/>
        <family val="2"/>
        <scheme val="minor"/>
      </rPr>
      <t>m</t>
    </r>
  </si>
  <si>
    <t>Material Weight</t>
  </si>
  <si>
    <t>y</t>
  </si>
  <si>
    <t>Inches of Sag Between Idlers</t>
  </si>
  <si>
    <r>
      <t>W</t>
    </r>
    <r>
      <rPr>
        <vertAlign val="subscript"/>
        <sz val="11"/>
        <color theme="1"/>
        <rFont val="Calibri"/>
        <family val="2"/>
        <scheme val="minor"/>
      </rPr>
      <t>b</t>
    </r>
  </si>
  <si>
    <t>Belt Weight</t>
  </si>
  <si>
    <r>
      <t>LK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0"/>
        <rFont val="Arial"/>
        <family val="2"/>
      </rPr>
      <t>K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0"/>
        <rFont val="Arial"/>
        <family val="2"/>
      </rPr>
      <t xml:space="preserve"> </t>
    </r>
  </si>
  <si>
    <r>
      <t>T</t>
    </r>
    <r>
      <rPr>
        <vertAlign val="subscript"/>
        <sz val="11"/>
        <color theme="1"/>
        <rFont val="Calibri"/>
        <family val="2"/>
        <scheme val="minor"/>
      </rPr>
      <t>x</t>
    </r>
  </si>
  <si>
    <t>Resistance Carrying &amp; Return Idlers</t>
  </si>
  <si>
    <r>
      <t>W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0"/>
        <rFont val="Arial"/>
        <family val="2"/>
      </rPr>
      <t>+W</t>
    </r>
    <r>
      <rPr>
        <vertAlign val="subscript"/>
        <sz val="11"/>
        <color theme="1"/>
        <rFont val="Calibri"/>
        <family val="2"/>
        <scheme val="minor"/>
      </rPr>
      <t>b</t>
    </r>
  </si>
  <si>
    <t>Combined Weight</t>
  </si>
  <si>
    <r>
      <t>LK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0"/>
        <rFont val="Arial"/>
        <family val="2"/>
      </rPr>
      <t>K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0"/>
        <rFont val="Arial"/>
        <family val="2"/>
      </rPr>
      <t>W</t>
    </r>
    <r>
      <rPr>
        <vertAlign val="subscript"/>
        <sz val="11"/>
        <color theme="1"/>
        <rFont val="Calibri"/>
        <family val="2"/>
        <scheme val="minor"/>
      </rPr>
      <t>b</t>
    </r>
  </si>
  <si>
    <r>
      <t>T</t>
    </r>
    <r>
      <rPr>
        <vertAlign val="subscript"/>
        <sz val="11"/>
        <color theme="1"/>
        <rFont val="Calibri"/>
        <family val="2"/>
        <scheme val="minor"/>
      </rPr>
      <t>yc</t>
    </r>
  </si>
  <si>
    <t>Belt Resis. To Flex for Carrying Idlers</t>
  </si>
  <si>
    <t>Distance Between Skirts</t>
  </si>
  <si>
    <t>(2/3 Belt Width)</t>
  </si>
  <si>
    <r>
      <t>LK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0"/>
        <rFont val="Arial"/>
        <family val="2"/>
      </rPr>
      <t>(0.015W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0"/>
        <rFont val="Arial"/>
        <family val="2"/>
      </rPr>
      <t>)</t>
    </r>
  </si>
  <si>
    <r>
      <t>T</t>
    </r>
    <r>
      <rPr>
        <vertAlign val="subscript"/>
        <sz val="11"/>
        <color theme="1"/>
        <rFont val="Calibri"/>
        <family val="2"/>
        <scheme val="minor"/>
      </rPr>
      <t>yr</t>
    </r>
  </si>
  <si>
    <t>Belt Resis. To Flex for Return Idlers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</si>
  <si>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</si>
  <si>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Depth of Material</t>
  </si>
  <si>
    <r>
      <t>LK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0"/>
        <rFont val="Arial"/>
        <family val="2"/>
      </rPr>
      <t>W</t>
    </r>
    <r>
      <rPr>
        <vertAlign val="subscript"/>
        <sz val="11"/>
        <color theme="1"/>
        <rFont val="Calibri"/>
        <family val="2"/>
        <scheme val="minor"/>
      </rPr>
      <t>m</t>
    </r>
  </si>
  <si>
    <r>
      <t>T</t>
    </r>
    <r>
      <rPr>
        <vertAlign val="subscript"/>
        <sz val="11"/>
        <color theme="1"/>
        <rFont val="Calibri"/>
        <family val="2"/>
        <scheme val="minor"/>
      </rPr>
      <t>ym</t>
    </r>
  </si>
  <si>
    <t>Material to Flexture Riding Over Idlers</t>
  </si>
  <si>
    <r>
      <t>C</t>
    </r>
    <r>
      <rPr>
        <vertAlign val="subscript"/>
        <sz val="11"/>
        <color theme="1"/>
        <rFont val="Calibri"/>
        <family val="2"/>
        <scheme val="minor"/>
      </rPr>
      <t>w</t>
    </r>
  </si>
  <si>
    <t>Wrap Factor</t>
  </si>
  <si>
    <r>
      <t>HW</t>
    </r>
    <r>
      <rPr>
        <vertAlign val="subscript"/>
        <sz val="11"/>
        <color theme="1"/>
        <rFont val="Calibri"/>
        <family val="2"/>
        <scheme val="minor"/>
      </rPr>
      <t>m</t>
    </r>
  </si>
  <si>
    <r>
      <t>T</t>
    </r>
    <r>
      <rPr>
        <vertAlign val="subscript"/>
        <sz val="11"/>
        <color theme="1"/>
        <rFont val="Calibri"/>
        <family val="2"/>
        <scheme val="minor"/>
      </rPr>
      <t>m</t>
    </r>
  </si>
  <si>
    <t>Force to Lift or Lower Material Load</t>
  </si>
  <si>
    <r>
      <t>K</t>
    </r>
    <r>
      <rPr>
        <vertAlign val="subscript"/>
        <sz val="11"/>
        <color theme="1"/>
        <rFont val="Calibri"/>
        <family val="2"/>
        <scheme val="minor"/>
      </rPr>
      <t>T</t>
    </r>
  </si>
  <si>
    <t>Temp. Correction Factor</t>
  </si>
  <si>
    <t>Value for 0° F (Conservative)</t>
  </si>
  <si>
    <r>
      <t>T</t>
    </r>
    <r>
      <rPr>
        <vertAlign val="subscript"/>
        <sz val="11"/>
        <color theme="1"/>
        <rFont val="Calibri"/>
        <family val="2"/>
        <scheme val="minor"/>
      </rPr>
      <t>p</t>
    </r>
  </si>
  <si>
    <t>Pulley Friction, Head, Tail</t>
  </si>
  <si>
    <r>
      <t>A</t>
    </r>
    <r>
      <rPr>
        <vertAlign val="subscript"/>
        <sz val="11"/>
        <color theme="1"/>
        <rFont val="Calibri"/>
        <family val="2"/>
        <scheme val="minor"/>
      </rPr>
      <t>i</t>
    </r>
  </si>
  <si>
    <t>Force to Rotate Idlers</t>
  </si>
  <si>
    <r>
      <t>T</t>
    </r>
    <r>
      <rPr>
        <vertAlign val="subscript"/>
        <sz val="11"/>
        <color theme="1"/>
        <rFont val="Calibri"/>
        <family val="2"/>
        <scheme val="minor"/>
      </rPr>
      <t>am</t>
    </r>
  </si>
  <si>
    <t>Accelerated Material</t>
  </si>
  <si>
    <r>
      <t>K</t>
    </r>
    <r>
      <rPr>
        <vertAlign val="subscript"/>
        <sz val="11"/>
        <color theme="1"/>
        <rFont val="Calibri"/>
        <family val="2"/>
        <scheme val="minor"/>
      </rPr>
      <t>x</t>
    </r>
  </si>
  <si>
    <t>Idler Friction Factor</t>
  </si>
  <si>
    <t>2.8755 x 10-4 x Q x ((V - V0) / t) Let t = 1 sec, V0 = 0</t>
  </si>
  <si>
    <r>
      <t>K</t>
    </r>
    <r>
      <rPr>
        <vertAlign val="subscript"/>
        <sz val="11"/>
        <color theme="1"/>
        <rFont val="Calibri"/>
        <family val="2"/>
        <scheme val="minor"/>
      </rPr>
      <t>y</t>
    </r>
  </si>
  <si>
    <t>Belt/Load Flexure Factor</t>
  </si>
  <si>
    <r>
      <t>T</t>
    </r>
    <r>
      <rPr>
        <vertAlign val="subscript"/>
        <sz val="11"/>
        <color theme="1"/>
        <rFont val="Calibri"/>
        <family val="2"/>
        <scheme val="minor"/>
      </rPr>
      <t>ac</t>
    </r>
  </si>
  <si>
    <t>Resistance of Accessories</t>
  </si>
  <si>
    <r>
      <t>T</t>
    </r>
    <r>
      <rPr>
        <vertAlign val="subscript"/>
        <sz val="11"/>
        <color theme="1"/>
        <rFont val="Calibri"/>
        <family val="2"/>
        <scheme val="minor"/>
      </rPr>
      <t>sb</t>
    </r>
  </si>
  <si>
    <t>Skirtboard Friction</t>
  </si>
  <si>
    <r>
      <t>T</t>
    </r>
    <r>
      <rPr>
        <vertAlign val="subscript"/>
        <sz val="11"/>
        <color theme="1"/>
        <rFont val="Calibri"/>
        <family val="2"/>
        <scheme val="minor"/>
      </rPr>
      <t>e</t>
    </r>
  </si>
  <si>
    <r>
      <t>T</t>
    </r>
    <r>
      <rPr>
        <vertAlign val="subscript"/>
        <sz val="11"/>
        <color theme="1"/>
        <rFont val="Calibri"/>
        <family val="2"/>
        <scheme val="minor"/>
      </rPr>
      <t>PL</t>
    </r>
  </si>
  <si>
    <t>Plow Resistance</t>
  </si>
  <si>
    <r>
      <t>T</t>
    </r>
    <r>
      <rPr>
        <vertAlign val="subscript"/>
        <sz val="11"/>
        <color theme="1"/>
        <rFont val="Calibri"/>
        <family val="2"/>
        <scheme val="minor"/>
      </rPr>
      <t>b</t>
    </r>
  </si>
  <si>
    <r>
      <t>T</t>
    </r>
    <r>
      <rPr>
        <vertAlign val="subscript"/>
        <sz val="11"/>
        <color theme="1"/>
        <rFont val="Calibri"/>
        <family val="2"/>
        <scheme val="minor"/>
      </rPr>
      <t>BC</t>
    </r>
  </si>
  <si>
    <t>Belt Cleaning Resistance</t>
  </si>
  <si>
    <r>
      <t>T</t>
    </r>
    <r>
      <rPr>
        <vertAlign val="subscript"/>
        <sz val="11"/>
        <color theme="1"/>
        <rFont val="Calibri"/>
        <family val="2"/>
        <scheme val="minor"/>
      </rPr>
      <t>2</t>
    </r>
  </si>
  <si>
    <t>DESIGN CAPACITY</t>
  </si>
  <si>
    <r>
      <t>T</t>
    </r>
    <r>
      <rPr>
        <vertAlign val="subscript"/>
        <sz val="11"/>
        <color theme="1"/>
        <rFont val="Calibri"/>
        <family val="2"/>
        <scheme val="minor"/>
      </rPr>
      <t>1</t>
    </r>
  </si>
  <si>
    <t>Belt Capacity</t>
  </si>
  <si>
    <r>
      <t>T</t>
    </r>
    <r>
      <rPr>
        <vertAlign val="subscript"/>
        <sz val="11"/>
        <color theme="1"/>
        <rFont val="Calibri"/>
        <family val="2"/>
        <scheme val="minor"/>
      </rPr>
      <t>r</t>
    </r>
  </si>
  <si>
    <t>Tail Resistance</t>
  </si>
  <si>
    <t>Capacity Utilization</t>
  </si>
  <si>
    <r>
      <t>T</t>
    </r>
    <r>
      <rPr>
        <vertAlign val="subscript"/>
        <sz val="11"/>
        <color theme="1"/>
        <rFont val="Calibri"/>
        <family val="2"/>
        <scheme val="minor"/>
      </rPr>
      <t>t</t>
    </r>
  </si>
  <si>
    <t>Tail Pulley Tension</t>
  </si>
  <si>
    <t>DRUM INFO</t>
  </si>
  <si>
    <t>POWER CALCULATIONS</t>
  </si>
  <si>
    <t>Drum Pulley Dia with Lagging</t>
  </si>
  <si>
    <r>
      <t>HP</t>
    </r>
    <r>
      <rPr>
        <vertAlign val="subscript"/>
        <sz val="11"/>
        <color theme="1"/>
        <rFont val="Calibri"/>
        <family val="2"/>
        <scheme val="minor"/>
      </rPr>
      <t>b</t>
    </r>
  </si>
  <si>
    <t>Horsepower Required at Belt</t>
  </si>
  <si>
    <t>HP</t>
  </si>
  <si>
    <t>Design Drum RPM</t>
  </si>
  <si>
    <t>RPM</t>
  </si>
  <si>
    <r>
      <t>h</t>
    </r>
    <r>
      <rPr>
        <vertAlign val="subscript"/>
        <sz val="11"/>
        <color theme="1"/>
        <rFont val="Calibri"/>
        <family val="2"/>
        <scheme val="minor"/>
      </rPr>
      <t>m</t>
    </r>
  </si>
  <si>
    <t xml:space="preserve">Power Transmission Efficiency </t>
  </si>
  <si>
    <t>Required Torque @ Drum</t>
  </si>
  <si>
    <t>IN-LBS</t>
  </si>
  <si>
    <r>
      <t>HP</t>
    </r>
    <r>
      <rPr>
        <vertAlign val="subscript"/>
        <sz val="11"/>
        <color theme="1"/>
        <rFont val="Calibri"/>
        <family val="2"/>
        <scheme val="minor"/>
      </rPr>
      <t>min</t>
    </r>
  </si>
  <si>
    <t>Min Required Motor Horsepower</t>
  </si>
  <si>
    <t>Selected Drum RPM</t>
  </si>
  <si>
    <t>(VALUE FROM SEW)</t>
  </si>
  <si>
    <r>
      <t>HP</t>
    </r>
    <r>
      <rPr>
        <vertAlign val="subscript"/>
        <sz val="11"/>
        <color theme="1"/>
        <rFont val="Calibri"/>
        <family val="2"/>
        <scheme val="minor"/>
      </rPr>
      <t>a</t>
    </r>
  </si>
  <si>
    <t>Selected Horsepower</t>
  </si>
  <si>
    <t>Selected Belt Speed</t>
  </si>
  <si>
    <t>SF</t>
  </si>
  <si>
    <t>Safety Factor</t>
  </si>
  <si>
    <t>DRIVE SELECTION</t>
  </si>
  <si>
    <t>DRIVE AND TAIL SHAFT CALCULATIONS</t>
  </si>
  <si>
    <t>GEARBOX:</t>
  </si>
  <si>
    <r>
      <t>S</t>
    </r>
    <r>
      <rPr>
        <vertAlign val="subscript"/>
        <sz val="11"/>
        <color theme="1"/>
        <rFont val="Calibri"/>
        <family val="2"/>
        <scheme val="minor"/>
      </rPr>
      <t>ut</t>
    </r>
  </si>
  <si>
    <t>PSI</t>
  </si>
  <si>
    <t>Bearing Centers</t>
  </si>
  <si>
    <t>RATIO:</t>
  </si>
  <si>
    <t>:1</t>
  </si>
  <si>
    <r>
      <t>S</t>
    </r>
    <r>
      <rPr>
        <vertAlign val="subscript"/>
        <sz val="11"/>
        <color theme="1"/>
        <rFont val="Calibri"/>
        <family val="2"/>
        <scheme val="minor"/>
      </rPr>
      <t>y</t>
    </r>
  </si>
  <si>
    <t>Pulley Moment Arm</t>
  </si>
  <si>
    <t>GEARBOX OUTPUT:</t>
  </si>
  <si>
    <t>INCH SHAFT</t>
  </si>
  <si>
    <t>E</t>
  </si>
  <si>
    <t>Overhung Load Dist.</t>
  </si>
  <si>
    <t>MOUNTING:</t>
  </si>
  <si>
    <t>ORIENTATION</t>
  </si>
  <si>
    <t>I</t>
  </si>
  <si>
    <r>
      <t>IN</t>
    </r>
    <r>
      <rPr>
        <vertAlign val="superscript"/>
        <sz val="11"/>
        <color theme="1"/>
        <rFont val="Calibri"/>
        <family val="2"/>
        <scheme val="minor"/>
      </rPr>
      <t>4</t>
    </r>
  </si>
  <si>
    <t>Resultant Belt Tension</t>
  </si>
  <si>
    <t>MOTOR:</t>
  </si>
  <si>
    <t>FS</t>
  </si>
  <si>
    <t>Resultant Load</t>
  </si>
  <si>
    <t>POWER:</t>
  </si>
  <si>
    <r>
      <t>S</t>
    </r>
    <r>
      <rPr>
        <vertAlign val="subscript"/>
        <sz val="11"/>
        <color theme="1"/>
        <rFont val="Calibri"/>
        <family val="2"/>
        <scheme val="minor"/>
      </rPr>
      <t>f</t>
    </r>
  </si>
  <si>
    <t>Belt Resis. Moment Load</t>
  </si>
  <si>
    <t>IN-LB</t>
  </si>
  <si>
    <t>DESIGN:</t>
  </si>
  <si>
    <t>T</t>
  </si>
  <si>
    <t>Overhung Moment</t>
  </si>
  <si>
    <t>EXPLOSION RATING:</t>
  </si>
  <si>
    <t>D</t>
  </si>
  <si>
    <t>Overhung Load Ratio</t>
  </si>
  <si>
    <t>DRIVE NOTES:</t>
  </si>
  <si>
    <t>tan(α)</t>
  </si>
  <si>
    <t>Selected Shaft Okay?</t>
  </si>
  <si>
    <t>α</t>
  </si>
  <si>
    <t>tan(α) Acceptable?</t>
  </si>
  <si>
    <r>
      <t>ANSI B105.1 AND 501.1 LIMIT OF TAN(</t>
    </r>
    <r>
      <rPr>
        <i/>
        <sz val="11"/>
        <color theme="1"/>
        <rFont val="Symbol"/>
        <family val="1"/>
        <charset val="2"/>
      </rPr>
      <t xml:space="preserve">a) &lt; </t>
    </r>
    <r>
      <rPr>
        <i/>
        <sz val="11"/>
        <color theme="1"/>
        <rFont val="Calibri"/>
        <family val="2"/>
        <scheme val="minor"/>
      </rPr>
      <t>0.0023 IN/IN</t>
    </r>
  </si>
  <si>
    <t>IMPACT IDLER CHARACTERISTICS</t>
  </si>
  <si>
    <t>IMPACT IDLER BEARING ANALYSIS</t>
  </si>
  <si>
    <t>BEARING MODEL:</t>
  </si>
  <si>
    <t>Superior 20 Deg 5" Troughing</t>
  </si>
  <si>
    <t>IML</t>
  </si>
  <si>
    <t>Idler Misalignment Load</t>
  </si>
  <si>
    <t>PART NUMBER:</t>
  </si>
  <si>
    <t>CIL</t>
  </si>
  <si>
    <t>Calculated Idler Load</t>
  </si>
  <si>
    <t>CEMA L-10 LIFE HOUR RATING:</t>
  </si>
  <si>
    <t>HOURS</t>
  </si>
  <si>
    <t>F</t>
  </si>
  <si>
    <t>Impact Load of Falling Material</t>
  </si>
  <si>
    <t>CALCULATED IDLER LOAD RATING:</t>
  </si>
  <si>
    <t>Fu</t>
  </si>
  <si>
    <t>Unit Impact Force</t>
  </si>
  <si>
    <t>ALLOWABLE MISALIGNMENT:</t>
  </si>
  <si>
    <t>Impact Force Less Than CIL or CILR?</t>
  </si>
  <si>
    <t>IDLER ROLL RPM:</t>
  </si>
  <si>
    <t>CIL/CILR</t>
  </si>
  <si>
    <t>Ratio of Idler Loading</t>
  </si>
  <si>
    <t>IDLER SPACING:</t>
  </si>
  <si>
    <t>K2</t>
  </si>
  <si>
    <t>Effect of Load on Predicted Brg Life</t>
  </si>
  <si>
    <t># OF IMPACT ZONES:</t>
  </si>
  <si>
    <t>K3A</t>
  </si>
  <si>
    <t>Belt Speed Effect on Predicted Brg Life</t>
  </si>
  <si>
    <t>LENGTH OF IMPACT ZONES:</t>
  </si>
  <si>
    <t>K3B</t>
  </si>
  <si>
    <t>Effect of Roll Diameter on Pre Brg Life</t>
  </si>
  <si>
    <t>K1 LUMP ADJUSTMENT FACTOR:</t>
  </si>
  <si>
    <t>Basic L10 Hours</t>
  </si>
  <si>
    <t>Factored CEMA-C L10 Life Hours</t>
  </si>
  <si>
    <t>HRS</t>
  </si>
  <si>
    <t>HEIGHT OF MATERIAL FALL:</t>
  </si>
  <si>
    <t>K4A</t>
  </si>
  <si>
    <t>Effect of Maintenance on Idler Life</t>
  </si>
  <si>
    <t>IMPACT IDLER SPACING FACTOR:</t>
  </si>
  <si>
    <t>K4B</t>
  </si>
  <si>
    <t>Effect of Environment on Idler Life</t>
  </si>
  <si>
    <t>K4C</t>
  </si>
  <si>
    <t>Effect of Opetrating Temperature</t>
  </si>
  <si>
    <t>Adjusted L10 Hours</t>
  </si>
  <si>
    <t>PULLEY SHAFT BEARING ANALYSIS</t>
  </si>
  <si>
    <t>BELT CONFIGURATION/MATERIAL</t>
  </si>
  <si>
    <t>Rexnord Link Belt</t>
  </si>
  <si>
    <t>CONVEYOR BELT</t>
  </si>
  <si>
    <t>BELT CONVEYOR TYPE (SEE IMAGES):</t>
  </si>
  <si>
    <t>W</t>
  </si>
  <si>
    <t>Radial Load per Bearing</t>
  </si>
  <si>
    <t>CONVEYOR DIMENSION A:</t>
  </si>
  <si>
    <t>C</t>
  </si>
  <si>
    <t>Bearing Load Rating</t>
  </si>
  <si>
    <t>CONVEYOR DIMENSION B:</t>
  </si>
  <si>
    <t>TYPE 1</t>
  </si>
  <si>
    <t>TYPE 2</t>
  </si>
  <si>
    <t>TYPE 3</t>
  </si>
  <si>
    <t>n</t>
  </si>
  <si>
    <t>Rotational Speed</t>
  </si>
  <si>
    <t>CONVEYOR DIMENSION C:</t>
  </si>
  <si>
    <t>L10</t>
  </si>
  <si>
    <t>L10 Bearing Life</t>
  </si>
  <si>
    <t>DRIP PAN LENGTH:</t>
  </si>
  <si>
    <t>MATERIAL OF CONSTRUCTION:</t>
  </si>
  <si>
    <t>TYPE 4</t>
  </si>
  <si>
    <t>TYPE 5</t>
  </si>
  <si>
    <t>CONVEYOR ACCESSORIES &amp; ELECTRONICS</t>
  </si>
  <si>
    <t>CONVEYOR SUPPORTS</t>
  </si>
  <si>
    <t>GUIDELERS:</t>
  </si>
  <si>
    <t>QTY:</t>
  </si>
  <si>
    <t>QTY. OF 2' SUPPORTS:</t>
  </si>
  <si>
    <t>TYPE OF PRIMARY SCRAPER:</t>
  </si>
  <si>
    <t>QTY. OF 5' SUPPORTS:</t>
  </si>
  <si>
    <t>SECONDARY SCRAPER:</t>
  </si>
  <si>
    <t>QTY. OF 10' SUPPORTS:</t>
  </si>
  <si>
    <t>E-STOP SWITCH:</t>
  </si>
  <si>
    <t>QTY. OF 15' SUPPORTS:</t>
  </si>
  <si>
    <t>ZERO SPEED: SENSOR:</t>
  </si>
  <si>
    <t>QTY. OF 20' SUPPORTS:</t>
  </si>
  <si>
    <t>BELT ALIGNMENT SWITCH:</t>
  </si>
  <si>
    <t>CONVEYOR BELT SPLICE</t>
  </si>
  <si>
    <t>BELTSCALE:</t>
  </si>
  <si>
    <t>SPLICE TYPE:</t>
  </si>
  <si>
    <t>HEAD &amp; TAIL PULLEY REQUIREMENTS</t>
  </si>
  <si>
    <t>SPLICE MODEL:</t>
  </si>
  <si>
    <t>HEAD PULLEY TYPE:</t>
  </si>
  <si>
    <t>CONVEYOR COVERS</t>
  </si>
  <si>
    <t>HEAD PULLEY LAGGING TYPE:</t>
  </si>
  <si>
    <t>HERRINGBONE IS COMMONLY USED</t>
  </si>
  <si>
    <t>COVER TYPE:</t>
  </si>
  <si>
    <t>HEAD PULLEY LAGGING DURO.:</t>
  </si>
  <si>
    <t>COVER LENGTH:</t>
  </si>
  <si>
    <t>TAIL PULLEY TYPE:</t>
  </si>
  <si>
    <t>MISCELLANEOUS</t>
  </si>
  <si>
    <t>LAGGING ON TAIL PULLEY?:</t>
  </si>
  <si>
    <t>PE STAMP:</t>
  </si>
  <si>
    <t>TAIL PULLEY LAGGING TYPE:</t>
  </si>
  <si>
    <t>TAIL PULLEY LAGGING DURO.:</t>
  </si>
  <si>
    <t>HEAD PULLEY PART NUMBER:</t>
  </si>
  <si>
    <t>SUPERIOR MFG PN</t>
  </si>
  <si>
    <t>JMS PN</t>
  </si>
  <si>
    <t>TAIL PULLEY PART NUMBER:</t>
  </si>
  <si>
    <t>CARRYING IDLER BEARING LIFE</t>
  </si>
  <si>
    <t>IDLER CHARACTERISTICS</t>
  </si>
  <si>
    <t>BELT SPEED:</t>
  </si>
  <si>
    <t>BELT TENSION:</t>
  </si>
  <si>
    <t>MATERIAL FLOW RATE:</t>
  </si>
  <si>
    <t>IDLER ROLLER DIAMETER:</t>
  </si>
  <si>
    <r>
      <t>TROUGHING ANGLE (</t>
    </r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>):</t>
    </r>
  </si>
  <si>
    <t>MATERIAL WEIGHT:</t>
  </si>
  <si>
    <t>BELT CONVEYOR DATA SHEET</t>
  </si>
  <si>
    <t>SA01</t>
  </si>
  <si>
    <t>None</t>
  </si>
  <si>
    <t>LAGGING ON PULLEY?:</t>
  </si>
  <si>
    <t>LBS/IN</t>
  </si>
  <si>
    <t>IDLER INFORMATION</t>
  </si>
  <si>
    <t>IMPACT IDLER BEARING MODEL:</t>
  </si>
  <si>
    <t>IMPACT IDLER BEARING P/N:</t>
  </si>
  <si>
    <t>CARRYING IDLER SPACING:</t>
  </si>
  <si>
    <t>CARRYING IDLER BEARING MODEL:</t>
  </si>
  <si>
    <t>RETURN IDLER SPACING:</t>
  </si>
  <si>
    <t>CARRYING IDLER PART NUMBER:</t>
  </si>
  <si>
    <t>RETURN IDLER BEARING MODEL:</t>
  </si>
  <si>
    <t>RETURN IDLER PART NUMBER:</t>
  </si>
  <si>
    <t>DRIVE INFORMATION</t>
  </si>
  <si>
    <t>BEARING INFO</t>
  </si>
  <si>
    <t>DRIVE SHAFT SIZE:</t>
  </si>
  <si>
    <t>DRIVE SHAFT BEARING P/N:</t>
  </si>
  <si>
    <t>TAIL SHAFT SIZE:</t>
  </si>
  <si>
    <t>TAIL SHAFT BEARING P/N:</t>
  </si>
  <si>
    <t>E-STOP</t>
  </si>
  <si>
    <t>BELT ALIGNMENT SWITCH</t>
  </si>
  <si>
    <t>ZERO SPEED SWITCH</t>
  </si>
  <si>
    <t>SUPPORT STRUCTURE MATERIAL</t>
  </si>
  <si>
    <t>VERTICAL CURVE</t>
  </si>
  <si>
    <t>CONCAVE VERTICAL CURVES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</si>
  <si>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</si>
  <si>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Tail Tension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</si>
  <si>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</si>
  <si>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t>Minimum Radius Based on Tension at C</t>
  </si>
  <si>
    <r>
      <t>W</t>
    </r>
    <r>
      <rPr>
        <b/>
        <vertAlign val="subscript"/>
        <sz val="11"/>
        <color theme="1"/>
        <rFont val="Calibri"/>
        <family val="2"/>
        <scheme val="minor"/>
      </rPr>
      <t>b</t>
    </r>
  </si>
  <si>
    <t>Empty Belt Weight</t>
  </si>
  <si>
    <r>
      <t>T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0"/>
        <rFont val="Arial"/>
        <family val="2"/>
      </rPr>
      <t xml:space="preserve"> Max</t>
    </r>
  </si>
  <si>
    <t>Max Tension at C for Designed Radius</t>
  </si>
  <si>
    <r>
      <t>L</t>
    </r>
    <r>
      <rPr>
        <b/>
        <vertAlign val="subscript"/>
        <sz val="11"/>
        <color theme="1"/>
        <rFont val="Calibri"/>
        <family val="2"/>
        <scheme val="minor"/>
      </rPr>
      <t>c</t>
    </r>
  </si>
  <si>
    <t>Length from Tail to Point c</t>
  </si>
  <si>
    <t>Designed Radius Sufficent</t>
  </si>
  <si>
    <r>
      <t>L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</si>
  <si>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Total Belt Length</t>
  </si>
  <si>
    <r>
      <t>L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/L</t>
    </r>
    <r>
      <rPr>
        <b/>
        <vertAlign val="subscript"/>
        <sz val="11"/>
        <color theme="1"/>
        <rFont val="Calibri"/>
        <family val="2"/>
        <scheme val="minor"/>
      </rPr>
      <t>T</t>
    </r>
  </si>
  <si>
    <t>Ratio for Total Rolling Resistance to Point C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</si>
  <si>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c</t>
    </r>
  </si>
  <si>
    <t>Tension at Point C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</si>
  <si>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Design</t>
    </r>
  </si>
  <si>
    <t>Imput Designed Radius</t>
  </si>
  <si>
    <t>RISA INPUTS</t>
  </si>
  <si>
    <t>RISA 3D INPUT LOADS</t>
  </si>
  <si>
    <t>SEISMIC CALCULATIONS</t>
  </si>
  <si>
    <t>GEARBOX AND MOTOR WEIGHT:</t>
  </si>
  <si>
    <t>DL</t>
  </si>
  <si>
    <t>R</t>
  </si>
  <si>
    <t>Ref ASCE/SEI 7-10 Table 13.6-1</t>
  </si>
  <si>
    <t>Risk Category:</t>
  </si>
  <si>
    <t>BELT WEIGHT</t>
  </si>
  <si>
    <t>(Total Weight, Distrubte Evenly)</t>
  </si>
  <si>
    <r>
      <t>a</t>
    </r>
    <r>
      <rPr>
        <vertAlign val="subscript"/>
        <sz val="11"/>
        <color theme="1"/>
        <rFont val="Calibri"/>
        <family val="2"/>
        <scheme val="minor"/>
      </rPr>
      <t>p</t>
    </r>
  </si>
  <si>
    <t>Soil Class:</t>
  </si>
  <si>
    <t>NUMBER OF  CARRYING IDLERS ON SECTION:</t>
  </si>
  <si>
    <r>
      <t>I</t>
    </r>
    <r>
      <rPr>
        <vertAlign val="subscript"/>
        <sz val="11"/>
        <color theme="1"/>
        <rFont val="Calibri"/>
        <family val="2"/>
        <scheme val="minor"/>
      </rPr>
      <t>p</t>
    </r>
  </si>
  <si>
    <t>Ref ASCE/SEI 7-10 Section 13.1.3 Component Importance Factor</t>
  </si>
  <si>
    <t>ASCE/SEI 7-16</t>
  </si>
  <si>
    <t>LENGTH OF SECTION:</t>
  </si>
  <si>
    <r>
      <t>S</t>
    </r>
    <r>
      <rPr>
        <vertAlign val="subscript"/>
        <sz val="11"/>
        <color theme="1"/>
        <rFont val="Calibri"/>
        <family val="2"/>
        <scheme val="minor"/>
      </rPr>
      <t>DS</t>
    </r>
  </si>
  <si>
    <t>Use ASCE 7 Hazard Tool</t>
  </si>
  <si>
    <t>https://asce7hazardtool.online/</t>
  </si>
  <si>
    <t>CARRYING IDLER WEIGHT:</t>
  </si>
  <si>
    <t>NUMBER OF RETURN IDLERS ON SECTION:</t>
  </si>
  <si>
    <r>
      <t>V</t>
    </r>
    <r>
      <rPr>
        <vertAlign val="subscript"/>
        <sz val="11"/>
        <color theme="1"/>
        <rFont val="Calibri"/>
        <family val="2"/>
        <scheme val="minor"/>
      </rPr>
      <t>x</t>
    </r>
  </si>
  <si>
    <t>RETURN IDLER WEIGHT:</t>
  </si>
  <si>
    <r>
      <t>V</t>
    </r>
    <r>
      <rPr>
        <vertAlign val="subscript"/>
        <sz val="11"/>
        <color theme="1"/>
        <rFont val="Calibri"/>
        <family val="2"/>
        <scheme val="minor"/>
      </rPr>
      <t>Z</t>
    </r>
  </si>
  <si>
    <t>SKIRTBOARD WEIGHT:</t>
  </si>
  <si>
    <t>(Per Side)</t>
  </si>
  <si>
    <t>DRIVE PULLEY WEIGHT:</t>
  </si>
  <si>
    <t>TAIL PULLEY WEIGHT:</t>
  </si>
  <si>
    <t>DRIP PAN WEIGHT:</t>
  </si>
  <si>
    <t>BELT MATERIAL WEIGHT:</t>
  </si>
  <si>
    <t>LL</t>
  </si>
  <si>
    <t>DRIP PAN MATERIAL WEIGHT:</t>
  </si>
  <si>
    <t>BELT TENSION AT TRANSITION X DIR.</t>
  </si>
  <si>
    <t>BELT TENSION AT TRANSITION Y DIR.</t>
  </si>
  <si>
    <t xml:space="preserve"> </t>
  </si>
  <si>
    <t>Latest:</t>
  </si>
  <si>
    <t>Revision</t>
  </si>
  <si>
    <t>Date</t>
  </si>
  <si>
    <t>By</t>
  </si>
  <si>
    <t>Description</t>
  </si>
  <si>
    <t>JAH</t>
  </si>
  <si>
    <t>Initial Release</t>
  </si>
  <si>
    <t>Fixed Belt Cleaning Resistance Calculation, Added C1018 Shaft Material</t>
  </si>
  <si>
    <t>Updated List Sheet, Updated RISA Input Sheet, Updated E-Stop Selections</t>
  </si>
  <si>
    <t>Minor changes. Updated drive efficiency to match selected, Risa inputs colors, data validation errors.</t>
  </si>
  <si>
    <t>JJH</t>
  </si>
  <si>
    <t>Incorporated estimating sheet with engineering calculator</t>
  </si>
  <si>
    <t>Troughing?</t>
  </si>
  <si>
    <t>Belt Material</t>
  </si>
  <si>
    <t>Shaft Material</t>
  </si>
  <si>
    <t>Shaft Sizes</t>
  </si>
  <si>
    <t xml:space="preserve">Shaft Fatigue </t>
  </si>
  <si>
    <t>Pulley Diameter</t>
  </si>
  <si>
    <t>Take Up Type</t>
  </si>
  <si>
    <t>Plow Data lbs/in Width</t>
  </si>
  <si>
    <t>Idler Pulley Data</t>
  </si>
  <si>
    <t>Roll Diameter Factor</t>
  </si>
  <si>
    <t>Impact  Idler Spacing Factor</t>
  </si>
  <si>
    <t>Trough Angle</t>
  </si>
  <si>
    <t>Flat</t>
  </si>
  <si>
    <t>Mounting</t>
  </si>
  <si>
    <t>Motor</t>
  </si>
  <si>
    <t>Drive Type</t>
  </si>
  <si>
    <t>Service Duty</t>
  </si>
  <si>
    <t>Support Structure</t>
  </si>
  <si>
    <t>Zero Speed</t>
  </si>
  <si>
    <t>Belt Alignment Switch</t>
  </si>
  <si>
    <t>Bearing Information</t>
  </si>
  <si>
    <t>Idler Information</t>
  </si>
  <si>
    <t>Take Up Lengths</t>
  </si>
  <si>
    <t>Yes</t>
  </si>
  <si>
    <t>Fabric</t>
  </si>
  <si>
    <t>30-74</t>
  </si>
  <si>
    <t>75-129</t>
  </si>
  <si>
    <t>130-200</t>
  </si>
  <si>
    <t>Sut</t>
  </si>
  <si>
    <t>Sy</t>
  </si>
  <si>
    <t>ka</t>
  </si>
  <si>
    <t>Manual</t>
  </si>
  <si>
    <t>Lagged?</t>
  </si>
  <si>
    <t>Automatic</t>
  </si>
  <si>
    <t>Full V</t>
  </si>
  <si>
    <t>15° Surcharge</t>
  </si>
  <si>
    <t>M1</t>
  </si>
  <si>
    <t>B5 Flange</t>
  </si>
  <si>
    <t>Not Specified</t>
  </si>
  <si>
    <t>Shaft Mounted Drive</t>
  </si>
  <si>
    <t>Light</t>
  </si>
  <si>
    <t>Painted Steel</t>
  </si>
  <si>
    <t>RS-2</t>
  </si>
  <si>
    <t>Dazic RotoGuard w/ Shaft Coupler 6183K803</t>
  </si>
  <si>
    <t>Shaft Dia</t>
  </si>
  <si>
    <t>Model</t>
  </si>
  <si>
    <t>Width</t>
  </si>
  <si>
    <t>Superior 35 Deg 5" Troughing</t>
  </si>
  <si>
    <t>Superior 45 Deg 5" Troughing</t>
  </si>
  <si>
    <t xml:space="preserve">Superior 5" Flat Carrying </t>
  </si>
  <si>
    <t xml:space="preserve">Superior 5" Return </t>
  </si>
  <si>
    <t>No</t>
  </si>
  <si>
    <t>Steel Core</t>
  </si>
  <si>
    <t>304 SS</t>
  </si>
  <si>
    <t>kb</t>
  </si>
  <si>
    <t>Gravity</t>
  </si>
  <si>
    <t>Partial V</t>
  </si>
  <si>
    <t>100 FPM</t>
  </si>
  <si>
    <t>M2</t>
  </si>
  <si>
    <t>B14 Flange</t>
  </si>
  <si>
    <t>Class 1 Div 1</t>
  </si>
  <si>
    <t>NEMA A</t>
  </si>
  <si>
    <t>Chain and Sprocket</t>
  </si>
  <si>
    <t>Standard</t>
  </si>
  <si>
    <t>HDG</t>
  </si>
  <si>
    <t>RS-5</t>
  </si>
  <si>
    <t>SCP1000/SPC2000</t>
  </si>
  <si>
    <t>TA-2</t>
  </si>
  <si>
    <t>P-B22431H</t>
  </si>
  <si>
    <t>C5-20E-18-MOX</t>
  </si>
  <si>
    <t>C5-35E-18-MOX</t>
  </si>
  <si>
    <t>C5-45E-18-MOX</t>
  </si>
  <si>
    <t>C5-FLT-18-MOX</t>
  </si>
  <si>
    <t>C5-RET-18</t>
  </si>
  <si>
    <t>316 SS</t>
  </si>
  <si>
    <t>kc</t>
  </si>
  <si>
    <t>Belt width</t>
  </si>
  <si>
    <t>Capacity ft3/hr/fpm</t>
  </si>
  <si>
    <t>M3</t>
  </si>
  <si>
    <t>Foot</t>
  </si>
  <si>
    <t>Class 1 Div 2</t>
  </si>
  <si>
    <t>NEMA B</t>
  </si>
  <si>
    <t>Motorized Drum Pulley</t>
  </si>
  <si>
    <t>Heavy</t>
  </si>
  <si>
    <t>RS-2X</t>
  </si>
  <si>
    <t>MSD-1/MSD 800</t>
  </si>
  <si>
    <t>TA-2X</t>
  </si>
  <si>
    <t>P-B22439H</t>
  </si>
  <si>
    <t>C5-20E-24-MOX</t>
  </si>
  <si>
    <t>C5-35E-24-MOX</t>
  </si>
  <si>
    <t>C5-45E-24-MOX</t>
  </si>
  <si>
    <t>C5-FLT-24-MOX</t>
  </si>
  <si>
    <t>C5-RET-24</t>
  </si>
  <si>
    <t>kd</t>
  </si>
  <si>
    <t>M4</t>
  </si>
  <si>
    <t>Torque Arm</t>
  </si>
  <si>
    <t>Class 2 Div 1</t>
  </si>
  <si>
    <t>NEMA C</t>
  </si>
  <si>
    <t>V-Belt</t>
  </si>
  <si>
    <t>RS-5X</t>
  </si>
  <si>
    <t>P-B22447H</t>
  </si>
  <si>
    <t>C5-20E-30-MOX</t>
  </si>
  <si>
    <t>C5-35E-30-MOX</t>
  </si>
  <si>
    <t>C5-45E-30-MOX</t>
  </si>
  <si>
    <t>C5-FLT-30-MOX</t>
  </si>
  <si>
    <t>C5-RET-30</t>
  </si>
  <si>
    <t>LAGGING THICKNESS</t>
  </si>
  <si>
    <t>17-4PH</t>
  </si>
  <si>
    <t>ke</t>
  </si>
  <si>
    <t>M5</t>
  </si>
  <si>
    <t>Class 2 Div 2</t>
  </si>
  <si>
    <t>P-B22455H</t>
  </si>
  <si>
    <t>C5-20E-36-MOX</t>
  </si>
  <si>
    <t>C5-35E-36-MOX</t>
  </si>
  <si>
    <t>C5-45E-36-MOX</t>
  </si>
  <si>
    <t>C5-FLT-36-MOX</t>
  </si>
  <si>
    <t>C5-RET-36</t>
  </si>
  <si>
    <t>THICKNESS</t>
  </si>
  <si>
    <t>DESIGNATION</t>
  </si>
  <si>
    <t>M6</t>
  </si>
  <si>
    <t>C5-20E-42-MOX</t>
  </si>
  <si>
    <t>C5-35E-42-MOX</t>
  </si>
  <si>
    <t>C5-45E-42-MOX</t>
  </si>
  <si>
    <t>C5-FLT-42-MOX</t>
  </si>
  <si>
    <t>C5-RET-42</t>
  </si>
  <si>
    <t>kf</t>
  </si>
  <si>
    <t>C5-20E-48-MOX</t>
  </si>
  <si>
    <t>C5-35E-48-MOX</t>
  </si>
  <si>
    <t>C5-45E-48-MOX</t>
  </si>
  <si>
    <t>C5-FLT-48-MOX</t>
  </si>
  <si>
    <t>C5-RET-48</t>
  </si>
  <si>
    <t>sf*</t>
  </si>
  <si>
    <t>20° Trough</t>
  </si>
  <si>
    <t>Drive Efficiency</t>
  </si>
  <si>
    <t>35° Trough</t>
  </si>
  <si>
    <t>Drip Pan Dead Load</t>
  </si>
  <si>
    <t xml:space="preserve">Drip Pan Material </t>
  </si>
  <si>
    <t>Risk Category</t>
  </si>
  <si>
    <t>Soil Class</t>
  </si>
  <si>
    <t>Belt Width</t>
  </si>
  <si>
    <t>lbs/ft</t>
  </si>
  <si>
    <t>A</t>
  </si>
  <si>
    <t>II</t>
  </si>
  <si>
    <t>B</t>
  </si>
  <si>
    <t>III</t>
  </si>
  <si>
    <t>IV</t>
  </si>
  <si>
    <t>45° Trough</t>
  </si>
  <si>
    <t>Belt Conveyor Design Variables</t>
  </si>
  <si>
    <t>Calculations</t>
  </si>
  <si>
    <t>Conveyor Dimensions</t>
  </si>
  <si>
    <t>Conveyor Construction</t>
  </si>
  <si>
    <t>Conveyor Details</t>
  </si>
  <si>
    <t>HEAD</t>
  </si>
  <si>
    <t>TAIL</t>
  </si>
  <si>
    <t>LEGEND</t>
  </si>
  <si>
    <t>Belt Conveyor Type (see images)</t>
  </si>
  <si>
    <t>Conveyor Dimension A (ft.)</t>
  </si>
  <si>
    <t>Belt Conveyor Material Construction</t>
  </si>
  <si>
    <t>Drive Pulley Size</t>
  </si>
  <si>
    <t>12X20</t>
  </si>
  <si>
    <t>INPUT</t>
  </si>
  <si>
    <t>Material Capacity (tons/hr.)</t>
  </si>
  <si>
    <t>Conveyor Dimension B (ft.)</t>
  </si>
  <si>
    <t>Impact Zone Idler Spacing (typ. 1')</t>
  </si>
  <si>
    <t>Drum Pulley Type</t>
  </si>
  <si>
    <t>MES</t>
  </si>
  <si>
    <t>MANUALLY ADD</t>
  </si>
  <si>
    <r>
      <t>Material Density (lbs./ft</t>
    </r>
    <r>
      <rPr>
        <sz val="10"/>
        <color theme="1"/>
        <rFont val="Calibri"/>
        <family val="2"/>
      </rPr>
      <t>³)</t>
    </r>
  </si>
  <si>
    <t>Conveyor Dimension C (ft.)</t>
  </si>
  <si>
    <t># of Impact Zones</t>
  </si>
  <si>
    <t>Drive Lagging</t>
  </si>
  <si>
    <t>HBL</t>
  </si>
  <si>
    <t>NOT AN OPTION</t>
  </si>
  <si>
    <t>Incline Angle</t>
  </si>
  <si>
    <t>Length of Impact Zones (ft.)</t>
  </si>
  <si>
    <t>Lagging Thk.</t>
  </si>
  <si>
    <t>SEE MICHAEL</t>
  </si>
  <si>
    <t>Belt Speed (fpm) 50-100 TYP</t>
  </si>
  <si>
    <t>Carry Idler Spacing (typ 3'-4')</t>
  </si>
  <si>
    <t>Shaft Dia.</t>
  </si>
  <si>
    <t>Drive HP</t>
  </si>
  <si>
    <t>Safety Fact.</t>
  </si>
  <si>
    <t>Return Idler Spacing (typ 8'-10')</t>
  </si>
  <si>
    <t>Belt Type</t>
  </si>
  <si>
    <t>Idler Type</t>
  </si>
  <si>
    <t>Take-up Type</t>
  </si>
  <si>
    <t>UPDATE STAINLESS PRICES ON MATERIAL COST TAB</t>
  </si>
  <si>
    <t>Guidlers</t>
  </si>
  <si>
    <t>Take-up Length</t>
  </si>
  <si>
    <t>42" BELT IS NOT CURRENTLY AVAILABLE</t>
  </si>
  <si>
    <t>Splice Type</t>
  </si>
  <si>
    <t>REV 1 - CORRECTED 70 EXPENSES FORMULA</t>
  </si>
  <si>
    <t>Belt Conveyor Accessories</t>
  </si>
  <si>
    <t>REV 1.1 - FIXED ISSUE WITH DELETED CALCULATION</t>
  </si>
  <si>
    <t>Conveyor Accessories</t>
  </si>
  <si>
    <t>Conveyor Electronics</t>
  </si>
  <si>
    <t>QTY</t>
  </si>
  <si>
    <t>Conveyor Supports</t>
  </si>
  <si>
    <t>Conveyor Covers</t>
  </si>
  <si>
    <t>Skirtboard Length,include both sides (ft.)</t>
  </si>
  <si>
    <t>E-Stop Switch</t>
  </si>
  <si>
    <t>2' Supports</t>
  </si>
  <si>
    <t>Cover Type</t>
  </si>
  <si>
    <t>Drip Pan Length (ft.)</t>
  </si>
  <si>
    <t>Zero Speed Sensor</t>
  </si>
  <si>
    <t>5' Supports</t>
  </si>
  <si>
    <t>Cover length (ft.)</t>
  </si>
  <si>
    <t>(JMS STD) Number of Plows</t>
  </si>
  <si>
    <t>Belt Misalignment Sensors</t>
  </si>
  <si>
    <t>10' Supports</t>
  </si>
  <si>
    <t>Type of Primary Scraper(If Martin add below)</t>
  </si>
  <si>
    <t>Belt Scale (add cost below)</t>
  </si>
  <si>
    <t>15' Supports</t>
  </si>
  <si>
    <t>Secondary Scraper (add manually)</t>
  </si>
  <si>
    <t>20' Supports</t>
  </si>
  <si>
    <t>Wash Box</t>
  </si>
  <si>
    <t>Product Cost Recap</t>
  </si>
  <si>
    <t>Op #</t>
  </si>
  <si>
    <t>Operation</t>
  </si>
  <si>
    <t>Costs</t>
  </si>
  <si>
    <t>% of cost</t>
  </si>
  <si>
    <t>Labor</t>
  </si>
  <si>
    <t xml:space="preserve">Labor Rate </t>
  </si>
  <si>
    <t>PROJENG</t>
  </si>
  <si>
    <t>ASSEMBLY</t>
  </si>
  <si>
    <t>FIELD SERVICE</t>
  </si>
  <si>
    <t>FINISHES, OFF SITE</t>
  </si>
  <si>
    <t>METALS (RAW MATERIALS)</t>
  </si>
  <si>
    <t>Daily Exp.</t>
  </si>
  <si>
    <t>NON-METALLIC (RAW MATERIALS)</t>
  </si>
  <si>
    <t>Travel Exp.</t>
  </si>
  <si>
    <t>PURCHASED SYSTEMS</t>
  </si>
  <si>
    <t>Trips</t>
  </si>
  <si>
    <t>PURCHASED COMPONENTS</t>
  </si>
  <si>
    <t>Days/trip</t>
  </si>
  <si>
    <t>CONTROLS</t>
  </si>
  <si>
    <t># of trucks</t>
  </si>
  <si>
    <t>FREIGHT</t>
  </si>
  <si>
    <t>$/truck</t>
  </si>
  <si>
    <t>Price</t>
  </si>
  <si>
    <t>Commission</t>
  </si>
  <si>
    <t>GMaC</t>
  </si>
  <si>
    <t>Cost</t>
  </si>
  <si>
    <t>Profit</t>
  </si>
  <si>
    <t>GM %</t>
  </si>
  <si>
    <t>EXPENSES</t>
  </si>
  <si>
    <t>PE Stamp</t>
  </si>
  <si>
    <t>Base</t>
  </si>
  <si>
    <t>RISK/RESERVE</t>
  </si>
  <si>
    <t>Middle</t>
  </si>
  <si>
    <t>COMMISSION</t>
  </si>
  <si>
    <t>Low</t>
  </si>
  <si>
    <t>Walk</t>
  </si>
  <si>
    <t>Belt Conveyor Accessories (Manually Added)</t>
  </si>
  <si>
    <t>No. Pieces</t>
  </si>
  <si>
    <t xml:space="preserve">Make </t>
  </si>
  <si>
    <t>Eng. Hrs</t>
  </si>
  <si>
    <t>Labor Hrs</t>
  </si>
  <si>
    <t>Unit Price</t>
  </si>
  <si>
    <t>Total</t>
  </si>
  <si>
    <t>Conveyor Belt (provide quotation)</t>
  </si>
  <si>
    <t>Conveyor Drive. (SEW or NORD Direct Drive)</t>
  </si>
  <si>
    <t>Risk/Reserve</t>
  </si>
  <si>
    <t xml:space="preserve">Risk # </t>
  </si>
  <si>
    <t>Risk Title</t>
  </si>
  <si>
    <t>Risk Description</t>
  </si>
  <si>
    <t>Risk Cost</t>
  </si>
  <si>
    <t>Probability</t>
  </si>
  <si>
    <t>Risk Total Impact</t>
  </si>
  <si>
    <t>Project scope</t>
  </si>
  <si>
    <t>Total Risk</t>
  </si>
  <si>
    <t>Opr</t>
  </si>
  <si>
    <t>Project Location</t>
  </si>
  <si>
    <t>Salesperson</t>
  </si>
  <si>
    <t>0</t>
  </si>
  <si>
    <t>ASSEMBLY (SHOP LABOR)</t>
  </si>
  <si>
    <t>Days</t>
  </si>
  <si>
    <t>Additional</t>
  </si>
  <si>
    <t>Price Level</t>
  </si>
  <si>
    <t xml:space="preserve">Sale Price </t>
  </si>
  <si>
    <t>Cost (Less Comm.)</t>
  </si>
  <si>
    <t>TOTAL RISK INCLUDED:</t>
  </si>
  <si>
    <t>RISK</t>
  </si>
  <si>
    <t>Mid</t>
  </si>
  <si>
    <t>JMS TOTAL</t>
  </si>
  <si>
    <t>&lt;--DROPDOWN</t>
  </si>
  <si>
    <t>Buy/Resell</t>
  </si>
  <si>
    <t>TOTAL COST</t>
  </si>
  <si>
    <t>Qty.</t>
  </si>
  <si>
    <t>Part Number</t>
  </si>
  <si>
    <t>Part Description</t>
  </si>
  <si>
    <t>Vendor</t>
  </si>
  <si>
    <t>Quote/
PO #</t>
  </si>
  <si>
    <t>Quote/PO
Date</t>
  </si>
  <si>
    <t>Quote Validity Date</t>
  </si>
  <si>
    <t>Total Engineering</t>
  </si>
  <si>
    <t>Labor Hours EA.</t>
  </si>
  <si>
    <t xml:space="preserve">Total Labor </t>
  </si>
  <si>
    <t>Unit Cost</t>
  </si>
  <si>
    <t>Total Finishes Cost =</t>
  </si>
  <si>
    <t>QTY.</t>
  </si>
  <si>
    <t>UOM</t>
  </si>
  <si>
    <t>Engineering Hours EA.</t>
  </si>
  <si>
    <t>Misc.</t>
  </si>
  <si>
    <t>Unit Material Cost</t>
  </si>
  <si>
    <t>Total Metals Material Cost =</t>
  </si>
  <si>
    <t>Total Non-Metallic Material Cost =</t>
  </si>
  <si>
    <t>Total Purchased Systems Cost =</t>
  </si>
  <si>
    <t>Total Purchased Components Cost =</t>
  </si>
  <si>
    <t>Total Controls Cost =</t>
  </si>
  <si>
    <t>SHIPPING</t>
  </si>
  <si>
    <t>From - To</t>
  </si>
  <si>
    <t>Mi.</t>
  </si>
  <si>
    <t xml:space="preserve"> $/mi.</t>
  </si>
  <si>
    <t xml:space="preserve"> $/Load</t>
  </si>
  <si>
    <t xml:space="preserve"> # Loads</t>
  </si>
  <si>
    <t>Conv. Mfg to ???</t>
  </si>
  <si>
    <t>JMS to ???</t>
  </si>
  <si>
    <t>INBOUND FREIGHT</t>
  </si>
  <si>
    <t>MAT. HANDLING/SKID</t>
  </si>
  <si>
    <t>Total Freight Cost =</t>
  </si>
  <si>
    <t>Total Expense Cost =</t>
  </si>
  <si>
    <t>Risk #</t>
  </si>
  <si>
    <t>Risk Total Impact ($)</t>
  </si>
  <si>
    <t>Risk Cost Description</t>
  </si>
  <si>
    <t>Risk Reserve</t>
  </si>
  <si>
    <t>Project cost</t>
  </si>
  <si>
    <t>Mandatory risk involved</t>
  </si>
  <si>
    <t>5% of total project cost</t>
  </si>
  <si>
    <t>Metal Tariffs</t>
  </si>
  <si>
    <t>Procurement</t>
  </si>
  <si>
    <t>Potential Impact from Tariffs for Metals</t>
  </si>
  <si>
    <t>10% 0f Metals (Raw Material)</t>
  </si>
  <si>
    <t>Totals</t>
  </si>
  <si>
    <t>Total Risk=</t>
  </si>
  <si>
    <t>METALS</t>
  </si>
  <si>
    <t>PART NUMBER</t>
  </si>
  <si>
    <t>PART DESCRIPTION</t>
  </si>
  <si>
    <t>UNIT COST</t>
  </si>
  <si>
    <t>COST</t>
  </si>
  <si>
    <t>RANK</t>
  </si>
  <si>
    <t>LB</t>
  </si>
  <si>
    <t># OF METALS</t>
  </si>
  <si>
    <t>BAR SQ 1 1/4" T-316L SS PER A276 MILL FINISH</t>
  </si>
  <si>
    <t>NON-METALS</t>
  </si>
  <si>
    <t>SHEET 1" UHMW-PE BLACK PER D4020 MILL FINISH</t>
  </si>
  <si>
    <t># OF NON-METALS</t>
  </si>
  <si>
    <t>SHEET 1/2" UHMW-PE BLACK PER D4020 MILL FINISH</t>
  </si>
  <si>
    <t>SHEET 3/8" UHMW-PE BLACK PER D4020 MILL FINISH</t>
  </si>
  <si>
    <t>SHEET 1/4" UHMW-PE BLACK PER D4020 MILL FINISH</t>
  </si>
  <si>
    <t>SHEET 1/2" NEOPRENE RUBBER PER D2000</t>
  </si>
  <si>
    <t>STRIP MATL 8" X 1/8" NEOPRENE RUBBER PER D2000</t>
  </si>
  <si>
    <t>STRIP MATL 4" X 3/8" STYRENE BUTADIENE RUBBER (SBR) PER D2000</t>
  </si>
  <si>
    <t>STRIP MATL 8" X 3/8" STYRENE BUTADIENE RUBBER (SBR) PER D2000</t>
  </si>
  <si>
    <t>PIPE Ø1 1/4" NOM X .140" WALL SCH 40 CLEAR PVC PER D1784 MILL FINISH</t>
  </si>
  <si>
    <t>PURCHASED PARTS</t>
  </si>
  <si>
    <t>VENDOR</t>
  </si>
  <si>
    <t>PO DATE</t>
  </si>
  <si>
    <t>PO NUMBER</t>
  </si>
  <si>
    <t>E-STOP CABLE, 3/32" GALVANIZED CABLE VINYL COATED, 3/16" OD</t>
  </si>
  <si>
    <t># OF PP</t>
  </si>
  <si>
    <t>HIT-HY 200-R V3 (11.1 fl oz / 330 mL)</t>
  </si>
  <si>
    <t>TWO-PIECE SHAFT COLLAR, 1 1/4" ID X 2 1/16" OD X 1/2"</t>
  </si>
  <si>
    <t>LONG 90° BUTT WELD ELBOW, 1" PIPE, 304 SS</t>
  </si>
  <si>
    <t>PIANO HINGE, 1 1/2" X 12", 304 SS</t>
  </si>
  <si>
    <t>2 BOLT FLANGE BLOCK BALL BEARING, 1 1/4" BORE</t>
  </si>
  <si>
    <t>1 1/4" PLASTIC PIPE CAP, FEMALE, WHITE PVC</t>
  </si>
  <si>
    <t>1 1/4" MALE NPT TO 1 1/4" FEMALE SOCKET PIPE ADAPTER, WHITE PVC</t>
  </si>
  <si>
    <t>SPRING, Ø11/16 X 2 1/2"</t>
  </si>
  <si>
    <t>3/4" SQUARE NUT- BRONZE</t>
  </si>
  <si>
    <t>Ø1 15/16" CLAMPING TWO-PIECE SHAFT COLLAR 303SS</t>
  </si>
  <si>
    <t>COMPRESSION SPRING, 1"OD X 2.5"LG X 0.76"ID 302 SS</t>
  </si>
  <si>
    <t>Ø1/2" ID TWO-PIECE SHAFT COLLAR 303 SS</t>
  </si>
  <si>
    <t>BRONZE FLANGED BUSHING 1 /2" ID 3/4" OD X 1" LG</t>
  </si>
  <si>
    <t>STAINLESS STEEL BALL VALVE- 1" NPT</t>
  </si>
  <si>
    <t>90 DEGREE ADAPTER, 1" NPT FEMALE X FEMALE, 304 SS</t>
  </si>
  <si>
    <t>1" NPT PIPE NIPPLE BOTH ENDS THREADED, SHC 40, 22" LONG, 304/304L SS</t>
  </si>
  <si>
    <t>1" NPT UNION STRAIGHT CONNECTER</t>
  </si>
  <si>
    <t>1" NPT CROSS CONNECTOR</t>
  </si>
  <si>
    <t>Ø2" ID PLUG, ROUND-BLACK</t>
  </si>
  <si>
    <t>Ø3/4" EXTERNAL RETAINING RING, 15-7 PH SS</t>
  </si>
  <si>
    <t>VERTICAL SIDE GUIDE ROLLER, CONCAVE, Ø3 1/4" X 4 3/4" FACE, URETHANE, Ø3/4" SS SHAFT, OAL 10 1/2"</t>
  </si>
  <si>
    <t>2" NPT ONE END THREADED PIPE NIPPLE X SCH 40, 2" OAL, 316/316L SS</t>
  </si>
  <si>
    <t>VEE JET SPRAY NOZZLE 1/8"</t>
  </si>
  <si>
    <t>Ø3/4" ID SINGLE ROW BALL BEARING, Ø2" OD, DOUBLE SEAL</t>
  </si>
  <si>
    <t>PIPE NIPPLE, Ø1" NPT X 2 1/2" LG. TBE, 304L SS</t>
  </si>
  <si>
    <t>PIPE NIPPLE, Ø1" NPT X 3 1/2" LG. TBE, 304L SS</t>
  </si>
  <si>
    <t>PIPE NIPPLE, Ø1" NPT X 4" LG. TBE, 304L SS</t>
  </si>
  <si>
    <t>12 X 2-1/2 PHEN WHEEL, 1-1/4 DELRIN BEARING, 3” HUB WIDTH</t>
  </si>
  <si>
    <t>SOLENOID VALVE STAINLESS STEEL BODY , EXPOSION PROOF- 1" NPT</t>
  </si>
  <si>
    <t>Ø1-1/4" BORE MOUNTED BALL BEARING</t>
  </si>
  <si>
    <t>CLEVIS, FEMALE, 3/4"-16 TAPPED, 1 1/4" OPENING, PIN HOLE Ø3/4", 316 SS</t>
  </si>
  <si>
    <t>CLEVIS PIN, Ø3/4" X 2 7/8" LG, SS</t>
  </si>
  <si>
    <t>J90F414-46</t>
  </si>
  <si>
    <t>FLIP LATCH SPACER, PL 3/32" X 1" OD X 1/2" ID</t>
  </si>
  <si>
    <t>ACME ROD</t>
  </si>
  <si>
    <t>RPS COVER</t>
  </si>
  <si>
    <t>HARDWARE</t>
  </si>
  <si>
    <t>Column1</t>
  </si>
  <si>
    <t>48-304-043-31</t>
  </si>
  <si>
    <t xml:space="preserve">RIVET 3/16" X .433" - 5052 AL </t>
  </si>
  <si>
    <t>48-304-067-31</t>
  </si>
  <si>
    <t>59-014-813-02</t>
  </si>
  <si>
    <t>70-019-000-02</t>
  </si>
  <si>
    <t>NUT HEX HEAVY 3/4" - 10 UNC - 316 SS</t>
  </si>
  <si>
    <t>79-016-816-02</t>
  </si>
  <si>
    <t>BOLT TAP 1/2" - 13 UNC X 2" - 316 SS (FULL THREADS)</t>
  </si>
  <si>
    <t>99-012-806-02</t>
  </si>
  <si>
    <t>BOLT HEX HEAD 1/4" - 20 UNC X 1/2" - 316 SS</t>
  </si>
  <si>
    <t>99-014-816-02</t>
  </si>
  <si>
    <t>BOLT HEX HEAD 3/8" - 16 UNC X 2" - 316 SS</t>
  </si>
  <si>
    <t>H00-038X100-02</t>
  </si>
  <si>
    <t>3/8" X 1" HHMB W/2FW, LNUT</t>
  </si>
  <si>
    <t>H00-038X125-02</t>
  </si>
  <si>
    <t>3/8" X 1 1/4" HHMB W/2FW, LNUT</t>
  </si>
  <si>
    <t>H00-038X150-02</t>
  </si>
  <si>
    <t>3/8" X 1 1/2" HHMB W/2FW, LNUT</t>
  </si>
  <si>
    <t>H00-038X175-02</t>
  </si>
  <si>
    <t>3/8" X 1 3/4" HHMB W/2FW, LNUT</t>
  </si>
  <si>
    <t>H00-038X200-02</t>
  </si>
  <si>
    <t>3/8" X 2" HHMB W/2FW, LNUT</t>
  </si>
  <si>
    <t>H00-050X125-02</t>
  </si>
  <si>
    <t>1/2" X 1 1/4" HHMB W/2FW, LNUT</t>
  </si>
  <si>
    <t>H00-050X150-02</t>
  </si>
  <si>
    <t>1/2" X 1 1/2" HHMB W/2FW, LNUT</t>
  </si>
  <si>
    <t>H00-050X175-02</t>
  </si>
  <si>
    <t>1/2" X 1 3/4" HHMB W/2FW, LNUT</t>
  </si>
  <si>
    <t>H00-050X200-02</t>
  </si>
  <si>
    <t>1/2" X 2" HHMB W/2FW, LNUT</t>
  </si>
  <si>
    <t>H00-063X175-02</t>
  </si>
  <si>
    <t>5/8" X 1 3/4" HHMB W/2FW, LNUT</t>
  </si>
  <si>
    <t>H00-063X200-02</t>
  </si>
  <si>
    <t>5/8" X 2" HHMB W/2FW, LNUT</t>
  </si>
  <si>
    <t>H00-063X225-02</t>
  </si>
  <si>
    <t>5/8" X 2 1/4" HHMB W/2FW, LNUT</t>
  </si>
  <si>
    <t>H10-063X1000-02</t>
  </si>
  <si>
    <t>5/8" X 10" ANCH W/2FW, LW, 2NUT</t>
  </si>
  <si>
    <t>H33-038-02</t>
  </si>
  <si>
    <t>3/8" FW, LNUT</t>
  </si>
  <si>
    <t>H41-038X075-02</t>
  </si>
  <si>
    <t>3/8" X 3/4" HHMB W/FW, LW</t>
  </si>
  <si>
    <t>H41-063X150-02</t>
  </si>
  <si>
    <t>5/8" X 1 1/2" HHMB W/FW, LW</t>
  </si>
  <si>
    <t>H51-031X500-02</t>
  </si>
  <si>
    <t>5/16" X 5" EYEBOLT W/2FW, LW, 2NUT</t>
  </si>
  <si>
    <t>H51-031X600-00</t>
  </si>
  <si>
    <t>5/16" X 6" EYEBOLT W/2FW, LW, 2NUT</t>
  </si>
  <si>
    <t>H52-038X200-02</t>
  </si>
  <si>
    <t>3/8" X 2" CRGBOLT W/FW, WNUT</t>
  </si>
  <si>
    <t>Domestic Vendor - Ryerson</t>
  </si>
  <si>
    <t>Material</t>
  </si>
  <si>
    <t>Thickness</t>
  </si>
  <si>
    <t>Thickness2</t>
  </si>
  <si>
    <t>Standard Widths</t>
  </si>
  <si>
    <t>Standard Lengths</t>
  </si>
  <si>
    <t>Process</t>
  </si>
  <si>
    <t>ASTM</t>
  </si>
  <si>
    <t>Finish</t>
  </si>
  <si>
    <t>Price ($/lb) Domestic</t>
  </si>
  <si>
    <t>Quote 
Date</t>
  </si>
  <si>
    <t>Code Name</t>
  </si>
  <si>
    <t>Sheet</t>
  </si>
  <si>
    <t>48, 60</t>
  </si>
  <si>
    <t>Up to 144</t>
  </si>
  <si>
    <t>Cold Rolled</t>
  </si>
  <si>
    <t>A240</t>
  </si>
  <si>
    <t>2B</t>
  </si>
  <si>
    <t>Sheet 24 304 SS</t>
  </si>
  <si>
    <t xml:space="preserve"> ~ not available in 72"</t>
  </si>
  <si>
    <t>Sheet 22 304 SS</t>
  </si>
  <si>
    <t>48, 60, 72</t>
  </si>
  <si>
    <t>Sheet 18 304 SS</t>
  </si>
  <si>
    <t>Sheet 16 304 SS</t>
  </si>
  <si>
    <t>Sheet 14 304 SS</t>
  </si>
  <si>
    <t>Sheet 11 304 SS</t>
  </si>
  <si>
    <t>Plate</t>
  </si>
  <si>
    <t>3/16</t>
  </si>
  <si>
    <t>Up to 312</t>
  </si>
  <si>
    <t>Hot Rolled</t>
  </si>
  <si>
    <t>No. 1</t>
  </si>
  <si>
    <t>Plate 3/16 304 SS</t>
  </si>
  <si>
    <t>MATERIAL</t>
  </si>
  <si>
    <t>1/4</t>
  </si>
  <si>
    <t>Plate 1/4 304 SS</t>
  </si>
  <si>
    <t>PURCHASED</t>
  </si>
  <si>
    <t>5/16</t>
  </si>
  <si>
    <t>Plate 5/16 304 SS</t>
  </si>
  <si>
    <t>NON-METAL</t>
  </si>
  <si>
    <t>3/8</t>
  </si>
  <si>
    <t>Plate 3/8 304 SS</t>
  </si>
  <si>
    <t>TOTAL</t>
  </si>
  <si>
    <t>1/2</t>
  </si>
  <si>
    <t>Plate 1/2 304 SS</t>
  </si>
  <si>
    <t>LABOR</t>
  </si>
  <si>
    <t>5/8</t>
  </si>
  <si>
    <t>Plate 5/8 304 SS</t>
  </si>
  <si>
    <t>3/4</t>
  </si>
  <si>
    <t>Plate 3/4 304 SS</t>
  </si>
  <si>
    <t>304L SS</t>
  </si>
  <si>
    <t>"L" grade adder</t>
  </si>
  <si>
    <t>Sheet 24 304L SS</t>
  </si>
  <si>
    <t>$0.06/lbs</t>
  </si>
  <si>
    <t>cost</t>
  </si>
  <si>
    <t>Sheet 22 304L SS</t>
  </si>
  <si>
    <t>Sheet 18 304L SS</t>
  </si>
  <si>
    <t>Sheet 16 304L SS</t>
  </si>
  <si>
    <t>Sheet 14 304L SS</t>
  </si>
  <si>
    <t>Sheet 11 304L SS</t>
  </si>
  <si>
    <t>Plate 3/16 304L SS</t>
  </si>
  <si>
    <t>no L grade adder</t>
  </si>
  <si>
    <t>Plate 1/4 304L SS</t>
  </si>
  <si>
    <t>Plate 5/16 304L SS</t>
  </si>
  <si>
    <t>Plate 3/8 304L SS</t>
  </si>
  <si>
    <t>Plate 1/2 304L SS</t>
  </si>
  <si>
    <t>Plate 5/8 304L SS</t>
  </si>
  <si>
    <t>Plate 3/4 304L SS</t>
  </si>
  <si>
    <t>316/316L SS</t>
  </si>
  <si>
    <t>Sheet 24 316/316L SS</t>
  </si>
  <si>
    <t>Sheet 22 316/316L SS</t>
  </si>
  <si>
    <t>Sheet 18 316/316L SS</t>
  </si>
  <si>
    <t>Sheet 16 316/316L SS</t>
  </si>
  <si>
    <t>Sheet 14 316/316L SS</t>
  </si>
  <si>
    <t>11 GA</t>
  </si>
  <si>
    <t>Sheet 11 316/316L SS</t>
  </si>
  <si>
    <t>14 GA</t>
  </si>
  <si>
    <t>Plate 3/16 316/316L SS</t>
  </si>
  <si>
    <t>16 GA</t>
  </si>
  <si>
    <t>Plate 1/4 316/316L SS</t>
  </si>
  <si>
    <t>18 GA</t>
  </si>
  <si>
    <t>Plate 5/16 316/316L SS</t>
  </si>
  <si>
    <t>20 GA</t>
  </si>
  <si>
    <t>Plate 3/8 316/316L SS</t>
  </si>
  <si>
    <t>Plate 1/2 316/316L SS</t>
  </si>
  <si>
    <t>Plate 5/8 316/316L SS</t>
  </si>
  <si>
    <t>Plate 3/4 316/316L SS</t>
  </si>
  <si>
    <t>MISC</t>
  </si>
  <si>
    <t>SHEET 0.035" 20GA T-316L SS PER A240 2B FINISH</t>
  </si>
  <si>
    <t>SHEET 0.035" 20GA T-304L SS PER A240 2B FINISH</t>
  </si>
  <si>
    <t>SHEET 0.035" 20GA T-304 SS PER A240 2B FINISH</t>
  </si>
  <si>
    <t>No Date</t>
  </si>
  <si>
    <t>Angle</t>
  </si>
  <si>
    <t>ANGLE L2 1/2" X 2 1/2" X 1/4" T-316L SS PER A276 MILL FINISH</t>
  </si>
  <si>
    <t>A276</t>
  </si>
  <si>
    <t>ANGLE L2 1/2" X 2 1/2" X 1/4" T-304L SS PER A276 MILL FINISH</t>
  </si>
  <si>
    <t>ANGLE L2 1/2" X 2 1/2" X 1/4" T-304 SS PER A276 MILL FINISH</t>
  </si>
  <si>
    <t>SHEET &amp; PLATE PART NUMBERS</t>
  </si>
  <si>
    <t>Size</t>
  </si>
  <si>
    <t>316L SS</t>
  </si>
  <si>
    <t>MoC_PN</t>
  </si>
  <si>
    <t>PIPE</t>
  </si>
  <si>
    <t>Diameter</t>
  </si>
  <si>
    <t>Schedule</t>
  </si>
  <si>
    <t>ROUND BAR</t>
  </si>
  <si>
    <t>ANGLE</t>
  </si>
  <si>
    <t>SIZE</t>
  </si>
  <si>
    <t>ANGLE L2 1/2" X 2 1/2" X 1/4"</t>
  </si>
  <si>
    <t>HEAD &amp; TAIL SECTIONS</t>
  </si>
  <si>
    <t>SELECT MATERIAL OF CONSTRUCTION AND BELT SIZE ---------------------&gt;</t>
  </si>
  <si>
    <t>DESCRIPTION</t>
  </si>
  <si>
    <t>BUCKET</t>
  </si>
  <si>
    <t>THICKNESS
(IN.)</t>
  </si>
  <si>
    <t>WIDTH
(IN.)</t>
  </si>
  <si>
    <t>LENGTH
(IN.)</t>
  </si>
  <si>
    <t>DENSITY  N/A=FT/SQ. FT.</t>
  </si>
  <si>
    <t>UNIT
QTY</t>
  </si>
  <si>
    <t>PURCH.
UOM</t>
  </si>
  <si>
    <t>ASSY
QTY</t>
  </si>
  <si>
    <t>TOTAL
QTY</t>
  </si>
  <si>
    <t>Total Weight (lb)</t>
  </si>
  <si>
    <t>UNIT
COST ($)</t>
  </si>
  <si>
    <t>ASSY
COST ($)</t>
  </si>
  <si>
    <t>TOTAL
COST ($)</t>
  </si>
  <si>
    <t>MATERIAL COST</t>
  </si>
  <si>
    <t>LABOR HOURS</t>
  </si>
  <si>
    <t>PURCHASED COST</t>
  </si>
  <si>
    <t>NON-METAL COST</t>
  </si>
  <si>
    <t>BELT TAIL SECTION FRAME</t>
  </si>
  <si>
    <t>21051-M104-1 DRUM SUPPORT FRAME LH/RH</t>
  </si>
  <si>
    <t>RAW</t>
  </si>
  <si>
    <t>21051-M104-2 GUSSET</t>
  </si>
  <si>
    <t>21051-F122 CROSS SUPPORT MEMBER</t>
  </si>
  <si>
    <t>J20F009 CROSS MEMBER</t>
  </si>
  <si>
    <t>J20p012 CABLE GUIDE EAR</t>
  </si>
  <si>
    <t>DRIVE SHAFT</t>
  </si>
  <si>
    <t>N/A</t>
  </si>
  <si>
    <t>Temp. Shipping Leg</t>
  </si>
  <si>
    <t>501070 LONG 90 DEG ELBOW</t>
  </si>
  <si>
    <t>EA</t>
  </si>
  <si>
    <t>H51-050 EYEBOLT KIT (CABLE GUIDE)</t>
  </si>
  <si>
    <t>H00-375X175-02</t>
  </si>
  <si>
    <t>MH</t>
  </si>
  <si>
    <t>Total Weight=</t>
  </si>
  <si>
    <t>Subtotal=</t>
  </si>
  <si>
    <t>BELT TAIL SECTION COVER &amp; GUARDS</t>
  </si>
  <si>
    <t>F120 INSPECTION DOOR (16GA)</t>
  </si>
  <si>
    <t>F121 SPACER (16GA)</t>
  </si>
  <si>
    <t>F155 TAIL BEARING COVER RH (14GA)</t>
  </si>
  <si>
    <t>F154 TAIL BEARING COVER LH (14GA)</t>
  </si>
  <si>
    <t>F153 TAIL COVER (16GA)</t>
  </si>
  <si>
    <t>M140 TAIL SIDE COVER LH (16GA)</t>
  </si>
  <si>
    <t>M141 TAIL SIDE COVER RH (16GA)</t>
  </si>
  <si>
    <t>J90F002 LATCH (14GA)</t>
  </si>
  <si>
    <t>J90F414-46 FLIP LATCH SPACER UHMW</t>
  </si>
  <si>
    <t>501100 PIANO HINGE</t>
  </si>
  <si>
    <t>BELT HEAD SECTION FRAME &amp; SHAFT</t>
  </si>
  <si>
    <t>BEARING LOCK TABS</t>
  </si>
  <si>
    <t>PIPE Ø2 1/2" SCH40 X 44"</t>
  </si>
  <si>
    <t>MOUNTING ANGLE</t>
  </si>
  <si>
    <t>PIPE CAP</t>
  </si>
  <si>
    <t>GUSSET</t>
  </si>
  <si>
    <t>TORQUE MOUNT PLATE</t>
  </si>
  <si>
    <t>CLEVIS</t>
  </si>
  <si>
    <t>MOTOR MOUNT PIN, BAR RD .625 X 3.8125</t>
  </si>
  <si>
    <t>H51-031 EYEBOLT KIT (CABLE GUIDE)</t>
  </si>
  <si>
    <t>BELT HEAD SECTION COVER &amp; GUARDS</t>
  </si>
  <si>
    <t>F117  DRIVE COVER LH (16GA)</t>
  </si>
  <si>
    <t>F118 DRIVE COVER LH (16GA)</t>
  </si>
  <si>
    <t>F119 HEAD COVER TOP (16GA)</t>
  </si>
  <si>
    <t>F155 HEAD BEARING COVER RH (14GA)</t>
  </si>
  <si>
    <t>F154 HEAD BEARING COVER LH (14GA)</t>
  </si>
  <si>
    <t>48-304-043-31 RIVET</t>
  </si>
  <si>
    <t>BELT DISCHARGE CHUTE</t>
  </si>
  <si>
    <t>FRONT SIDE PANEL (16GA)</t>
  </si>
  <si>
    <t>REAR PANEL (16GA)</t>
  </si>
  <si>
    <t>SIDE PANELS</t>
  </si>
  <si>
    <t>SUBTOTAL</t>
  </si>
  <si>
    <t>METAL MATERIAL SUMMARY</t>
  </si>
  <si>
    <t>NON-METAL MATERIAL SUMMARY</t>
  </si>
  <si>
    <t>PURCHASED COMPONENTS SUMMARY</t>
  </si>
  <si>
    <t>PC</t>
  </si>
  <si>
    <t>BIO-BELT STANDARD ASSEMBLIES</t>
  </si>
  <si>
    <t>TROUGHING</t>
  </si>
  <si>
    <t>J20A00X IDLER FRAME (ANGLE)</t>
  </si>
  <si>
    <t>J20P000 IDLER FRAME LEG</t>
  </si>
  <si>
    <t>WIDTH</t>
  </si>
  <si>
    <t>IF_LEN</t>
  </si>
  <si>
    <t>IFL_LEN</t>
  </si>
  <si>
    <t>MR_PN</t>
  </si>
  <si>
    <t>MR_COST</t>
  </si>
  <si>
    <t>MR_DESC</t>
  </si>
  <si>
    <t>TI_DESC</t>
  </si>
  <si>
    <t>J20P003 IDLER BRACKET (11GA)</t>
  </si>
  <si>
    <t>501416 Ø5" X 18" BW X 20 DEG MOXIE ROLLER</t>
  </si>
  <si>
    <t xml:space="preserve">J20S000 - 18" BELT 20° TROUGH IDLER ASSY </t>
  </si>
  <si>
    <t>J20P002 IDLER MOUNTING FOOT</t>
  </si>
  <si>
    <t>501238 Ø5" X 24" BW X 20 DEG MOXIE ROLLER</t>
  </si>
  <si>
    <t xml:space="preserve">J20S001 - 24" BELT 20° TROUGH IDLER ASSY </t>
  </si>
  <si>
    <t>J20P004 TROUGH CLIP (16GA)</t>
  </si>
  <si>
    <t>501264 Ø5" X 30" BW X 20 DEG MOXIE ROLLER</t>
  </si>
  <si>
    <t xml:space="preserve">J20S002 - 30" BELT 20° TROUGH IDLER ASSY </t>
  </si>
  <si>
    <t>J20P005 CENTER TAB (20GA)</t>
  </si>
  <si>
    <t>501417 Ø5" X 36" BW X 20 DEG MOXIE ROLLER</t>
  </si>
  <si>
    <t xml:space="preserve">J20S003 - 36" BELT 20° TROUGH IDLER ASSY </t>
  </si>
  <si>
    <t>501418 Ø5" X 48" BW X 20 DEG MOXIE ROLLER</t>
  </si>
  <si>
    <t xml:space="preserve">J20S004 - 48" BELT 20° TROUGH IDLER ASSY </t>
  </si>
  <si>
    <t>48-304-067-31 RIVET 3/16 X .669" ALUM.</t>
  </si>
  <si>
    <t>J20F028 Ø5" IDLER DROP BRACKET  (11GA)</t>
  </si>
  <si>
    <t>RI_PN</t>
  </si>
  <si>
    <t>RI_COST</t>
  </si>
  <si>
    <t>RI_DESC</t>
  </si>
  <si>
    <t>RIA_DESC</t>
  </si>
  <si>
    <t>501497 Ø5" X 18" BW MOXIE ROLLER</t>
  </si>
  <si>
    <t xml:space="preserve">J20S012 - 18" BELT RETURN IDLER ASSY </t>
  </si>
  <si>
    <t>501498 Ø5" X 24" BW MOXIE ROLLER</t>
  </si>
  <si>
    <t xml:space="preserve">J20S013 - 24" BELT RETURN IDLER ASSY </t>
  </si>
  <si>
    <t>501499 Ø5" X 30" BW MOXIE ROLLER</t>
  </si>
  <si>
    <t>501500 Ø5" X 36" BW MOXIE ROLLER</t>
  </si>
  <si>
    <t xml:space="preserve">J20S015 - 36" BELT RETURN IDLER ASSY </t>
  </si>
  <si>
    <t>501502 Ø5" X 48" BW MOXIE ROLLER</t>
  </si>
  <si>
    <t xml:space="preserve">J20S015 - 48" BELT RETURN IDLER ASSY </t>
  </si>
  <si>
    <t>FLAT</t>
  </si>
  <si>
    <t>J20F029 Ø5" IDLER CARRYING BRACKET  (11GA)</t>
  </si>
  <si>
    <t>FI_PN</t>
  </si>
  <si>
    <t>FI_WT</t>
  </si>
  <si>
    <t>FI_COST</t>
  </si>
  <si>
    <t>FI_DESC</t>
  </si>
  <si>
    <t>FIA_DESC</t>
  </si>
  <si>
    <t xml:space="preserve">J20S018 - 18" BELT CARRYING IDLER ASSY </t>
  </si>
  <si>
    <t xml:space="preserve">J20S019 - 24" BELT CARRYING IDLER ASSY </t>
  </si>
  <si>
    <t xml:space="preserve">J20S020 - 30" BELT CARRYING IDLER ASSY </t>
  </si>
  <si>
    <t xml:space="preserve">J20S021 - 36" BELT CARRYING IDLER ASSY </t>
  </si>
  <si>
    <t xml:space="preserve">J20S023 - 48" BELT CARRYING IDLER ASSY </t>
  </si>
  <si>
    <t>J20P013 BEARING MOUNT PLATE (3/16")</t>
  </si>
  <si>
    <t>TU_LEN</t>
  </si>
  <si>
    <t>ATR_DESC</t>
  </si>
  <si>
    <t>ATR_WT</t>
  </si>
  <si>
    <t>ATR_COST</t>
  </si>
  <si>
    <t>SA_DESC</t>
  </si>
  <si>
    <t>SA_LENGTH</t>
  </si>
  <si>
    <t>74-019-904-02 ATR 3/4"-10 X 24" 316SS</t>
  </si>
  <si>
    <t>J20P017 SUPPORT ANGLE 12"</t>
  </si>
  <si>
    <t>74-019-926-02 ATR 3/4"-10 X 24" 316SS</t>
  </si>
  <si>
    <t>J20P018 SUPPORT ANGLE 18"</t>
  </si>
  <si>
    <t>74-019-932-02 ATR 3/4"-10 X 36" 316SS</t>
  </si>
  <si>
    <t>J20P019 SUPPORT ANGLE 24"</t>
  </si>
  <si>
    <t>J20P016 L BRACKET</t>
  </si>
  <si>
    <t>74-019-938-02 ATR 3/4"-10 X 42" 316SS</t>
  </si>
  <si>
    <t>J20P020 SUPPORT ANGLE 30"</t>
  </si>
  <si>
    <t>J20P022 GUSSET</t>
  </si>
  <si>
    <t>74-019-944-02 ATR 3/4"-10 X 48" 316SS</t>
  </si>
  <si>
    <t>J20P021 SUPPORT ANGLE 36"</t>
  </si>
  <si>
    <t>501494 Ø3/4" SQUARE NUT - BRONZE</t>
  </si>
  <si>
    <t>74-019-950-02 ATR 3/4"-10 X 54" 316SS</t>
  </si>
  <si>
    <t>70-019-000-02 NUT HEX HEAVY 3/4"-10 316SS</t>
  </si>
  <si>
    <t>74-019-9XX-02 ATR 3/4"-10 X 60" 316SS</t>
  </si>
  <si>
    <t>BSA_DESC</t>
  </si>
  <si>
    <t>BM_DESC</t>
  </si>
  <si>
    <t>BM_LEN</t>
  </si>
  <si>
    <t>BB_DESC</t>
  </si>
  <si>
    <t>SCRAPER_DESC</t>
  </si>
  <si>
    <t xml:space="preserve">J20S006 - 18" BELT SCRAPER ASSY </t>
  </si>
  <si>
    <t>J20M013 BLADE MOUNT ANGLE 18" BELT</t>
  </si>
  <si>
    <t>J20F013-46 18" BACK BLADE UHMW-PE</t>
  </si>
  <si>
    <t>J20F019-60 18" SCRAPER NEOPRENE</t>
  </si>
  <si>
    <t>J20F025 MOUNTING BAR</t>
  </si>
  <si>
    <t xml:space="preserve">J20S007 - 24" BELT SCRAPER ASSY </t>
  </si>
  <si>
    <t>J20M014 BLADE MOUNT ANGLE 24" BELT</t>
  </si>
  <si>
    <t>J20F014-46 24" BACK BLADE UHMW-PE</t>
  </si>
  <si>
    <t>J20F020-60 24" SCRAPER NEOPRENE</t>
  </si>
  <si>
    <t>J20F026 SCRAPER ASSY ANGLE LEFT</t>
  </si>
  <si>
    <t xml:space="preserve">J20S008 - 30" BELT SCRAPER ASSY </t>
  </si>
  <si>
    <t>J20M015 BLADE MOUNT ANGLE 30" BELT</t>
  </si>
  <si>
    <t>J20F015-46 30" BACK BLADE UHMW-PE</t>
  </si>
  <si>
    <t>J20F021-60 30" SCRAPER NEOPRENE</t>
  </si>
  <si>
    <t>J20F027 SCRAPER ASSY ANGLE RIGHT</t>
  </si>
  <si>
    <t xml:space="preserve">J20S009 - 36" BELT SCRAPER ASSY </t>
  </si>
  <si>
    <t>J20M016 BLADE MOUNT ANGLE 36" BELT</t>
  </si>
  <si>
    <t>J20F016-46 36" BACK BLADE UHMW-PE</t>
  </si>
  <si>
    <t>J20F022-60 36" SCRAPER NEOPRENE</t>
  </si>
  <si>
    <t>501423 SPRING Ø11/16" X 2 1/2"</t>
  </si>
  <si>
    <t xml:space="preserve">J20S010 - 42" BELT SCRAPER ASSY </t>
  </si>
  <si>
    <t>J20M017 BLADE MOUNT ANGLE 42" BELT</t>
  </si>
  <si>
    <t>J20F017-46 42" BACK BLADE UHMW-PE</t>
  </si>
  <si>
    <t>J20F023-60 42" SCRAPER NEOPRENE</t>
  </si>
  <si>
    <t>H00-038X150-02 (3/8" BOLT KIT)</t>
  </si>
  <si>
    <t xml:space="preserve">J20S011 - 48" BELT SCRAPER ASSY </t>
  </si>
  <si>
    <t>J20M018 BLADE MOUNT ANGLE 48" BELT</t>
  </si>
  <si>
    <t>J20F018-46 48" BACK BLADE UHMW-PE</t>
  </si>
  <si>
    <t>J20F024-60 48" SCRAPER NEOPRENE</t>
  </si>
  <si>
    <t>H00-050X150-02 (1/2" BOLT KIT)</t>
  </si>
  <si>
    <t>H33-038-02 (3/8"FW,LNUT)</t>
  </si>
  <si>
    <t>H51-031X500-02 EYEBOLT W/2FW,LW,2NUT</t>
  </si>
  <si>
    <t>59-014-813-02 FENDER WASHER 3/8X1 1/4"OD</t>
  </si>
  <si>
    <t>99-014-816-02 (3/8"-16 X 2" BOLT)</t>
  </si>
  <si>
    <t xml:space="preserve">J20S024/S026 - RETURN/CARRYING SIDE GUIDE IDLER ASSY </t>
  </si>
  <si>
    <t>J20P027 GUIDE SUPPORT</t>
  </si>
  <si>
    <t>J20P028 PIPE Ø3/4" SCH40 X 2 1/4"</t>
  </si>
  <si>
    <t>J20F030 SIDE IDLER SHAFT, BAR RD Ø3/4" X 8"</t>
  </si>
  <si>
    <t>J20F031 ROLL, PIPE Ø2 SCH 160 X 4 1/4"</t>
  </si>
  <si>
    <t>501596 Ø2" ID PLUG, ROUND-BLACK</t>
  </si>
  <si>
    <t>501598 Ø3/4" EXTERNAL RETAINING RING, 17-5 PH SS</t>
  </si>
  <si>
    <t>501688 Ø3/4" ID SINGLE ROW BALL BEARING</t>
  </si>
  <si>
    <t>99-012-806-02 HHMB 1/4"-20 X 1/2"</t>
  </si>
  <si>
    <t>J20S028 - 20DEG TROUGHING SIDE GUIDE IDLER ASSY</t>
  </si>
  <si>
    <t xml:space="preserve">J20F035 SIDE BRACKET </t>
  </si>
  <si>
    <t>J20P034 GUIDE</t>
  </si>
  <si>
    <t>J20P035 GUIDE, PIPE Ø3/4 SCH40 X 2"</t>
  </si>
  <si>
    <t>501600 VERTICAL SIDE GUIDE ROLLER</t>
  </si>
  <si>
    <t>KNUCKLE ASSY/HOLD DOWN WHEELS (QTY 1 NEEDED FOR INCLINE)</t>
  </si>
  <si>
    <t>MOUNTING CHANNEL-6" X 2" X 1/4"</t>
  </si>
  <si>
    <t>CHANNEL STIFFENER-5 5/8" X 8" X 1/4"</t>
  </si>
  <si>
    <t>BEARING LOCK TAB- 1.125" X 1.5" X .25"</t>
  </si>
  <si>
    <t>HOLD DOWN SHAFT- BAR RD Ø1.25" X 12.5"</t>
  </si>
  <si>
    <t>501143 - 2 BOLT FLG BEARING</t>
  </si>
  <si>
    <t>501048 - TWO PC SHAFT COLLAR 1 1/4"</t>
  </si>
  <si>
    <t>502209 - 12 X 2.5 PHEN WHEEL, 3" HUB WIDTH</t>
  </si>
  <si>
    <t>79-016-816-00 HHMB FULL THD 1/2"-13 X 2"</t>
  </si>
  <si>
    <t>H00-038X150 BEARING BOLTS</t>
  </si>
  <si>
    <t>BELT TENSIONER FOR INCLINED (1 REQ'D PER BEND) - MAKE SURE TO SELECT BELT WIDTH IN CELL 01</t>
  </si>
  <si>
    <t>PIPE 6 SCH 40 X 26"</t>
  </si>
  <si>
    <t>=IFS(B_TYPE="TYPE 3",1,B_TYPE="TYPE 4",1,B_TYPE="TYPE 5",2,TRUE,0)</t>
  </si>
  <si>
    <t>END CAPS, PL .25" X 6.06" X 6.06"</t>
  </si>
  <si>
    <t>LIVE SHAFT Ø1.25" X 38"</t>
  </si>
  <si>
    <t>SPACER PLATE, .25" X 2" X 7.5"</t>
  </si>
  <si>
    <t xml:space="preserve">502240 Ø1-1/4" BORE MOUNTED BALL BEARING </t>
  </si>
  <si>
    <t>PLOW ASSY - MAKE SURE TO SELECT BELT WIDTH</t>
  </si>
  <si>
    <t>ACTUATOR MOUNT AND GUIDE</t>
  </si>
  <si>
    <t>GUIDE PLATES</t>
  </si>
  <si>
    <t>GUIDE BAR Ø1.5" X 34.9375"</t>
  </si>
  <si>
    <t>GUIDE BAR MOUNTING PLATE 1/4"</t>
  </si>
  <si>
    <t>PLOW RETAINER (14GA)</t>
  </si>
  <si>
    <t>PLOW BLADE SBR</t>
  </si>
  <si>
    <t>PLOW BACKER BLADE UHMW</t>
  </si>
  <si>
    <t>SQFT</t>
  </si>
  <si>
    <t>PLOW ATTACHMENT GUIDE (11GA)</t>
  </si>
  <si>
    <t>STIFFENER CLEVIS ATTACHMENT (3/8")</t>
  </si>
  <si>
    <t>ACME ROD, 1-1/4"-2.5 TPI TRIPLE START X 35 3/4"</t>
  </si>
  <si>
    <t>DEFLECTOR ANGLE (11GA)</t>
  </si>
  <si>
    <t>PLOW GUIDE BUSHING 1" UHMW</t>
  </si>
  <si>
    <t>STEM COVER, PVC PIPE 1.25 SCH 40 X 19"</t>
  </si>
  <si>
    <t>501338-1 1/4" MALE NPT TO FEMALE ADAPTER</t>
  </si>
  <si>
    <t>501337-1 1/4" PLASTIC PIPE CAP</t>
  </si>
  <si>
    <t>502363-3/4" CLEVIS 304</t>
  </si>
  <si>
    <t>502364-3/4" X 2 7/8" CLEVIS PIN 304</t>
  </si>
  <si>
    <t>IQ10FA10-Z3</t>
  </si>
  <si>
    <t>IQ10FA10-Z3 COUPLING 115 RPM 480V</t>
  </si>
  <si>
    <t>H00-050X200-02 (1/2" BOLT KIT)</t>
  </si>
  <si>
    <t>H00-038X125-02 (3/8" BOLT KIT)</t>
  </si>
  <si>
    <t>H00-038X200-02 (3/8" BOLT KIT)</t>
  </si>
  <si>
    <t>H41-038X075-02 (3/8" BOLT KIT)</t>
  </si>
  <si>
    <t>H41-063150-02 (5/8" BOLT KIT)</t>
  </si>
  <si>
    <t>WASHBOX</t>
  </si>
  <si>
    <t>SLIDER BED PAN (11GA)</t>
  </si>
  <si>
    <t>FRONT DRAIN PANEL (11GA)</t>
  </si>
  <si>
    <t>BACK PANEL (11GA)</t>
  </si>
  <si>
    <t>BOTTOM PANEL (11GA)</t>
  </si>
  <si>
    <t>RIGHT PANEL (11GA)</t>
  </si>
  <si>
    <t>LEFT PANEL (11GA)</t>
  </si>
  <si>
    <t>LARGE ACCESS PANEL (11GA)</t>
  </si>
  <si>
    <t>SMALL ACCESS PANEL (11GA)</t>
  </si>
  <si>
    <t>SQUEEGE MOUNTING ANGLE (11GA)</t>
  </si>
  <si>
    <t>SPRING SCRAPER MOUNT (11GA)</t>
  </si>
  <si>
    <t>RETAINER PLATE (11GA)</t>
  </si>
  <si>
    <t>SPRING SCRAPER SIDE MOUNTS 1/4"</t>
  </si>
  <si>
    <t>KEYSTOCK 1.25 SQ SPANNER</t>
  </si>
  <si>
    <t>SPRAY BAR 1" SCH40</t>
  </si>
  <si>
    <t>PIPE CONNECTION PLATE (11GA)</t>
  </si>
  <si>
    <t>BED TOP LINER 1/2 UHMW</t>
  </si>
  <si>
    <t>BED SIDE LINER 1/2 UHMW</t>
  </si>
  <si>
    <t>BACKING PLATE 1/2" UHMW</t>
  </si>
  <si>
    <t>SCRAPER 1/2" NEOPRENE</t>
  </si>
  <si>
    <t>SLIDE PLATE 1/4" UHMW</t>
  </si>
  <si>
    <t>GASKETS 1/8" NEOPRENE</t>
  </si>
  <si>
    <t>SOLENOID VALVE 1" NPT</t>
  </si>
  <si>
    <t>Ø1 15/16" SHAFT COLLAR</t>
  </si>
  <si>
    <t>Ø1/2" SHAFT COLLAR</t>
  </si>
  <si>
    <t>1" NPT FEMALE 90 DEG ELBOW</t>
  </si>
  <si>
    <t>0.1"5</t>
  </si>
  <si>
    <t>Ø1" PIPE NIPPLE X 3 1/2" LG</t>
  </si>
  <si>
    <t>Ø1" PIPE NIPPLE X 4" LG</t>
  </si>
  <si>
    <t>Ø1" PIPE NIPPLE X 2 1/2" LG</t>
  </si>
  <si>
    <t>1" NPT BALL VALVE</t>
  </si>
  <si>
    <t>1" NPT UNION</t>
  </si>
  <si>
    <t>1" NPT PIPE X 22" LG.</t>
  </si>
  <si>
    <t>2" NPT PIPE X 2" LG. TOE NIPPLE</t>
  </si>
  <si>
    <t>0.2"5</t>
  </si>
  <si>
    <t>ROLLER, CEMA C, Ø5" X 36" BW X 20 DEG, MOXIE ROLLER</t>
  </si>
  <si>
    <t>ROLLER, CEMA C, Ø5" X 36" BW, MOXIE ROLLER</t>
  </si>
  <si>
    <t>74-019-950-02</t>
  </si>
  <si>
    <t>BIO-BELT DRIP PAN ASSY @10' SECTIONS</t>
  </si>
  <si>
    <t>Drip Pan (14GA)</t>
  </si>
  <si>
    <t>Drip Pan Bracket (14GA)</t>
  </si>
  <si>
    <t>H00-038X125-00</t>
  </si>
  <si>
    <t>BIO-BELT SIDE SKIRT ASSY @10' SECTIONS (1 SIDE ONLY, QTY 2 FOR BOTH SIDES)</t>
  </si>
  <si>
    <t>Skirt Plate (11GA)</t>
  </si>
  <si>
    <t>Support Bracket</t>
  </si>
  <si>
    <t>BELT WIDTH</t>
  </si>
  <si>
    <t>SB LENGTH</t>
  </si>
  <si>
    <t>Skirt Retainer (14GA)</t>
  </si>
  <si>
    <t>SBR 4" X 3/8" STRIP</t>
  </si>
  <si>
    <t>H00-050X175-00</t>
  </si>
  <si>
    <t>H52-038X200-00</t>
  </si>
  <si>
    <t>BIO-BELT FRAME ASSY @10' SECTIONS (USE CENTER TO CENTER DRUM DISTANCE)</t>
  </si>
  <si>
    <t>Side Channel</t>
  </si>
  <si>
    <t>Deck Plate (14GA)</t>
  </si>
  <si>
    <t>Cross Member</t>
  </si>
  <si>
    <t>E-STOP CABLE</t>
  </si>
  <si>
    <t>H00-050X150-00</t>
  </si>
  <si>
    <t>H00-063X200-00</t>
  </si>
  <si>
    <t>H51-031X500-00</t>
  </si>
  <si>
    <t>BIO-BELT RAIN COVERS BY RPS (INPUT TOTAL FEET)</t>
  </si>
  <si>
    <t>COVER COST PER FOOT</t>
  </si>
  <si>
    <t>WEIGHT</t>
  </si>
  <si>
    <t>304/304L</t>
  </si>
  <si>
    <t>316L</t>
  </si>
  <si>
    <t>BELT BUDGETARY ONLY 2PLY 220 (INPUT TOTAL FEET)</t>
  </si>
  <si>
    <t>18" BELT</t>
  </si>
  <si>
    <t>2 PLY 220, 1/8 X 1/16 MOR</t>
  </si>
  <si>
    <t>24" BELT</t>
  </si>
  <si>
    <t>30" BELT</t>
  </si>
  <si>
    <t>36" BELT</t>
  </si>
  <si>
    <t>48" BELT</t>
  </si>
  <si>
    <t>BIO-BELT SUPPORT LEGS 2FT (QTY 1 EQUALS 1 PAIR OF SUPPORTS)</t>
  </si>
  <si>
    <t>LEG HEIGHT IN INCHES (24" minimum)------&gt;</t>
  </si>
  <si>
    <t>HORIZONTAL BELT SUPPORTS</t>
  </si>
  <si>
    <t>C Channel 1/4"</t>
  </si>
  <si>
    <t>Foot Plate 1/4"</t>
  </si>
  <si>
    <t>H00-063X175-00</t>
  </si>
  <si>
    <t>H10-063X1000-00 Anchor</t>
  </si>
  <si>
    <t>501005-Hit-HY 200 Epoxy</t>
  </si>
  <si>
    <t>BIO-BELT SUPPORT LEGS 5FT (QTY 1 EQUALS 1 PAIR OF SUPPORTS)</t>
  </si>
  <si>
    <t>LEG HEIGHT IN INCHES (60" minimum)------&gt;</t>
  </si>
  <si>
    <t>BIO-BELT SUPPORT LEGS 10FT (QTY 1 EQUALS 1 PAIR OF SUPPORTS)</t>
  </si>
  <si>
    <t>LEG HEIGHT IN INCHES (120" minimum)------&gt;</t>
  </si>
  <si>
    <t>BIO-BELT SUPPORT LEGS 15FT (QTY 1 EQUALS 1 PAIR OF SUPPORTS)</t>
  </si>
  <si>
    <t>LEG HEIGHT IN INCHES (180" minimum)------&gt;</t>
  </si>
  <si>
    <t>BIO-BELT SUPPORT LEGS 20FT (QTY 1 EQUALS 1 PAIR OF SUPPORTS)</t>
  </si>
  <si>
    <t>LEG HEIGHT IN INCHES (240" minimum)------&gt;</t>
  </si>
  <si>
    <t>ODOR CONTROL COVERS AND NEOPRENE FLOOR SKIRTS 216 FT</t>
  </si>
  <si>
    <t>COST/FT</t>
  </si>
  <si>
    <t>BIO-BELT PURCHASED COMPONENTS</t>
  </si>
  <si>
    <t>JMS PART #</t>
  </si>
  <si>
    <t>PO #</t>
  </si>
  <si>
    <t>ORDER DATE</t>
  </si>
  <si>
    <t>NOTES</t>
  </si>
  <si>
    <t>NEMA 4X, 2 DP/DT (STANDARD CHOICE)</t>
  </si>
  <si>
    <t>CCC PART # PCD-2S OR EQUIVALENT</t>
  </si>
  <si>
    <t>NEMA 7 AND 9, 2 DP/DT, WATERPROOF, EXP. PROOF</t>
  </si>
  <si>
    <t>CCC PART # PCD-2SX OR EQUIVALENT</t>
  </si>
  <si>
    <t>RS-2X, EXPLOSION PROOF, 2 SP/DT MICROSWITCHES, NEMA 4X</t>
  </si>
  <si>
    <t>MFG PART#: RS-2X</t>
  </si>
  <si>
    <t>250V NEMA 7 AND 9, 2 DP/DT, WATERPROOF, EXP. PROOF, 250V</t>
  </si>
  <si>
    <t>SAME AS 501434 BUT 250V</t>
  </si>
  <si>
    <t>NEMA 4X [RS2] 2 SP/DT</t>
  </si>
  <si>
    <t>MFG PART#: RS-2</t>
  </si>
  <si>
    <t>NEMA 4X [RS5] 2 DP/DT, NO LIGHT</t>
  </si>
  <si>
    <t>MFG PART#: RS-5 OR EQUIVALENT</t>
  </si>
  <si>
    <t>BELT ALIGNMENT SWITCH, 2 SP/DT MICROSWITCHES, EXPLOSION PROOF</t>
  </si>
  <si>
    <t>CONVEYOR COMPONENTS PART# TA-2X</t>
  </si>
  <si>
    <t>BELT ALIGNMENT SWITCH, 2 SP/DT MICROSWITCHES</t>
  </si>
  <si>
    <t>CONVEYOR COMPONENTS PART# TA-2</t>
  </si>
  <si>
    <t>ZERO SPEED SENSOR</t>
  </si>
  <si>
    <t>SCP 1000, 115 VAC</t>
  </si>
  <si>
    <t>ELECTRO-SENSORS P#: 800-020100</t>
  </si>
  <si>
    <t>SCP 1000, 230 VAC</t>
  </si>
  <si>
    <t>MSP-12, NON CONTACT SENSOR</t>
  </si>
  <si>
    <t>MFG PART#: MSP-12</t>
  </si>
  <si>
    <t>XPP-5, EXP. PROOF NON CONTACT SENSOR</t>
  </si>
  <si>
    <t>MFG PART#: XPP-5</t>
  </si>
  <si>
    <t>MFA-4P, NEMA 4X</t>
  </si>
  <si>
    <t>MFG PART#: MFA-4P</t>
  </si>
  <si>
    <t>EZ SCP BRKT &amp; PULSER DISC 255</t>
  </si>
  <si>
    <t>ELECTRO-SENSORS P#: 810-000005</t>
  </si>
  <si>
    <t>BELT CLEANER</t>
  </si>
  <si>
    <t>QC1+ HD 18 ASM 14 SOL ORANGE TWIST TENS, 18" BELT W/ 14" BLADE</t>
  </si>
  <si>
    <t>MARTIN  PART#: C1QHAS18S14O1RT</t>
  </si>
  <si>
    <t>QC1+ HD 24 ASM 20 SOL ORANGE TWIST TENS  , 24" BELT W/ 20" BLADE</t>
  </si>
  <si>
    <t>MARTIN PART#: C1QHAS24S20O1RT</t>
  </si>
  <si>
    <t>QC1 CLEANER W/ TWIST TENSIONER, 24" BELT W/ 20" BLADE</t>
  </si>
  <si>
    <t>MARTIN PART#: 38556-24 00 22 T</t>
  </si>
  <si>
    <t>SQC2S CLEANER W/ SQUARE MAINFRAME TENSIONER, 24" BELT W/ 20" BLADE</t>
  </si>
  <si>
    <t>MARTIN PART#: SQC2S-24C2400PT0</t>
  </si>
  <si>
    <t>BELT SPLICE KITS</t>
  </si>
  <si>
    <t>18" BELT SPLICE KITS RS187</t>
  </si>
  <si>
    <t>18-RS187</t>
  </si>
  <si>
    <t>FLEXCO PART#: RS187SJ18/450NCS</t>
  </si>
  <si>
    <t>24" BELT SPLICE KIT RS187</t>
  </si>
  <si>
    <t>24-RS187</t>
  </si>
  <si>
    <t>FLEXCO PART#: RS187SJ24/600NC REF ITEM CODE: 54617</t>
  </si>
  <si>
    <t>30" BELT SPLICE KITS RS187</t>
  </si>
  <si>
    <t>30-RS187</t>
  </si>
  <si>
    <t>FLEXCO PART#: RS187SJ30/750NCS</t>
  </si>
  <si>
    <t>36" BELT SPLICE KITS RS187</t>
  </si>
  <si>
    <t>36-RS187</t>
  </si>
  <si>
    <t>42" BELT SPLICE KITS RS187</t>
  </si>
  <si>
    <t>42-RS187</t>
  </si>
  <si>
    <t>48" BELT SPLICE KITS RS187</t>
  </si>
  <si>
    <t>48-RS187</t>
  </si>
  <si>
    <t>18" BELT SPLICE KITS FLEXCO 375</t>
  </si>
  <si>
    <t>18-375</t>
  </si>
  <si>
    <t>FLEXCO 375XSJ18 NCS SS</t>
  </si>
  <si>
    <t>24" BELT SPLICE KIT FLEXCO 375</t>
  </si>
  <si>
    <t>24-375</t>
  </si>
  <si>
    <t>FLEXCO 375XSJ24 NCS SS</t>
  </si>
  <si>
    <t>30" BELT SPLICE KITS FLEXCO 375</t>
  </si>
  <si>
    <t>30-375</t>
  </si>
  <si>
    <t>FLEXCO 375XSJ30 NCS SS</t>
  </si>
  <si>
    <t>36" BELT SPLICE KITS FLEXCO 375</t>
  </si>
  <si>
    <t>36-375</t>
  </si>
  <si>
    <t>FLEXCO 375XSJ36 NCS SS</t>
  </si>
  <si>
    <t>42" BELT SPLICE KITS FLEXCO 375</t>
  </si>
  <si>
    <t>42-375</t>
  </si>
  <si>
    <t>FLEXCO 375XSJ42 NCS SS</t>
  </si>
  <si>
    <t>48" BELT SPLICE KITS FLEXCO 375</t>
  </si>
  <si>
    <t>48-375</t>
  </si>
  <si>
    <t>FLEXCO 375XSJ48 NCS SS</t>
  </si>
  <si>
    <t>FIELD VULCANIZED</t>
  </si>
  <si>
    <t>PILLOW BLOCK BEARING</t>
  </si>
  <si>
    <t>PILLOW BLOCK EXPANSION SPHERICAL ROLLER BEARING Ø1.5" BORE,</t>
  </si>
  <si>
    <t>DODGE PART#: P2B-S2-108RE</t>
  </si>
  <si>
    <t>PILLOW BLOCK NON EXPANSION SPHERICAL ROLLER BEARING Ø1.5" BORE,</t>
  </si>
  <si>
    <t>DODGE PART#: P2B-S2-108R</t>
  </si>
  <si>
    <t>PILLOW BLOCK FIXED ROLLER BEARING, Ø1 15/16"</t>
  </si>
  <si>
    <t>REXNORD P/N: PB22431H</t>
  </si>
  <si>
    <t>PILLOW BLOCK EXPANSION ROLLER BEARING Ø1 15/16" BORE</t>
  </si>
  <si>
    <t>REXNORD P/N: PEB22431H</t>
  </si>
  <si>
    <t>PILLOW BLOCK EXPANSION ROLLER BEARING Ø2" BORE</t>
  </si>
  <si>
    <t>REXNORD P/N: PEB22432H</t>
  </si>
  <si>
    <t>PILLOW BLOCK NON-EXPANSION ROLLER BEARING Ø2" BORE</t>
  </si>
  <si>
    <t>REXNORD P/N: PB22432H</t>
  </si>
  <si>
    <t>Ø2 7/16" BORE PILLOW BLOCK EXPANSION ROLLER BEARING</t>
  </si>
  <si>
    <t>LINK-BELT PART # PE-B22439H OR EQUIVALENT</t>
  </si>
  <si>
    <t>Ø2 7/16" PILLOW BLOCK ROLLER BEARING, NON-EXPANSION BEARING</t>
  </si>
  <si>
    <t>LINK-BELT PART # PB22439H OR EQUIVALENT</t>
  </si>
  <si>
    <t>PILLOW BLOCK EXPANSION ROLLER BEARING Ø2.75" BORE</t>
  </si>
  <si>
    <t>P/N: PEB22444H</t>
  </si>
  <si>
    <t>PILLOW BLOCK NON EXPANSION ROLLER BEARING Ø2.75" BORE</t>
  </si>
  <si>
    <t>P/N: PB22444H</t>
  </si>
  <si>
    <t>Ø2 15/16" PILLOW BLOCK ROLLER BEARING, EXPANSION BEARING</t>
  </si>
  <si>
    <t>LINK-BELT PART # PE-B22447H OR EQUIVALENT</t>
  </si>
  <si>
    <t>Ø2 15/16" PILLOW BLOCK ROLLER BEARING, NON-EXPANSION BEARING</t>
  </si>
  <si>
    <t>LINK-BELT PART # P-B22447H OR EQUIVALENT</t>
  </si>
  <si>
    <t>Ø3.4375" BORE, SPHERICAL ROLLER, PILLOW BLOCK BEARING, EXPANSION</t>
  </si>
  <si>
    <t>DODGE PART#: EP2B-S2-307RE</t>
  </si>
  <si>
    <t>TYPE E TAPERED ROLLER BEARING, TWO BOLT PILLOW BLOCK, Ø3-7/16" SHAFT, NON-EXPANSION, SET SCREW SHAFT ATTACHMENT, TRIPLE-LIP CONTACT SEAL</t>
  </si>
  <si>
    <t>DODGE PART#: P2B-E-307R</t>
  </si>
  <si>
    <t>DRUM PULLEY BUSHING</t>
  </si>
  <si>
    <t>MXT25 1 15/16</t>
  </si>
  <si>
    <t>MXT25 2 7/16</t>
  </si>
  <si>
    <t>MXT30 2 15/16</t>
  </si>
  <si>
    <t>MXT35 3 7/16</t>
  </si>
  <si>
    <t>MXT40 3 15/16</t>
  </si>
  <si>
    <t>DRUM PULLEY - MARTIN</t>
  </si>
  <si>
    <t>TYPE</t>
  </si>
  <si>
    <t>BUSHING</t>
  </si>
  <si>
    <t>LAGGING THK</t>
  </si>
  <si>
    <t>LAGGING TYPE</t>
  </si>
  <si>
    <t>MODEL #</t>
  </si>
  <si>
    <t>CMES1220X25</t>
  </si>
  <si>
    <t>DGL</t>
  </si>
  <si>
    <t>CMES1220X25L3D</t>
  </si>
  <si>
    <t>CMES1220X25L3H</t>
  </si>
  <si>
    <t>CMES1220X25L4D</t>
  </si>
  <si>
    <t>CMES1220X25L4H</t>
  </si>
  <si>
    <t>CMES1220X30</t>
  </si>
  <si>
    <t>CMES1220X30L3D</t>
  </si>
  <si>
    <t>CMES1220X30L3H</t>
  </si>
  <si>
    <t>CMES1220X30L4D</t>
  </si>
  <si>
    <t>CMES1220X30L4H</t>
  </si>
  <si>
    <t>12X26</t>
  </si>
  <si>
    <t>CMES1226X25</t>
  </si>
  <si>
    <t>CMES1226X25L3D</t>
  </si>
  <si>
    <t>CMES1226X25L3H</t>
  </si>
  <si>
    <t>CMES1226X25L4D</t>
  </si>
  <si>
    <t>CMES1226X25L4H</t>
  </si>
  <si>
    <t>CMES1226X30</t>
  </si>
  <si>
    <t>CMES1226X30L3D</t>
  </si>
  <si>
    <t>CMES1226X30L3H</t>
  </si>
  <si>
    <t>CMES1226X30L4D</t>
  </si>
  <si>
    <t>CMES1226X30L4H</t>
  </si>
  <si>
    <t>12X32</t>
  </si>
  <si>
    <t>CMES1232X25</t>
  </si>
  <si>
    <t>CMES1232X25L3D</t>
  </si>
  <si>
    <t>CMES1232X25L3H</t>
  </si>
  <si>
    <t>CMES1232X25L4D</t>
  </si>
  <si>
    <t>CMES1232X25L4H</t>
  </si>
  <si>
    <t>CMES1232X30</t>
  </si>
  <si>
    <t>CMES1232X30L3D</t>
  </si>
  <si>
    <t>CMES1232X30L3H</t>
  </si>
  <si>
    <t>CMES1232X30L4D</t>
  </si>
  <si>
    <t>CMES1232X30L4H</t>
  </si>
  <si>
    <t>12X38</t>
  </si>
  <si>
    <t>CMES1238X25</t>
  </si>
  <si>
    <t>CMES1238X25L3D</t>
  </si>
  <si>
    <t>CMES1238X25L3H</t>
  </si>
  <si>
    <t>CMES1238X25L4D</t>
  </si>
  <si>
    <t>CMES1238X25L4H</t>
  </si>
  <si>
    <t>CMES1238X30</t>
  </si>
  <si>
    <t>CMES1238X30L3D</t>
  </si>
  <si>
    <t>CMES1238X30L3H</t>
  </si>
  <si>
    <t>CMES1238X30L4D</t>
  </si>
  <si>
    <t>CMES1238X30L4H</t>
  </si>
  <si>
    <t>12X44</t>
  </si>
  <si>
    <t>CMES1244X25</t>
  </si>
  <si>
    <t>CMES1244X25L3D</t>
  </si>
  <si>
    <t>CMES1244X25L3H</t>
  </si>
  <si>
    <t>CMES1244X25L4D</t>
  </si>
  <si>
    <t>CMES1244X25L4H</t>
  </si>
  <si>
    <t>CMES1244X30</t>
  </si>
  <si>
    <t>CMES1244X30L3D</t>
  </si>
  <si>
    <t>CMES1244X30L3H</t>
  </si>
  <si>
    <t>CMES1244X30L4D</t>
  </si>
  <si>
    <t>CMES1244X30L4H</t>
  </si>
  <si>
    <t>CF</t>
  </si>
  <si>
    <t>CSCF12020X25</t>
  </si>
  <si>
    <t>CSCF12026X25</t>
  </si>
  <si>
    <t>CSCF12032X25</t>
  </si>
  <si>
    <t>CSCF12038X25</t>
  </si>
  <si>
    <t>CSCF12044X25</t>
  </si>
  <si>
    <t>14X20</t>
  </si>
  <si>
    <t>CMES1420X25</t>
  </si>
  <si>
    <t>CMES1420X25L3D</t>
  </si>
  <si>
    <t>CMES1420X25L3H</t>
  </si>
  <si>
    <t>CMES1420X25L4D</t>
  </si>
  <si>
    <t>CMES1420X25L4H</t>
  </si>
  <si>
    <t>CMES1420X30</t>
  </si>
  <si>
    <t>CMES1420X30L3D</t>
  </si>
  <si>
    <t>CMES1420X30L3H</t>
  </si>
  <si>
    <t>CMES1420X30L4D</t>
  </si>
  <si>
    <t>CMES1420X30L4H</t>
  </si>
  <si>
    <t>14X26</t>
  </si>
  <si>
    <t>CMES1426X25</t>
  </si>
  <si>
    <t>CMES1426X25L3D</t>
  </si>
  <si>
    <t>CMES1426X25L3H</t>
  </si>
  <si>
    <t>CMES1426X25L4D</t>
  </si>
  <si>
    <t>CMES1426X25L4H</t>
  </si>
  <si>
    <t>CMES1426X30</t>
  </si>
  <si>
    <t>CMES1426X30L3D</t>
  </si>
  <si>
    <t>CMES1426X30L3H</t>
  </si>
  <si>
    <t>CMES1426X30L4D</t>
  </si>
  <si>
    <t>CMES1426X30L4H</t>
  </si>
  <si>
    <t>CMES1426X35L3D</t>
  </si>
  <si>
    <t>14X32</t>
  </si>
  <si>
    <t>CMES1432X25</t>
  </si>
  <si>
    <t>CMES1432X25L3D</t>
  </si>
  <si>
    <t>CMES1432X25L3H</t>
  </si>
  <si>
    <t>CMES1432X25L4D</t>
  </si>
  <si>
    <t>CMES1432X25L4H</t>
  </si>
  <si>
    <t>CMES1432X30</t>
  </si>
  <si>
    <t>CMES1432X30L3D</t>
  </si>
  <si>
    <t>CMES1432X30L3H</t>
  </si>
  <si>
    <t>CMES1432X30L4D</t>
  </si>
  <si>
    <t>CMES1432X30L4H</t>
  </si>
  <si>
    <t>CMES1432X35L3D</t>
  </si>
  <si>
    <t>14X38</t>
  </si>
  <si>
    <t>CMES1438X25</t>
  </si>
  <si>
    <t>CMES1438X25L3D</t>
  </si>
  <si>
    <t>CMES1438X25L3H</t>
  </si>
  <si>
    <t>CMES1438X25L4D</t>
  </si>
  <si>
    <t>CMES1438X25L4H</t>
  </si>
  <si>
    <t>CMES1438X30</t>
  </si>
  <si>
    <t>CMES1438X30L3D</t>
  </si>
  <si>
    <t>CMES1438X30L3H</t>
  </si>
  <si>
    <t>CMES1438X30L4D</t>
  </si>
  <si>
    <t>CMES1438X30L4H</t>
  </si>
  <si>
    <t>14X44</t>
  </si>
  <si>
    <t>CMES1444X25</t>
  </si>
  <si>
    <t>CMES1444X25L3D</t>
  </si>
  <si>
    <t>CMES1444X25L3H</t>
  </si>
  <si>
    <t>CMES1444X25L4D</t>
  </si>
  <si>
    <t>CMES1444X25L4H</t>
  </si>
  <si>
    <t>CMES1444X30</t>
  </si>
  <si>
    <t>CMES1444X30L3D</t>
  </si>
  <si>
    <t>CMES1444X30L3H</t>
  </si>
  <si>
    <t>CMES1444X30L4D</t>
  </si>
  <si>
    <t>CMES1444X30L4H</t>
  </si>
  <si>
    <t>CSCF14020X25</t>
  </si>
  <si>
    <t>CSCF14020X30</t>
  </si>
  <si>
    <t>CSCF14026X25</t>
  </si>
  <si>
    <t>CSCF14026X30</t>
  </si>
  <si>
    <t>CSCF14026X35</t>
  </si>
  <si>
    <t>CSCF14032X25</t>
  </si>
  <si>
    <t>CSCF14032X30</t>
  </si>
  <si>
    <t>CSCF14032X35</t>
  </si>
  <si>
    <t>CSCF14038X25</t>
  </si>
  <si>
    <t>CSCF14038X30</t>
  </si>
  <si>
    <t>CSCF14044X25</t>
  </si>
  <si>
    <t>CSCF14044X30</t>
  </si>
  <si>
    <t>16X20</t>
  </si>
  <si>
    <t>CMES1620X25L3H</t>
  </si>
  <si>
    <t>16X26</t>
  </si>
  <si>
    <t>CMES1626X25L3D</t>
  </si>
  <si>
    <t>CMES1626X25L4D</t>
  </si>
  <si>
    <t>CMES1626X25L4H</t>
  </si>
  <si>
    <t>CMES1626X30L3D</t>
  </si>
  <si>
    <t>CMES1626X30L3H</t>
  </si>
  <si>
    <t>CMES1626X30L4D</t>
  </si>
  <si>
    <t>CMES1626X30L4H</t>
  </si>
  <si>
    <t>CMES1626X35L3D</t>
  </si>
  <si>
    <t>CMES1626X40L3D</t>
  </si>
  <si>
    <t>16X32</t>
  </si>
  <si>
    <t>CMES1632X25L3D</t>
  </si>
  <si>
    <t>CMES1632X25L3H</t>
  </si>
  <si>
    <t>CMES1632X25L4D</t>
  </si>
  <si>
    <t>CMES1632X25L4H</t>
  </si>
  <si>
    <t>CMES1632X30L3D</t>
  </si>
  <si>
    <t>CMES1632X30L3H</t>
  </si>
  <si>
    <t>CMES1632X35L3D</t>
  </si>
  <si>
    <t>CMES1632X40L3D</t>
  </si>
  <si>
    <t>16X38</t>
  </si>
  <si>
    <t>CMES1638X25L3D</t>
  </si>
  <si>
    <t>CMES1638X25L3H</t>
  </si>
  <si>
    <t>CMES1638X25L4D</t>
  </si>
  <si>
    <t>CMES1638X25L4H</t>
  </si>
  <si>
    <t>CMES1638X30L3D</t>
  </si>
  <si>
    <t>CMES1638X30L3H</t>
  </si>
  <si>
    <t>CMES1638X30L4D</t>
  </si>
  <si>
    <t>CMES1638X30L4H</t>
  </si>
  <si>
    <t>16X44</t>
  </si>
  <si>
    <t>CMES1644X25L3D</t>
  </si>
  <si>
    <t>CMES1644X25L3H</t>
  </si>
  <si>
    <t>CMES1644X25L4D</t>
  </si>
  <si>
    <t>CMES1644X25L4H</t>
  </si>
  <si>
    <t>CMES1644X30L3D</t>
  </si>
  <si>
    <t>CMES1644X30L3H</t>
  </si>
  <si>
    <t>CMES1644X30L4D</t>
  </si>
  <si>
    <t>CMES1644X30L4H</t>
  </si>
  <si>
    <t>CSCF16026X35</t>
  </si>
  <si>
    <t>CSCF16026X30</t>
  </si>
  <si>
    <t>18X20</t>
  </si>
  <si>
    <t>CMES1820X25L3D</t>
  </si>
  <si>
    <t>CMES1820X25L3H</t>
  </si>
  <si>
    <t>CMES1820X30L3D</t>
  </si>
  <si>
    <t>CMES1820X30L3H</t>
  </si>
  <si>
    <t>CMES1820X30L4D</t>
  </si>
  <si>
    <t>CMES1820X30L4H</t>
  </si>
  <si>
    <t>18X26</t>
  </si>
  <si>
    <t>CMES1826X25L3D</t>
  </si>
  <si>
    <t>CMES1826X25L3H</t>
  </si>
  <si>
    <t>CMES1826X25L4D</t>
  </si>
  <si>
    <t>CMES1826X25L4H</t>
  </si>
  <si>
    <t>CMES1826X30L3D</t>
  </si>
  <si>
    <t>CMES1826X30L3H</t>
  </si>
  <si>
    <t>CMES1826X30L4D</t>
  </si>
  <si>
    <t>CMES1826X30L4H</t>
  </si>
  <si>
    <t>CMES1826X35L3D</t>
  </si>
  <si>
    <t>CMES1826X40L3D</t>
  </si>
  <si>
    <t>18X32</t>
  </si>
  <si>
    <t>CMES1832X25L3D</t>
  </si>
  <si>
    <t>CMES1832X25L3H</t>
  </si>
  <si>
    <t>CMES1832X25L4D</t>
  </si>
  <si>
    <t>CMES1832X25L4H</t>
  </si>
  <si>
    <t>CMES1832X30L3D</t>
  </si>
  <si>
    <t>CMES1832X30L3H</t>
  </si>
  <si>
    <t>CMES1832X30L4D</t>
  </si>
  <si>
    <t>CMES1832X40L3D</t>
  </si>
  <si>
    <t>18X38</t>
  </si>
  <si>
    <t>CMES1838X25L3D</t>
  </si>
  <si>
    <t>CMES1838X25L3H</t>
  </si>
  <si>
    <t>CMES1838X25L4D</t>
  </si>
  <si>
    <t>CMES1838X25L4H</t>
  </si>
  <si>
    <t>CMES1838X30L3D</t>
  </si>
  <si>
    <t>CMES1838X30L3H</t>
  </si>
  <si>
    <t>CMES1838X30L4D</t>
  </si>
  <si>
    <t>CMES1838X30L4H</t>
  </si>
  <si>
    <t>18X44</t>
  </si>
  <si>
    <t>CMES1844X25L3D</t>
  </si>
  <si>
    <t>CMES1844X25L3H</t>
  </si>
  <si>
    <t>CMES1844X25L4D</t>
  </si>
  <si>
    <t>CMES1844X25L4H</t>
  </si>
  <si>
    <t>CMES1844X30L3D</t>
  </si>
  <si>
    <t>CMES1844X30L3H</t>
  </si>
  <si>
    <t>CMES1844X30L4D</t>
  </si>
  <si>
    <t>CSCF18026X30</t>
  </si>
  <si>
    <t>CMES1844X30L4H</t>
  </si>
  <si>
    <t>CSCF18026X35</t>
  </si>
  <si>
    <t>CSCF18026X40</t>
  </si>
  <si>
    <t>CSCF18032X30</t>
  </si>
  <si>
    <t>CSCF18032X35</t>
  </si>
  <si>
    <t>CSCF18032X40</t>
  </si>
  <si>
    <t>DRUM PULLEY - SUPERIOR</t>
  </si>
  <si>
    <t>Column2</t>
  </si>
  <si>
    <t>Column3</t>
  </si>
  <si>
    <t>Column4</t>
  </si>
  <si>
    <t>MFG PN</t>
  </si>
  <si>
    <t>Column5</t>
  </si>
  <si>
    <t>Column6</t>
  </si>
  <si>
    <t>DRUM PULLEY, Ø12" CROWN-FACED X  20" W, 3/8" DIAMOND LAGGING - 45 DURO, Ø1 15/16" BORE, XT25 BUSHING</t>
  </si>
  <si>
    <t>ATLANTIC DRIVES &amp; BEARING INC*</t>
  </si>
  <si>
    <t>DCEMA1220CFXT2538D45 - 1.9375</t>
  </si>
  <si>
    <t>DRUM PULLEY, Ø12" CROWN-FACED X  20" W, 3/8" HERRINGBONE LAGGING - 45 DURO, Ø1 15/16" BORE, XT25 BUSHING</t>
  </si>
  <si>
    <t>DCEMA1220CFXT2538H45 - 1.9375</t>
  </si>
  <si>
    <t>DRUM PULLEY, Ø12" CROWN-FACED X  20" W, 1/4" SMOOTH LAGGING - 45 DURO, Ø1 15/16" BORE, XT20 BUSHING</t>
  </si>
  <si>
    <t>DCEMA1220CFXT2014S45 - 1.9375</t>
  </si>
  <si>
    <t>DRUM PULLEY, Ø12" CROWN-FACED X  20" W,  Ø1 15/16" BORE, XT20 BUSHING</t>
  </si>
  <si>
    <t>DCEMA1220CFXT20 - 1.9375</t>
  </si>
  <si>
    <t>WING PULLEY, Ø12" CROWN-FACED X  20" W,  Ø1 15/16" BORE, XT25 BUSHING</t>
  </si>
  <si>
    <t>WCEMA1220CFXT25 - 1.9375</t>
  </si>
  <si>
    <t>DRUM PULLEY, Ø12" CROWN-FACED X  20" W, 3/8" HERRINGBONE LAGGING - 45 DURO, Ø2 7/16" BORE, XT25 BUSHING</t>
  </si>
  <si>
    <t>DCEMA1220CFXT2538H45 - 2.4375</t>
  </si>
  <si>
    <t>DRUM PULLEY, Ø12" CROWN-FACED X  20" W, 3/8" HERRINGBONE LAGGING - 60 DURO, Ø2 7/16" BORE, XT25 BUSHING</t>
  </si>
  <si>
    <t>DCEMA1220CFXT2538H60 - 2.4375</t>
  </si>
  <si>
    <t>DRUM PULLEY, Ø12" CROWN-FACED X  20" W,  Ø2 7/16" BORE, XT25 BUSHING</t>
  </si>
  <si>
    <t>DCEMA1220CFXT25 - 2.4375</t>
  </si>
  <si>
    <t>DRUM PULLEY, Ø12" CROWN-FACED X  26" W, 3/8" HERRINGBONE LAGGING - 45 DURO, Ø2" BORE, XT25 BUSHING</t>
  </si>
  <si>
    <t>DCEMA1226CFXT2538H45 - 2</t>
  </si>
  <si>
    <t>DRUM PULLEY, Ø12" CROWN-FACED X  26" W, 3/8" HERRINGBONE LAGGING - 60 DURO, Ø2" BORE, XT25 BUSHING</t>
  </si>
  <si>
    <t>DCEMA1226CFXT2538H60 - 2</t>
  </si>
  <si>
    <t>WING PULLEY, Ø12" CROWN-FACED X  26" W,  Ø2" BORE, XT20 BUSHING</t>
  </si>
  <si>
    <t>WCEMA1226CFXT20 - 2</t>
  </si>
  <si>
    <t>DRUM PULLEY, Ø12" CROWN-FACED X  26" W, 3/8" HERRINGBONE LAGGING - 45 DURO, Ø1 15/16" BORE, XT25 BUSHING</t>
  </si>
  <si>
    <t>DCEMA1226CFXT2538H45 - 1.9375</t>
  </si>
  <si>
    <t>DRUM PULLEY, Ø12" CROWN-FACED X  26" W, 3/8" HERRINGBONE LAGGING - 60 DURO, Ø1 15/16" BORE</t>
  </si>
  <si>
    <t>MARTIN SPROCKET &amp; GEAR*</t>
  </si>
  <si>
    <t>DCEMA1226CF38H60 - 1.9375</t>
  </si>
  <si>
    <t>DRUM PULLEY, Ø12" CROWN-FACED X  26" W,  Ø1 15/16" BORE, XT25 BUSHING</t>
  </si>
  <si>
    <t>DCEMA1226CFXT25 - 1.9375</t>
  </si>
  <si>
    <t>DRUM PULLEY, Ø12" CROWN-FACED X  26" W,  Ø1 15/16" BORE</t>
  </si>
  <si>
    <t>DCEMA1226CF - 1.9375</t>
  </si>
  <si>
    <t>DRUM PULLEY, Ø12" CROWN-FACED X  26" W, 3/8" HERRINGBONE LAGGING - 45 DURO, Ø2 15/16" BORE, XT30 BUSHING</t>
  </si>
  <si>
    <t>DCEMA1226CFXT3038H45 - 2.9375</t>
  </si>
  <si>
    <t>DRUM PULLEY, Ø12" CROWN-FACED X  26" W, 3/8" HERRINGBONE LAGGING - 45 DURO, Ø2 3/4" BORE, XT25 BUSHING</t>
  </si>
  <si>
    <t>DCEMA1226CFXT2538H45 - 2.75</t>
  </si>
  <si>
    <t>DRUM PULLEY, Ø12" CROWN-FACED X  26" W,  Ø2 3/4" BORE, XT30 BUSHING</t>
  </si>
  <si>
    <t>DCEMA1226CFXT30 - 2.75</t>
  </si>
  <si>
    <t>DRUM PULLEY, Ø12" CROWN-FACED X  26" W, 1/2" HERRINGBONE LAGGING - 45 DURO, Ø2 7/16" BORE, XT25 BUSHING</t>
  </si>
  <si>
    <t>DCEMA1226CFXT2512H45 - 2.4375</t>
  </si>
  <si>
    <t>DRUM PULLEY, Ø12" CROWN-FACED X  26" W, 3/8" HERRINGBONE LAGGING - 45 DURO, Ø2 7/16" BORE, XT25 BUSHING</t>
  </si>
  <si>
    <t>DCEMA1226CFXT2538H45 - 2.4375</t>
  </si>
  <si>
    <t>DRUM PULLEY, Ø12" CROWN-FACED X  26" W, 3/8" HERRINGBONE LAGGING - 60 DURO, Ø2 7/16" BORE, XT25 BUSHING</t>
  </si>
  <si>
    <t>DCEMA1226CFXT2538H60 - 2.4375</t>
  </si>
  <si>
    <t>DRUM PULLEY, Ø12" CROWN-FACED X  26" W, 3/8" HERRINGBONE LAGGING - 45 DURO, Ø2 7/16" BORE, XT30 BUSHING</t>
  </si>
  <si>
    <t>DCEMA1226CFXT3038H45 - 2.4375</t>
  </si>
  <si>
    <t>DRUM PULLEY, Ø12" CROWN-FACED X  26" W,  Ø2 7/16" BORE, XT25 BUSHING</t>
  </si>
  <si>
    <t>DCEMA1226CFXT25 - 2.4375</t>
  </si>
  <si>
    <t>WING PULLEY, Ø12" CROWN-FACED X  26" W,  Ø2 7/16" BORE, XT25 BUSHING</t>
  </si>
  <si>
    <t>WCEMA1226CFXT25 - 2.4375</t>
  </si>
  <si>
    <t>DRUM PULLEY, Ø12" CROWN-FACED X  28" W, 3/8" HERRINGBONE LAGGING - 45 DURO, Ø1 15/16" BORE, XT30 BUSHING</t>
  </si>
  <si>
    <t>DCEMA1228CFXT3038H45 - 1.9375</t>
  </si>
  <si>
    <t>DRUM PULLEY, Ø12" CROWN-FACED X  32" W, 3/8" HERRINGBONE LAGGING - 45 DURO, Ø2 15/16" BORE, XT30 BUSHING</t>
  </si>
  <si>
    <t>DCEMA1232CFXT3038H45 - 2.9375</t>
  </si>
  <si>
    <t>DRUM PULLEY, Ø12" CROWN-FACED X  38" W, 3/8" HERRINGBONE LAGGING - 45 DURO, Ø2 3/4" BORE, XT30 BUSHING</t>
  </si>
  <si>
    <t>DCEMA1238CFXT3038H45 - 2.75</t>
  </si>
  <si>
    <t>DRUM PULLEY, Ø12" CROWN-FACED X  38" W, 3/8" HERRINGBONE LAGGING - 60 DURO, Ø2 3/4" BORE, XT30 BUSHING</t>
  </si>
  <si>
    <t>DCEMA1238CFXT3038H60 - 2.75</t>
  </si>
  <si>
    <t>DRUM PULLEY, Ø12" CROWN-FACED X  38" W,  Ø2 3/4" BORE, XT30 BUSHING</t>
  </si>
  <si>
    <t>DCEMA1238CFXT30 - 2.75</t>
  </si>
  <si>
    <t>DRUM PULLEY, Ø12" CROWN-FACED X  38" W,  Ø2 7/16" BORE, XT30 BUSHING</t>
  </si>
  <si>
    <t>DCEMA1238CFXT30 - 2.4375</t>
  </si>
  <si>
    <t>DRUM PULLEY, Ø14" CROWN-FACED X  20" W, 1/2" HERRINGBONE LAGGING - 45 DURO, Ø2" BORE, XT25 BUSHING</t>
  </si>
  <si>
    <t>DCEMA1420CFXT2512H45 - 2</t>
  </si>
  <si>
    <t>DRUM PULLEY, Ø14" CROWN-FACED X  20" W, 1/2" HERRINGBONE LAGGING - 45 DURO, Ø2 7/16" BORE, XT25 BUSHING</t>
  </si>
  <si>
    <t>DCEMA1420CFXT2512H45 - 2.4375</t>
  </si>
  <si>
    <t>DRUM PULLEY, Ø14" CROWN-FACED X  26" W, 1/2" HERRINGBONE LAGGING - 45 DURO, Ø2 3/4" BORE, XT30 BUSHING</t>
  </si>
  <si>
    <t>DCEMA1426CFXT3012H45 - 2.75</t>
  </si>
  <si>
    <t>DRUM PULLEY, Ø14" CROWN-FACED X  26" W, 1/2" HERRINGBONE LAGGING - 45 DURO, Ø2 7/16" BORE, XT25 BUSHING</t>
  </si>
  <si>
    <t>DCEMA1426CFXT2512H45 - 2.4375</t>
  </si>
  <si>
    <t>DRUM PULLEY, Ø14" CROWN-FACED X  26" W, 3/8" HERRINGBONE LAGGING - 45 DURO, Ø2 7/16" BORE, XT25 BUSHING</t>
  </si>
  <si>
    <t>DCEMA1426CFXT2538H45 - 2.4375</t>
  </si>
  <si>
    <t>DRUM PULLEY, Ø16" CROWN-FACED X  32" W,  Ø2 15/16" BORE</t>
  </si>
  <si>
    <t>DCEMA1632CF - 2.9375</t>
  </si>
  <si>
    <t>DRUM PULLEY, Ø18" CROWN-FACED X  32" W,  DIAMOND LAGGING -  Ø2 15/16" BORE</t>
  </si>
  <si>
    <t>DCEMA1832CFD - 2.9375</t>
  </si>
  <si>
    <t>DRUM PULLEY, Ø18" CROWN-FACED X  38" W, 1/2" HERRINGBONE LAGGING - 45 DURO, Ø3 7/16" BORE, XT35 BUSHING</t>
  </si>
  <si>
    <t>DCEMA1838CFXT3512H45 - 3.4375</t>
  </si>
  <si>
    <t>DRUM PULLEY, Ø8" FLAT-FACED X  32" W,  Ø2 7/16" BORE, XT30 BUSHING</t>
  </si>
  <si>
    <t>DCEMA832FFXT30 - 2.4375</t>
  </si>
  <si>
    <t>DRUM PULLEY, Ø10" FLAT-FACED X  26" W,  Ø1 15/16" BORE, XT25 BUSHING</t>
  </si>
  <si>
    <t>DCEMA1026FFXT25 - 1.9375</t>
  </si>
  <si>
    <t>DRUM PULLEY, Ø10" FLAT-FACED X  26" W,  Ø2 7/16" BORE, XT30 BUSHING</t>
  </si>
  <si>
    <t>DCEMA1026FFXT30 - 2.4375</t>
  </si>
  <si>
    <t>DRUM PULLEY, Ø10" FLAT-FACED X  32" W,  Ø2 7/16" BORE, XT30 BUSHING</t>
  </si>
  <si>
    <t>DCEMA1032FFXT30 - 2.4375</t>
  </si>
  <si>
    <t>DRUM PULLEY, Ø12" FLAT-FACED X  20" W, 3/8" HERRINGBONE LAGGING - 45 DURO, Ø1 1/2" BORE, XT25 BUSHING</t>
  </si>
  <si>
    <t>DCEMA1220FFXT2538H45 - 1.5</t>
  </si>
  <si>
    <t>DRUM PULLEY, Ø12" FLAT-FACED X  20" W, 3/8" HERRINGBONE LAGGING - 45 DURO, Ø1 15/16" BORE, XT20 BUSHING</t>
  </si>
  <si>
    <t>DCEMA1220FFXT2038H45 - 1.9375</t>
  </si>
  <si>
    <t>DRUM PULLEY, Ø12" FLAT-FACED X  20" W,  Ø1 15/16" BORE, XT25 BUSHING</t>
  </si>
  <si>
    <t>DCEMA1220FFXT25 - 1.9375</t>
  </si>
  <si>
    <t>DRUM PULLEY, Ø12" FLAT-FACED X  20" W, 3/8" HERRINGBONE LAGGING - 45 DURO, Ø2 7/16" BORE, XT25 BUSHING</t>
  </si>
  <si>
    <t>DCEMA1220FFXT2538H45 - 2.4375</t>
  </si>
  <si>
    <t>WING PULLEY, Ø12" FLAT-FACED X  26" W,  Ø2" BORE, XT20 BUSHING</t>
  </si>
  <si>
    <t>WCEMA1226FFXT20 - 2</t>
  </si>
  <si>
    <t>WING PULLEY, Ø12" FLAT-FACED X  26" W,  Ø2 7/16" BORE, XT25 BUSHING</t>
  </si>
  <si>
    <t>WCEMA1226FFXT25 - 2.4375</t>
  </si>
  <si>
    <t>DRUM PULLEY, Ø12" FLAT-FACED X  32" W,  Ø2 15/16" BORE, XT25 BUSHING</t>
  </si>
  <si>
    <t>DCEMA1232FFXT25 - 2.9375</t>
  </si>
  <si>
    <t>DRUM PULLEY, Ø12" FLAT-FACED X  32" W,  Ø2 7/16" BORE, XT25 BUSHING</t>
  </si>
  <si>
    <t>DCEMA1232FFXT25 - 2.4375</t>
  </si>
  <si>
    <t>DRUM PULLEY, Ø12" FLAT-FACED X  32" W,  Ø2 7/16" BORE, XT30 BUSHING</t>
  </si>
  <si>
    <t>DCEMA1232FFXT30 - 2.4375</t>
  </si>
  <si>
    <t>TOTAL2</t>
  </si>
  <si>
    <t>1</t>
  </si>
  <si>
    <t>1 1/8</t>
  </si>
  <si>
    <t>1 1/4</t>
  </si>
  <si>
    <t>1 1/2</t>
  </si>
  <si>
    <t>2</t>
  </si>
  <si>
    <t>Part_Num</t>
  </si>
  <si>
    <t>PRICE</t>
  </si>
  <si>
    <t>DESC</t>
  </si>
  <si>
    <t>SHEET 0.023" 24GA T-304 SS PER A240 2B FINISH</t>
  </si>
  <si>
    <t>SHEET 0.029" 22GA T-304 SS PER A240 2B FINISH</t>
  </si>
  <si>
    <t>SHEET 0.048" 18GA T-304 SS PER A240 2B FINISH</t>
  </si>
  <si>
    <t>SHEET 0.059" 16GA T-304 SS PER A240 2B FINISH</t>
  </si>
  <si>
    <t>SHEET 0.075" 14GA T-304 SS PER A240 2B FINISH</t>
  </si>
  <si>
    <t>SHEET 0.120" 11GA T-304 SS PER A240 2B FINISH</t>
  </si>
  <si>
    <t>PLATE 3/16" T-304 SS PER A240 2B FINISH</t>
  </si>
  <si>
    <t>PLATE 1/4" T-304 SS PER A240 2B FINISH</t>
  </si>
  <si>
    <t>PLATE 5/16" T-304 SS PER A240 2B FINISH</t>
  </si>
  <si>
    <t>PLATE 3/8" T-304 SS PER A240 2B FINISH</t>
  </si>
  <si>
    <t>PLATE 1/2" T-304 SS PER A240 2B FINISH</t>
  </si>
  <si>
    <t>PLATE 5/8" T-304 SS PER A240 2B FINISH</t>
  </si>
  <si>
    <t>PLATE 3/4" T-304 SS PER A240 2B FINISH</t>
  </si>
  <si>
    <t>PLATE 1" T-304 SS PER A240 2B FINISH</t>
  </si>
  <si>
    <t>PLATE 1 1/8" T-304 SS PER A240 2B FINISH</t>
  </si>
  <si>
    <t>PLATE 1 1/4" T-304 SS PER A240 2B FINISH</t>
  </si>
  <si>
    <t>PLATE 1 1/2" T-304 SS PER A240 2B FINISH</t>
  </si>
  <si>
    <t>PLATE 2" T-304 SS PER A240 2B FINISH</t>
  </si>
  <si>
    <t>SHEET 0.017" 26GA T-304L SS PER A240 2B FINISH</t>
  </si>
  <si>
    <t>SHEET 0.029" 22GA T-304L SS PER A240 2B FINISH</t>
  </si>
  <si>
    <t>SHEET 0.048" 18GA T-304L SS PER A240 2B FINISH</t>
  </si>
  <si>
    <t>SHEET 0.059" 16GA T-304L SS PER A240 2B FINISH</t>
  </si>
  <si>
    <t>SHEET 0.075" 14GA T-304L SS PER A240 2B FINISH</t>
  </si>
  <si>
    <t>SHEET 0.120" 11GA T-304L SS PER A240 2B FINISH</t>
  </si>
  <si>
    <t>PLATE 3/16" T-304L SS PER A240 2B FINISH</t>
  </si>
  <si>
    <t>PLATE 1/4" T-304L SS PER A240 2B FINISH</t>
  </si>
  <si>
    <t>PLATE 5/16" T-304L SS PER A240 2B FINISH</t>
  </si>
  <si>
    <t>PLATE 3/8" T-304L SS PER A240 2B FINISH</t>
  </si>
  <si>
    <t>PLATE 1/2" T-304L SS PER A240 2B FINISH</t>
  </si>
  <si>
    <t>PLATE 5/8" T-304L SS PER A240 2B FINISH</t>
  </si>
  <si>
    <t>PLATE 3/4" T-304L SS PER A240 2B FINISH</t>
  </si>
  <si>
    <t>PLATE 1" T-304L SS PER A240 2B FINISH</t>
  </si>
  <si>
    <t>PLATE 1 1/8" T-304L SS PER A240 2B FINISH</t>
  </si>
  <si>
    <t>PLATE 1 1/4" T-304L SS PER A240 2B FINISH</t>
  </si>
  <si>
    <t>PLATE 1 1/2" T-304L SS PER A240 2B FINISH</t>
  </si>
  <si>
    <t>PLATE 2" T-304L SS PER A240 2B FINISH</t>
  </si>
  <si>
    <t>SHEET 0.023" 24GA T-316L SS PER A240 2B FINISH</t>
  </si>
  <si>
    <t>SHEET 0.029" 22GA T-316L SS PER A240 2B FINISH</t>
  </si>
  <si>
    <t>SHEET 0.048" 18GA T-316L SS PER A240 2B FINISH</t>
  </si>
  <si>
    <t>SHEET 0.059" 16GA T-316L SS PER A240 2B FINISH</t>
  </si>
  <si>
    <t>SHEET 0.075" 14GA T-316L SS PER A240 2B FINISH</t>
  </si>
  <si>
    <t>SHEET 0.120" 11GA T-316L SS PER A240 2B FINISH</t>
  </si>
  <si>
    <t>PLATE 3/16" T-316L SS PER A240 2B FINISH</t>
  </si>
  <si>
    <t>PLATE 1/4" T-316L SS PER A240 2B FINISH</t>
  </si>
  <si>
    <t>PLATE 5/16" T-316L SS PER A240 2B FINISH</t>
  </si>
  <si>
    <t>PLATE 3/8" T-316L SS PER A240 2B FINISH</t>
  </si>
  <si>
    <t>PLATE 1/2" T-316L SS PER A240 2B FINISH</t>
  </si>
  <si>
    <t>PLATE 5/8" T-316L SS PER A240 2B FINISH</t>
  </si>
  <si>
    <t>PLATE 3/4" T-316L SS PER A240 2B FINISH</t>
  </si>
  <si>
    <t>PLATE 1" T-316L SS PER A240 2B FINISH</t>
  </si>
  <si>
    <t>PLATE 1 1/8" T-316L SS PER A240 2B FINISH</t>
  </si>
  <si>
    <t>PLATE 1 1/4" T-316L SS PER A240 2B FINISH</t>
  </si>
  <si>
    <t>PLATE 1 1/2" T-316L SS PER A240 2B FINISH</t>
  </si>
  <si>
    <t>PLATE 2" T-316L SS PER A240 2B FINISH</t>
  </si>
  <si>
    <t>PartNum</t>
  </si>
  <si>
    <t>PartDescription</t>
  </si>
  <si>
    <t>Vendor_Name</t>
  </si>
  <si>
    <t>Part_ClassID</t>
  </si>
  <si>
    <t>UnitCost</t>
  </si>
  <si>
    <t>PODetail_PUM</t>
  </si>
  <si>
    <t>PONUM</t>
  </si>
  <si>
    <t>OrderDate</t>
  </si>
  <si>
    <t>CommentText</t>
  </si>
  <si>
    <t>FLANGE BLIND 24" X Ø32" OD T-316/316L SS 150# FF PER A182</t>
  </si>
  <si>
    <t>STEE</t>
  </si>
  <si>
    <t>ANSI/ASME B16.5, FLANGE MAT'L TO BE DUAL CERTIFIED. TAGGING INFO. SHALL BE CLEARLY LEGIBLE &amp; SHALL INCL. APPLICABLE DATA THAT FOLLOWS: SIZE, TYPE, GRADE, &amp; ASTM NO's. ENVR. ELEMENTS OR HNDLG, CARBON STL. BANDING MUST NOT CONTACT SS MAT'LS.</t>
  </si>
  <si>
    <t>FLANGE BLIND 22" X Ø29 1/2" OD T-316/316L SS 150# FF PER A182</t>
  </si>
  <si>
    <t>FLANGE BLIND 20" X Ø27 1/2" OD T-316/316L SS 150# FF PER A182</t>
  </si>
  <si>
    <t>FLANGE BLIND 18" X Ø25" OD T-316/316L SS 150# FF PER A182</t>
  </si>
  <si>
    <t>FLANGE BLIND 16" X Ø23 1/2" OD T-316/316L SS 150# FF PER A182</t>
  </si>
  <si>
    <t>FLANGE BLIND 14" X Ø21" OD T-316/316L SS 150# FF PER A182</t>
  </si>
  <si>
    <t>FLANGE BLIND 12" X Ø19" OD T-316/316L SS 150# FF PER A182</t>
  </si>
  <si>
    <t>FLANGE BLIND 10" X Ø16" OD T-316/316L SS 150# FF PER A182</t>
  </si>
  <si>
    <t>FLANGE BLIND 8" X Ø13 1/2" OD T-316/316L SS 150# FF PER A182</t>
  </si>
  <si>
    <t>FLANGE BLIND 6" X Ø11" OD T-316/316L SS 150# FF PER A182</t>
  </si>
  <si>
    <t>ROBERT-JAMES SALES, INC</t>
  </si>
  <si>
    <t>FLANGE BLIND 5" X Ø10" OD T-316/316L SS 150# FF PER A182</t>
  </si>
  <si>
    <t>FLANGE BLIND 4" X Ø9" OD T-316/316L SS 150# FF PER A182</t>
  </si>
  <si>
    <t>FLANGE BLIND 3 1/2" X Ø8 1/2" OD T-316/316L SS 150# FF PER A182</t>
  </si>
  <si>
    <t>FLANGE BLIND 3" X Ø7 1/2" OD T-316/316L SS 150# FF PER A182</t>
  </si>
  <si>
    <t>FLANGE BLIND 2 1/2" X Ø7" OD T-316/316L SS 150# FF PER A182</t>
  </si>
  <si>
    <t>FLANGE BLIND 2" X Ø6" OD T-316/316L SS 150# FF PER A182</t>
  </si>
  <si>
    <t>FLANGE BLIND 1 1/2" X Ø5" OD T-316/316L SS 150# FF PER A182</t>
  </si>
  <si>
    <t>FLANGE BLIND 1 1/4" X Ø4 5/8" OD T-316/316L SS 150# FF PER A182</t>
  </si>
  <si>
    <t>FLANGE BLIND 1" X Ø4 1/4" OD T-316/316L SS 150# FF PER A182</t>
  </si>
  <si>
    <t>FLANGE BLIND 3/4" X Ø3 7/8" OD T-316/316L SS 150# FF PER A182</t>
  </si>
  <si>
    <t>FLANGE BLIND 1/2" X Ø3 1/2" OD T-316/316L SS 150# FF PER A182</t>
  </si>
  <si>
    <t>FLANGE BLIND 24" X Ø32" OD T-304/304L SS 150# FF PER A182</t>
  </si>
  <si>
    <t>FLANGE BLIND 22" X Ø29 1/2" OD T-304/304L SS 150# FF PER A182</t>
  </si>
  <si>
    <t>FLANGE BLIND 20" X Ø27 1/2" OD T-304/304L SS 150# FF PER A182</t>
  </si>
  <si>
    <t>FLANGE BLIND 18" X Ø25" OD T-304/304L SS 150# FF PER A182</t>
  </si>
  <si>
    <t>FLANGE BLIND 16" X Ø23 1/2" OD T-304/304L SS 150# FF PER A182</t>
  </si>
  <si>
    <t>FLANGE BLIND 14" X Ø21" OD T-304/304L SS 150# FF PER A182</t>
  </si>
  <si>
    <t>FLANGE BLIND 12" X Ø19" OD T-304/304L SS 150# FF PER A182</t>
  </si>
  <si>
    <t>FLANGE BLIND 10" X Ø16" OD T-304/304L SS 150# FF PER A182</t>
  </si>
  <si>
    <t>FLANGE BLIND 8" X Ø13 1/2" OD T-304/304L SS 150# FF PER A182</t>
  </si>
  <si>
    <t>FLANGE BLIND 6" X Ø11" OD T-304/304L SS 150# FF PER A182</t>
  </si>
  <si>
    <t>FLANGE BLIND 5" X Ø10" OD T-304/304L SS 150# FF PER A182</t>
  </si>
  <si>
    <t>FLANGE BLIND 4" X Ø9" OD T-304/304L SS 150# FF PER A182</t>
  </si>
  <si>
    <t>FLANGE BLIND 3 1/2" X Ø8 1/2" OD T-304/304L SS 150# FF PER A182</t>
  </si>
  <si>
    <t>FLANGE BLIND 3" X Ø7 1/2" OD T-304/304L SS 150# FF PER A182</t>
  </si>
  <si>
    <t>FLANGE BLIND 2 1/2" X Ø7" OD T-304/304L SS 150# FF PER A182</t>
  </si>
  <si>
    <t>FLANGE BLIND 2" X Ø6" OD T-304/304L SS 150# FF PER A182</t>
  </si>
  <si>
    <t>FLANGE BLIND 1 1/2" X Ø5" OD T-304/304L SS 150# FF PER A182</t>
  </si>
  <si>
    <t>FLANGE BLIND 1 1/4" X Ø4 5/8" OD T-304/304L SS 150# FF PER A182</t>
  </si>
  <si>
    <t>FLANGE BLIND 1" X Ø4 1/4" OD T-304/304L SS 150# FF PER A182</t>
  </si>
  <si>
    <t>FLANGE BLIND 3/4" X Ø3 7/8" OD T-304/304L SS 150# FF PER A182</t>
  </si>
  <si>
    <t>FLANGE BLIND 1/2" X Ø3 1/2" OD T-304/304L SS 150# FF PER A182</t>
  </si>
  <si>
    <t>FLANGE RLD ANG LEG-IN Ø28 1/4" OD X 2" X 2" X 3/8" T-316L SS PER A276 MILL FINISH</t>
  </si>
  <si>
    <t>OR EQUIVALENT TO: ASTM A479, BLIND ANGLE FLANGE TOL: +/- 1/16". TAGGING INFO. SHALL BE CLEARLY LEGIBLE &amp; SHALL INCL. APPLICABLE DATA THAT FOLLOWS: SIZE, TYPE, GRADE, &amp; ASTM NO's. ENVR. ELEMENTS OR HNDLG, CARBON STL. BANDING MUST NOT CONTACT SS MAT'LS.</t>
  </si>
  <si>
    <t>FLANGE RLD ANG LEG-IN Ø28 1/4" OD X 2" X 2" X 3/8" T-316 SS PER A276 MILL FINISH</t>
  </si>
  <si>
    <t>FLANGE RLD ANG LEG-IN Ø28 1/4" OD X 2" X 2" X 3/8" T-304L SS PER A276 MILL FINISH</t>
  </si>
  <si>
    <t>FLANGE RLD ANG LEG-IN Ø28 1/4" OD X 2" X 2" X 3/8" T-304 SS PER A276 MILL FINISH</t>
  </si>
  <si>
    <t>FLANGE RLD ANG LEG-IN Ø28 1/4" OD X 2" X 2" X 1/4" T-316L SS PER A276 MILL FINISH</t>
  </si>
  <si>
    <t>FLANGE RLD ANG LEG-IN Ø28 1/4" OD X 2" X 2" X 1/4" T-316 SS PER A276 MILL FINISH</t>
  </si>
  <si>
    <t>FLANGE RLD ANG LEG-IN Ø28 1/4" OD X 2" X 2" X 1/4" T-304L SS PER A276 MILL FINISH</t>
  </si>
  <si>
    <t>FLANGE RLD ANG LEG-IN Ø28 1/4" OD X 2" X 2" X 1/4" T-304 SS PER A276 MILL FINISH</t>
  </si>
  <si>
    <t>FLANGE RLD ANG LEG-IN Ø28 1/4" OD X 2" X 2" X 3/16" T-316L SS PER A276 MILL FINISH</t>
  </si>
  <si>
    <t>FLANGE RLD ANG LEG-IN Ø28 1/4" OD X 2" X 2" X 3/16" T-316 SS PER A276 MILL FINISH</t>
  </si>
  <si>
    <t>MIDWEST METAL PRODUCTS</t>
  </si>
  <si>
    <t>FLANGE RLD ANG LEG-IN Ø28 1/4" OD X 2" X 2" X 3/16" T-304L SS PER A276 MILL FINISH</t>
  </si>
  <si>
    <t>FLANGE RLD ANG LEG-IN Ø28 1/4" OD X 2" X 2" X 3/16" T-304 SS PER A276 MILL FINISH</t>
  </si>
  <si>
    <t>FLANGE BLIND 24" X Ø32" OD T-316/316L SS 150# RF BLIND PER A182</t>
  </si>
  <si>
    <t>FLANGE BLIND 22" X Ø29 1/2" OD T-316/316L SS 150# RF BLIND PER A182</t>
  </si>
  <si>
    <t>FLANGE BLIND 20" X Ø27 1/2" OD T-316/316L SS 150# RF BLIND PER A182</t>
  </si>
  <si>
    <t>FLANGE BLIND 18" X Ø25" OD T-316/316L SS 150# RF BLIND PER A182</t>
  </si>
  <si>
    <t>FLANGE BLIND 16" X Ø23 1/2" OD T-316/316L SS 150# RF BLIND PER A182</t>
  </si>
  <si>
    <t>FLANGE BLIND 14" X Ø21" OD T-316/316L SS 150# RF BLIND PER A182</t>
  </si>
  <si>
    <t>FLANGE BLIND 12" X Ø19" OD T-316/316L SS 150# RF BLIND PER A182</t>
  </si>
  <si>
    <t>FLANGE BLIND 10" X Ø16" OD T-316/316L SS 150# RF BLIND PER A182</t>
  </si>
  <si>
    <t>FLANGE BLIND 8" X Ø13 1/2" OD T-316/316L SS 150# RF BLIND PER A182</t>
  </si>
  <si>
    <t>CAROLINA FASTENER &amp; FITTING *</t>
  </si>
  <si>
    <t>FLANGE BLIND 6" X Ø11" OD T-316/316L SS 150# RF BLIND PER A182</t>
  </si>
  <si>
    <t>FLANGE BLIND 5" X Ø10" OD T-316/316L SS 150# RF BLIND PER A182</t>
  </si>
  <si>
    <t>FLANGE BLIND 4" X Ø9" OD T-316/316L SS 150# RF BLIND PER A182</t>
  </si>
  <si>
    <t>FLANGE BLIND 3 1/2" X Ø8 1/2" OD T-316/316L SS 150# RF BLIND PER A182</t>
  </si>
  <si>
    <t>FLANGE BLIND 3" X Ø7 1/2" OD T-316/316L SS 150# RF BLIND PER A182</t>
  </si>
  <si>
    <t>FLANGE BLIND 2 1/2" X Ø7" OD T-316/316L SS 150# RF BLIND PER A182</t>
  </si>
  <si>
    <t>FLANGE BLIND 2" X Ø6" OD T-316/316L SS 150# RF BLIND PER A182</t>
  </si>
  <si>
    <t>FLANGE BLIND 1 1/2" X Ø5" OD T-316/316L SS 150# RF BLIND PER A182</t>
  </si>
  <si>
    <t>FLANGE BLIND 1 1/4" X Ø4 5/8" OD T-316/316L SS 150# RF BLIND PER A182</t>
  </si>
  <si>
    <t>FLANGE BLIND 1" X Ø4 1/4" OD T-316/316L SS 150# RF BLIND PER A182</t>
  </si>
  <si>
    <t>FLANGE BLIND 3/4" X Ø3 7/8" OD T-316/316L SS 150# RF BLIND PER A182</t>
  </si>
  <si>
    <t>FLANGE BLIND 1/2" X Ø3 1/2" OD T-316/316L SS 150# RF BLIND PER A182</t>
  </si>
  <si>
    <t>FLANGE BLIND 24" X Ø32" OD T-304/304L SS 150# RF BLIND PER A182</t>
  </si>
  <si>
    <t>FLANGE BLIND 22" X Ø29 1/2" OD T-304/304L SS 150# RF BLIND PER A182</t>
  </si>
  <si>
    <t>FLANGE BLIND 20" X Ø27 1/2" OD T-304/304L SS 150# RF BLIND PER A182</t>
  </si>
  <si>
    <t>FLANGE BLIND 18" X Ø25" OD T-304/304L SS 150# RF BLIND PER A182</t>
  </si>
  <si>
    <t>FLANGE BLIND 16" X Ø23 1/2" OD T-304/304L SS 150# RF BLIND PER A182</t>
  </si>
  <si>
    <t>FLANGE BLIND 14" X Ø21" OD T-304/304L SS 150# RF BLIND PER A182</t>
  </si>
  <si>
    <t>FLANGE BLIND 12" X Ø19" OD T-304/304L SS 150# RF BLIND PER A182</t>
  </si>
  <si>
    <t>FLANGE BLIND 10" X Ø16" OD T-304/304L SS 150# RF BLIND PER A182</t>
  </si>
  <si>
    <t>FLANGE BLIND 8" X Ø13 1/2" OD T-304/304L SS 150# RF BLIND PER A182</t>
  </si>
  <si>
    <t>H M CRAIG METAL &amp; SUPPLY CO</t>
  </si>
  <si>
    <t>FLANGE BLIND 6" X Ø11" OD T-304/304L SS 150# RF BLIND PER A182</t>
  </si>
  <si>
    <t>FLANGE BLIND 5" X Ø10" OD T-304/304L SS 150# RF BLIND PER A182</t>
  </si>
  <si>
    <t>FLANGE BLIND 4" X Ø9" OD T-304/304L SS 150# RF BLIND PER A182</t>
  </si>
  <si>
    <t>FLANGE BLIND 3 1/2" X Ø8 1/2" OD T-304/304L SS 150# RF BLIND PER A182</t>
  </si>
  <si>
    <t>FLANGE BLIND 3" X Ø7 1/2" OD T-304/304L SS 150# RF BLIND PER A182</t>
  </si>
  <si>
    <t>FLANGE BLIND 2 1/2" X Ø7" OD T-304/304L SS 150# RF BLIND PER A182</t>
  </si>
  <si>
    <t>FLANGE BLIND 2" X Ø6" OD T-304/304L SS 150# RF BLIND PER A182</t>
  </si>
  <si>
    <t>FLANGE BLIND 1 1/2" X Ø5" OD T-304/304L SS 150# RF BLIND PER A182</t>
  </si>
  <si>
    <t>FLANGE BLIND 1 1/4" X Ø4 5/8" OD T-304/304L SS 150# RF BLIND PER A182</t>
  </si>
  <si>
    <t>FLANGE BLIND 1" X Ø4 1/4" OD T-304/304L SS 150# RF BLIND PER A182</t>
  </si>
  <si>
    <t>FLANGE BLIND 3/4" X Ø3 7/8" OD T-304/304L SS 150# RF BLIND PER A182</t>
  </si>
  <si>
    <t>FLANGE BLIND 1/2" X Ø3 1/2" OD T-304/304L SS 150# RF BLIND PER A182</t>
  </si>
  <si>
    <t>FLANGE 3" X Ø7 1/2" OD T-316/316L SS 150# RFSO PER ASME A/SA-182</t>
  </si>
  <si>
    <t>HM-CRAIG SUPPLIER I/N: 03-15I6SO-03_x000D_ANSI/ASME B16.5, FLANGE MAT'L TO BE DUAL CERTIFIED. TAGGING INFO. SHALL BE CLEARLY LEGIBLE &amp; SHALL INCL. APPLICABLE DATA THAT FOLLOWS: SIZE, TYPE, GRADE, &amp; ASTM NO's. ENVR. ELEMENTS OR HNDLG, CARBON STL. BANDING MUST NOT CONTACT SS MAT'LS.</t>
  </si>
  <si>
    <t>EXP METAL FLAT 3/4" SWD #13F X 79% O/A T-316L SS PER A240 MILL FINISH</t>
  </si>
  <si>
    <t>FLATTENED BONDED DIAMOND SHAPE. TAGGING INFO. SHALL BE CLEARLY LEGIBLE &amp; SHALL INCL. APPLICABLE DATA THAT FOLLOWS: SIZE, TYPE, GRADE, &amp; ASTM NO's. ENVR. ELEMENTS OR HNDLG, CARBON STL. BANDING MUST NOT CONTACT SS MAT'LS.</t>
  </si>
  <si>
    <t>EXP METAL FLAT 3/4" SWD #9F X 66% O/A T-316L SS PER A240 MILL FINISH</t>
  </si>
  <si>
    <t>EXP METAL FLAT 1/2" SWD #16F X 66% O/A T-316L SS PER A240 MILL FINISH</t>
  </si>
  <si>
    <t>EXP METAL FLAT 1/2" SWD #13F X 56% O/A T-316L SS PER A240 MILL FINISH</t>
  </si>
  <si>
    <t>EXP METAL FLAT 3/4" SWD #13F X 79% O/A T-316 SS PER A240 MILL FINISH</t>
  </si>
  <si>
    <t>EXP METAL FLAT 3/4" SWD #9F X 66% O/A T-316 SS PER A240 MILL FINISH</t>
  </si>
  <si>
    <t>EXP METAL FLAT 1/2" SWD #16F X 66% O/A T-316 SS PER A240 MILL FINISH</t>
  </si>
  <si>
    <t>MCNICHOLS COMPANY*</t>
  </si>
  <si>
    <t>EXP METAL FLAT 1/2" SWD #13F X 56% O/A T-316 SS PER A240 MILL FINISH</t>
  </si>
  <si>
    <t>EXP METAL FLAT 3/4" SWD #13F X 79% O/A T-304L SS PER A240 MILL FINISH</t>
  </si>
  <si>
    <t>EXP METAL FLAT 3/4" SWD #9F X 66% O/A T-304L SS PER A240 MILL FINISH</t>
  </si>
  <si>
    <t>EXP METAL FLAT 1/2" SWD #16F X 66% O/A T-304L SS PER A240 MILL FINISH</t>
  </si>
  <si>
    <t>EXP METAL FLAT 1/2" SWD #13F X 56% O/A T-304L SS PER A240 MILL FINISH</t>
  </si>
  <si>
    <t>EXP METAL FLAT 3/4" SWD #13F X 79% O/A T-304 SS PER A240 MILL FINISH</t>
  </si>
  <si>
    <t>EXP METAL FLAT 3/4" SWD #9F X 66% O/A T-304 SS PER A240 MILL FINISH</t>
  </si>
  <si>
    <t>EXP METAL FLAT 1/2" SWD #16F X 66% O/A T-304 SS PER A240 MILL FINISH</t>
  </si>
  <si>
    <t>EXP METAL FLAT 1/2" SWD #13F X 56% O/A T-304 SS PER A240 MILL FINISH</t>
  </si>
  <si>
    <t>MESH .063" WIRE DIA 4 X 4 X 56% O/A T-316L SS PER A240 MILL FINISH</t>
  </si>
  <si>
    <t>WOVEN SQUARE MESH WEAVE .187" X .187" OPENING SIZE. TAGGING INFO. SHALL BE CLEARLY LEGIBLE &amp; SHALL INCL. APPLICABLE DATA THAT FOLLOWS: SIZE, TYPE, GRADE, &amp; ASTM NO's. ENVR. ELEMENTS OR HNDLG, CARBON STL. BANDING MUST NOT CONTACT SS MAT'LS.</t>
  </si>
  <si>
    <t>MESH .063" WIRE DIA 4 X 4 X 56% O/A T-316 SS PER A240 MILL FINISH</t>
  </si>
  <si>
    <t>MCMASTER-CARR SUPPLY CO*</t>
  </si>
  <si>
    <t>MESH .063" WIRE DIA 4 X 4 X 56% O/A T-304L SS PER A240 MILL FINISH</t>
  </si>
  <si>
    <t>MESH .063" WIRE DIA 4 X 4 X 56% O/A T-304 SS PER A240 MILL FINISH</t>
  </si>
  <si>
    <t>MESH .025" WIRE DIA 10 X 10 X 56% O/A T-316L SS PER A240 MILL FINISH</t>
  </si>
  <si>
    <t>WOVEN SQUARE MESH WEAVE .075" X .075" OPENING SIZE. TAGGING INFO. SHALL BE CLEARLY LEGIBLE &amp; SHALL INCL. APPLICABLE DATA THAT FOLLOWS: SIZE, TYPE, GRADE, &amp; ASTM NO's. ENVR. ELEMENTS OR HNDLG, CARBON STL. BANDING MUST NOT CONTACT SS MAT'LS.</t>
  </si>
  <si>
    <t>MESH .035" WIRE DIA 4 X 4 X 74% O/A T-316L SS PER A240 MILL FINISH</t>
  </si>
  <si>
    <t>WOVEN SQUARE MESH WEAVE .215" X .125" OPENING SIZE. TAGGING INFO. SHALL BE CLEARLY LEGIBLE &amp; SHALL INCL. APPLICABLE DATA THAT FOLLOWS: SIZE, TYPE, GRADE, &amp; ASTM NO's. ENVR. ELEMENTS OR HNDLG, CARBON STL. BANDING MUST NOT CONTACT SS MAT'LS.</t>
  </si>
  <si>
    <t>MESH .032" WIRE DIA 4 X 4 X 76% O/A T-316L SS PER A240 MILL FINISH</t>
  </si>
  <si>
    <t>WOVEN SQUARE MESH WEAVE .218" X .218" OPENING SIZE. TAGGING INFO. SHALL BE CLEARLY LEGIBLE &amp; SHALL INCL. APPLICABLE DATA THAT FOLLOWS: SIZE, TYPE, GRADE, &amp; ASTM NO's. ENVR. ELEMENTS OR HNDLG, CARBON STL. BANDING MUST NOT CONTACT SS MAT'LS.</t>
  </si>
  <si>
    <t>MESH .035" WIRE DIA 6 X 6 X 74% O/A T-316L SS PER A240 MILL FINISH</t>
  </si>
  <si>
    <t>WOVEN SQUARE MESH WEAVE .1317" X .1317" OPENING SIZE. TAGGING INFO. SHALL BE CLEARLY LEGIBLE &amp; SHALL INCL. APPLICABLE DATA THAT FOLLOWS: SIZE, TYPE, GRADE, &amp; ASTM NO's. ENVR. ELEMENTS OR HNDLG, CARBON STL. BANDING MUST NOT CONTACT SS MAT'LS.</t>
  </si>
  <si>
    <t>MESH .025" WIRE DIA 10 X 10 X 56% O/A T-316 SS PER A240 MILL FINISH</t>
  </si>
  <si>
    <t>MESH .035" WIRE DIA 4 X 4 X 74% O/A T-316 SS PER A240 MILL FINISH</t>
  </si>
  <si>
    <t>MESH .032" WIRE DIA 4 X 4 X 76% O/A T-316 SS PER A240 MILL FINISH</t>
  </si>
  <si>
    <t>MESH .035" WIRE DIA 6 X 6 X 74% O/A T-316 SS PER A240 MILL FINISH</t>
  </si>
  <si>
    <t>MESH .025" WIRE DIA 10 X 10 X 56% O/A T-304L SS PER A240 MILL FINISH</t>
  </si>
  <si>
    <t>MESH .035" WIRE DIA 4 X 4 X 74% O/A T-304L SS PER A240 MILL FINISH</t>
  </si>
  <si>
    <t>MESH .032" WIRE DIA 4 X 4 X 76% O/A T-304L SS PER A240 MILL FINISH</t>
  </si>
  <si>
    <t>MESH .035" WIRE DIA 6 X 6 X 74% O/A T-304L SS PER A240 MILL FINISH</t>
  </si>
  <si>
    <t>DO NOT USE, WRONG UOM</t>
  </si>
  <si>
    <t>MESH .035" WIRE DIA 4 X 4 X 74% O/A T-304 SS PER A240 MILL FINISH</t>
  </si>
  <si>
    <t>MESH .032" WIRE DIA 4 X 4 X 76% O/A T-304 SS PER A240 MILL FINISH</t>
  </si>
  <si>
    <t>MESH .035" WIRE DIA 6 X 6 X 74% O/A T-304 SS PER A240 MILL FINISH</t>
  </si>
  <si>
    <t>MESH .035" WIRE DIA 6 X 6 X 63% O/A T-304 SS PER A240 MILL FINISH</t>
  </si>
  <si>
    <t>McMaster 85385T35</t>
  </si>
  <si>
    <t>MESH .025" WIRE DIA 10 X 10 X 56% O/A T-304 SS PER A240 MILL FINISH</t>
  </si>
  <si>
    <t>PLATE CHECKERED 3/8" T-316L SS PER A240 MILL FINISH</t>
  </si>
  <si>
    <t>TAGGING INFO. SHALL BE CLEARLY LEGIBLE &amp; SHALL INCL. APPLICABLE DATA THAT FOLLOWS: SIZE, TYPE, GRADE, &amp; ASTM NO's. ENVR. ELEMENTS OR HNDLG, CARBON STL. BANDING MUST NOT CONTACT SS MAT'LS.</t>
  </si>
  <si>
    <t>PLATE CHECKERED 1/4" T-316L SS PER A240 MILL FINISH</t>
  </si>
  <si>
    <t>PLATE CHECKERED 3/16" T-316L SS PER A240 MILL FINISH</t>
  </si>
  <si>
    <t>PLATE CHECKERED 1/8" T-316L SS PER A240 MILL FINISH</t>
  </si>
  <si>
    <t>PLATE CHECKERED 3/8" T-316 SS PER A240 MILL FINISH</t>
  </si>
  <si>
    <t>PLATE CHECKERED 1/4" T-316 SS PER A240 MILL FINISH</t>
  </si>
  <si>
    <t>PLATE CHECKERED 3/16" T-316 SS PER A240 MILL FINISH</t>
  </si>
  <si>
    <t>PLATE CHECKERED 1/8" T-316 SS PER A240 MILL FINISH</t>
  </si>
  <si>
    <t>PLATE CHECKERED 3/8" T-304L SS PER A240 MILL FINISH</t>
  </si>
  <si>
    <t>PLATE CHECKERED 1/4" T-304L SS PER A240 MILL FINISH</t>
  </si>
  <si>
    <t>PLATE CHECKERED 3/16" T-304L SS PER A240 MILL FINISH</t>
  </si>
  <si>
    <t>PLATE CHECKERED 1/8" T-304L SS PER A240 MILL FINISH</t>
  </si>
  <si>
    <t>PLATE CHECKERED 3/8" T-304 SS PER A240 MILL FINISH</t>
  </si>
  <si>
    <t>PLATE CHECKERED 1/4" T-304 SS PER A240 MILL FINISH</t>
  </si>
  <si>
    <t>PLATE CHECKERED 3/16" T-304 SS PER A240 MILL FINISH</t>
  </si>
  <si>
    <t>PLATE CHECKERED 1/8" T-304 SS PER A240 MILL FINISH</t>
  </si>
  <si>
    <t>SHEET PERFORATED .120" 11GA X  Ø1/2" HOLES X 48% O/A T-316L SS PER A240 MILL FINISH</t>
  </si>
  <si>
    <t>ROUND PERFORATIONS, STAGGERED. TAGGING INFO. SHALL BE CLEARLY LEGIBLE &amp; SHALL INCL. APPLICABLE DATA THAT FOLLOWS: SIZE, TYPE, GRADE, &amp; ASTM NO's. ENVR. ELEMENTS OR HNDLG, CARBON STL. BANDING MUST NOT CONTACT SS MAT'LS.</t>
  </si>
  <si>
    <t>SHEET PERFORATED .120" 11GA X  Ø3/8" HOLES X 52% O/A T-316L SS PER A240 MILL FINISH</t>
  </si>
  <si>
    <t>SHEET PERFORATED .120" 11GA X  Ø5/16" HOLES X 46% O/A T-316L SS PER A240 MILL FINISH</t>
  </si>
  <si>
    <t>SHEET PERFORATED .120" 11GA X  Ø1/4" HOLES X 58% O/A T-316L SS PER A240 MILL FINISH</t>
  </si>
  <si>
    <t>SHEET PERFORATED .075" 14GA X  Ø1/4" HOLES X 58% O/A T-316L SS PER A240 MILL FINISH</t>
  </si>
  <si>
    <t>SHEET PERFORATED .120" 11GA X  Ø1/2" HOLES X 48% O/A T-316 SS PER A240 MILL FINISH</t>
  </si>
  <si>
    <t>SHEET PERFORATED .120" 11GA X  Ø3/8" HOLES X 52% O/A T-316 SS PER A240 MILL FINISH</t>
  </si>
  <si>
    <t>SHEET PERFORATED .120" 11GA X  Ø5/16" HOLES X 46% O/A T-316 SS PER A240 MILL FINISH</t>
  </si>
  <si>
    <t>SHEET PERFORATED .120" 11GA X  Ø1/4" HOLES X 58% O/A T-316 SS PER A240 MILL FINISH</t>
  </si>
  <si>
    <t>SHEET PERFORATED .075" 14GA X  Ø1/4" HOLES X 58% O/A T-316 SS PER A240 MILL FINISH</t>
  </si>
  <si>
    <t>SHEET PERFORATED .120" 11GA X  Ø1/2" HOLES X 48% O/A T-304L SS PER A240 MILL FINISH</t>
  </si>
  <si>
    <t>SHEET PERFORATED .120" 11GA X  Ø3/8" HOLES X 52% O/A T-304L SS PER A240 MILL FINISH</t>
  </si>
  <si>
    <t>SHEET PERFORATED .120" 11GA X  Ø5/16" HOLES X 46% O/A T-304L SS PER A240 MILL FINISH</t>
  </si>
  <si>
    <t>SHEET PERFORATED .120" 11GA X  Ø1/4" HOLES X 58% O/A T-304L SS PER A240 MILL FINISH</t>
  </si>
  <si>
    <t>SHEET PERFORATED .075" 14GA X  Ø1/4" HOLES X 58% O/A T-304L SS PER A240 MILL FINISH</t>
  </si>
  <si>
    <t>SHEET PERFORATED .120" 11GA X  Ø1/2" HOLES X 48% O/A T-304 SS PER A240 MILL FINISH</t>
  </si>
  <si>
    <t>SHEET PERFORATED .120" 11GA X  Ø3/8" HOLES X 52% O/A T-304 SS PER A240 MILL FINISH</t>
  </si>
  <si>
    <t>SHEET PERFORATED .120" 11GA X  Ø5/16" HOLES X 46% O/A T-304 SS PER A240 MILL FINISH</t>
  </si>
  <si>
    <t>SHEET PERFORATED .120" 11GA X  Ø1/4" HOLES X 58% O/A T-304 SS PER A240 MILL FINISH</t>
  </si>
  <si>
    <t>SHEET PERFORATED .075" 14GA X  Ø1/4" HOLES X 58% O/A T-304 SS PER A240 MILL FINISH</t>
  </si>
  <si>
    <t>SHEET PERFORATED .120" 11GA X  Ø1/4" HOLES X 40% O/A T-304 SS PER A240 MILL FINISH</t>
  </si>
  <si>
    <t>SHEET 0.012" 30GA T-304 SS PER A240 2B FINISH</t>
  </si>
  <si>
    <t>YU-TING INDUSTRIAL CO., LTD</t>
  </si>
  <si>
    <t>SHEET 0.187" 7GA T-316L SS PER A240 2B FINISH</t>
  </si>
  <si>
    <t>SHEET 0.135" 10GA T-316L SS PER A240 2B FINISH</t>
  </si>
  <si>
    <t>SHEET 0.105" 12GA T-316L SS PER A240 2B FINISH</t>
  </si>
  <si>
    <t>JIANGSU LIANKUN STAINLESS STEEL</t>
  </si>
  <si>
    <t>SHEET 0.017" 26GA T-316L SS PER A240 2B FINISH</t>
  </si>
  <si>
    <t>SHEET 0.187" 7GA T-316 SS PER A240 2B FINISH</t>
  </si>
  <si>
    <t>SHEET 0.135" 10GA T-316 SS PER A240 2B FINISH</t>
  </si>
  <si>
    <t>SHEET 0.120" 11GA T-316 SS PER A240 2B FINISH</t>
  </si>
  <si>
    <t>SHEET 0.105" 12GA T-316 SS PER A240 2B FINISH</t>
  </si>
  <si>
    <t>SHEET 0.075" 14GA T-316 SS PER A240 2B FINISH</t>
  </si>
  <si>
    <t>SHEET 0.059" 16GA T-316 SS PER A240 2B FINISH</t>
  </si>
  <si>
    <t>SHEET 0.048" 18GA T-316 SS PER A240 2B FINISH</t>
  </si>
  <si>
    <t>SHEET 0.035" 20GA T-316 SS PER A240 2B FINISH</t>
  </si>
  <si>
    <t>SHEET 0.029" 22GA T-316 SS PER A240 2B FINISH</t>
  </si>
  <si>
    <t>SHEET 0.023" 24GA T-316 SS PER A240 2B FINISH</t>
  </si>
  <si>
    <t>SHEET 0.017" 26GA T-316 SS PER A240 2B FINISH</t>
  </si>
  <si>
    <t>SHEET 0.187" 7GA T-304L SS PER A240 2B FINISH</t>
  </si>
  <si>
    <t>SHEET 0.135" 10GA T-304L SS PER A240 2B FINISH</t>
  </si>
  <si>
    <t>SHEET 0.105" 12GA T-304L SS PER A240 2B FINISH</t>
  </si>
  <si>
    <t>SHEET 0.023" 24GA T-304L SS PER A240 2B FINISH</t>
  </si>
  <si>
    <t>SHEET 0.187" 7GA T-304 SS PER A240 2B FINISH</t>
  </si>
  <si>
    <t>SHEET 0.135" 10GA T-304 SS PER A240 2B FINISH</t>
  </si>
  <si>
    <t>SHEET 0.105" 12GA T-304 SS PER A240 2B FINISH</t>
  </si>
  <si>
    <t>SHEET 0.017" 26GA T-304 SS PER A240 2B FINISH</t>
  </si>
  <si>
    <t>SHEET 0.01488" 28GA T-304 SS PER A240 2B FINISH</t>
  </si>
  <si>
    <t>PLATE 1 1/2" T-316 SS PER A240 2B FINISH</t>
  </si>
  <si>
    <t>PLATE 2" T-316 SS PER A240 2B FINISH</t>
  </si>
  <si>
    <t>PLATE 7/16" T-316L SS PER A240 2B FINISH</t>
  </si>
  <si>
    <t>PLATE 7/16" T-316 SS PER A240 2B FINISH</t>
  </si>
  <si>
    <t>PLATE 7/16" T-304L SS PER A240 2B FINISH</t>
  </si>
  <si>
    <t>PLATE 7/16" T-304 SS PER A240 2B FINISH</t>
  </si>
  <si>
    <t>ALRO STEEL CORP</t>
  </si>
  <si>
    <t>PLATE 1/8" T-316L SS PER A240 2B FINISH</t>
  </si>
  <si>
    <t>PLATE 1 1/4" T-316 SS PER A240 2B FINISH</t>
  </si>
  <si>
    <t>PLATE 1 1/8" T-316 SS PER A240 2B FINISH</t>
  </si>
  <si>
    <t>PLATE 1" T-316 SS PER A240 2B FINISH</t>
  </si>
  <si>
    <t>PLATE 3/4" T-316 SS PER A240 2B FINISH</t>
  </si>
  <si>
    <t>PLATE 5/8" T-316 SS PER A240 2B FINISH</t>
  </si>
  <si>
    <t>PLATE 1/2" T-316 SS PER A240 2B FINISH</t>
  </si>
  <si>
    <t>PLATE 3/8" T-316 SS PER A240 2B FINISH</t>
  </si>
  <si>
    <t>PLATE 5/16" T-316 SS PER A240 2B FINISH</t>
  </si>
  <si>
    <t>PLATE 1/4" T-316 SS PER A240 2B FINISH</t>
  </si>
  <si>
    <t>PLATE 3/16" T-316 SS PER A240 2B FINISH</t>
  </si>
  <si>
    <t>PLATE 1/8" T-316 SS PER A240 2B FINISH</t>
  </si>
  <si>
    <t>PLATE 1/8" T-304L SS PER A240 2B FINISH</t>
  </si>
  <si>
    <t>PLATE 1/8" T-304 SS PER A240 2B FINISH</t>
  </si>
  <si>
    <t>SHEET 0.023" 24GA (.6071mm) X 3.80" (96.52mm) X 117" (2971.8mm), T-316L SS PER A240 2B FINISH</t>
  </si>
  <si>
    <t>SHEET 0.075" 14GA (1.8974mm) X 2.54" (64.52mm) X 56.375" (1431.93mm), T-316L SS PER A240 2B FINISH</t>
  </si>
  <si>
    <t>304L (BSF) SHEET 0.075" 14GA (1.8974mm) X 2.26" (57.4mm) X 54.1875" (1376.36mm), T-304L SS PER A240 2B FINISH</t>
  </si>
  <si>
    <t>304L (TFCAF) SHEET 0.075" 14GA (1.8974mm) X 2.54" (64.52mm) X 56.375" (1431.93mm), T-304L SS PER A240 2B FINISH</t>
  </si>
  <si>
    <t>304L (SCF) SHEET 0.023" 24GA (.6071mm) X 3.80" (96.52mm) X 117" (2971.8mm), T-304L SS PER A240 2B FINISH</t>
  </si>
  <si>
    <t>304L (24PPP) SHEET 0.023" 24GA (.6071mm) X 54.1875" (1376.36mm) X 117" (2971.8mm), T-304L SS PER A240 2B FINISH</t>
  </si>
  <si>
    <t>304L (24PPP) SHEET 0.020" (.5063mm) X 54.1875" (1376.36mm) X 117" (2971.8mm), T-304L SS PER A240 2B FINISH</t>
  </si>
  <si>
    <t>316L (BSF) SHEET 0.075" 14GA (1.8974mm) X 2.26" (57.4mm) X 54.1875" (1376.36mm), T-316L SS PER A240 2B FINISH</t>
  </si>
  <si>
    <t>316L (TFCAF) SHEET 0.075" 14GA (1.8974mm) X 2.824" (71.3mm) X 56.375" (1431.93mm), T-316L SS PER A240 2B FINISH</t>
  </si>
  <si>
    <t>316L (SCF) SHEET 0.023" 24GA (.6071mm) X 4" (101.6mm) X 117" (2971.8mm), T-316L SS PER A240 2B FINISH</t>
  </si>
  <si>
    <t>316L (24PPP) SHEET 0.023" 24GA (.6071mm) X 54.1875" (1376.36mm) X 117" (2971.8mm), T-316L SS PER A240 2B FINISH</t>
  </si>
  <si>
    <t>316L (26PPP) SHEET 0.020" (.5063mm) X 54.1875" (1376.36mm) X 117" (2971.8mm), T-316L SS PER A240 2B FINISH</t>
  </si>
  <si>
    <t>SHEET 0.075" 14GA (1.8974mm) X 2.26" (57.4mm) X 54.1875" (1376.36mm), T-304 SS PER A240 2B FINISH</t>
  </si>
  <si>
    <t>SHEET 0.075" 14GA (1.8974mm) X 2.54" (64.52mm) X 56.375" (1431.93mm), T-304 SS PER A240 2B FINISH</t>
  </si>
  <si>
    <t>SHEET 0.023" 24GA (.6071mm) X 3.80" (96.52mm) X 117" (2971.8mm), T-304 SS PER A240 2B FINISH</t>
  </si>
  <si>
    <t>SHEET 0.023" 24GA (.6071mm) X 54.1875" (1376.36mm) X 117" (2971.8mm), T-304 SS PER A240 2B FINISH</t>
  </si>
  <si>
    <t>SHEET 0.020" (.5063mm) X 54.1875" (1376.36mm) X 117" (2971.8mm), T-304 SS PER A240 2B FINISH</t>
  </si>
  <si>
    <t>SHEET 0.075" 14GA (1.8974mm) X 2.26" (57.4mm) X 54.1875" (1376.36mm), T-316 SS PER A240 2B FINISH</t>
  </si>
  <si>
    <t>SHEET 0.075" 14GA (1.8974mm) X 2.824" (71.3mm) X 56.375" (1431.93mm), T-316 SS PER A240 2B FINISH</t>
  </si>
  <si>
    <t>SHEET 0.023" 24GA (.6071mm) X 4" (101.6mm) X 117" (2971.8mm), T-316 SS PER A240 2B FINISH</t>
  </si>
  <si>
    <t>SHEET 0.023" 24GA (.6071mm) X 54.1875" (1376.36mm) X 117" (2971.8mm), T-316 SS PER A240 2B FINISH</t>
  </si>
  <si>
    <t>SHEET 0.020" (.5063mm) X 54.1875" (1376.36mm) X 117" (2971.8mm), T-316 SS PER A240 2B FINISH</t>
  </si>
  <si>
    <t>SHEET 0.023" 24GA (.6071mm) X 60" (1524mm) X 117" (2971.8mm), T-304 SS PER A240 2B FINISH</t>
  </si>
  <si>
    <t>SHEET 0.023" 24GA (.6071mm) X 60" (1524mm) X 117" (2971.8mm), T-304L SS PER A240 2B FINISH</t>
  </si>
  <si>
    <t>SHEET 0.023" 24GA (.6071mm) X 60" (1524mm) X 117" (2971.8mm), T-316 SS PER A240 2B FINISH</t>
  </si>
  <si>
    <t>SHEET 0.023" 24GA (.6071mm) X 60" (1524mm) X 117" (2971.8mm), T-316L SS PER A240 2B FINISH</t>
  </si>
  <si>
    <t>KEYSTOCK STD 3/4" X 1 3/16" T-316L SS PER A276 MILL FINISH ANSI B17.1 CL 1 FIT</t>
  </si>
  <si>
    <t>OR EQUIVALENT TO: ASTM A479. TAGGING INFO. SHALL BE CLEARLY LEGIBLE &amp; SHALL INCL. APPLICABLE DATA THAT FOLLOWS: SIZE, TYPE, GRADE, &amp; ASTM NO's. ENVR. ELEMENTS OR HNDLG, CARBON STL. BANDING MUST NOT CONTACT SS MAT'LS.</t>
  </si>
  <si>
    <t>KEYSTOCK STD 3/4" X 1 3/16" T-316 SS PER A276 MILL FINISH ANSI B17.1 CL 1 FIT</t>
  </si>
  <si>
    <t>KEYSTOCK STD 3/4" X 1 3/16" T-304L SS PER A276 MILL FINISH ANSI B17.1 CL 1 FIT</t>
  </si>
  <si>
    <t>KEYSTOCK STD 3/4" X 1 3/16" T-304 SS PER A276 MILL FINISH ANSI B17.1 CL 1 FIT</t>
  </si>
  <si>
    <t>KEYSTOCK STD 3/4" X 1/2" T-316L SS PER A276 MILL FINISH ANSI B17.1 CL 1 FIT</t>
  </si>
  <si>
    <t>KEYSTOCK STD 3/4" X 1/2" T-316 SS PER A276 MILL FINISH ANSI B17.1 CL 1 FIT</t>
  </si>
  <si>
    <t>KEYSTOCK STD 3/4" X 1/2" T-304L SS PER A276 MILL FINISH ANSI B17.1 CL 1 FIT</t>
  </si>
  <si>
    <t>KEYSTOCK STD 3/4" X 1/2" T-304 SS PER A276 MILL FINISH ANSI B17.1 CL 1 FIT</t>
  </si>
  <si>
    <t>KEYSTOCK STD 3/8" X 3/8" T-316L SS PER A276 MILL FINISH ANSI B17.1 CL 1 FIT</t>
  </si>
  <si>
    <t>KEYSTOCK STD 3/8" X 3/8" T-316 SS PER A276 MILL FINISH ANSI B17.1 CL 1 FIT</t>
  </si>
  <si>
    <t>KEYSTOCK STD 3/8" X 3/8" T-304L SS PER A276 MILL FINISH ANSI B17.1 CL 1 FIT</t>
  </si>
  <si>
    <t>KEYSTOCK STD 3/8" X 3/8" T-304 SS PER A276 MILL FINISH ANSI B17.1 CL 1 FIT</t>
  </si>
  <si>
    <t>KEYSTOCK STD 1/4" X 1/4" T-316L SS PER A276 MILL FINISH ANSI B17.1 CL 1 FIT</t>
  </si>
  <si>
    <t>KEYSTOCK STD 1/4" X 1/4" T-316 SS PER A276 MILL FINISH ANSI B17.1 CL 1 FIT</t>
  </si>
  <si>
    <t>KEYSTOCK STD 1/4" X 1/4" T-304L SS PER A276 MILL FINISH ANSI B17.1 CL 1 FIT</t>
  </si>
  <si>
    <t>KEYSTOCK STD 1/4" X 1/4" T-304 SS PER A276 MILL FINISH ANSI B17.1 CL 1 FIT</t>
  </si>
  <si>
    <t>KEYSTOCK STD 2" X 2" T-316L SS PER A276 MILL FINISH ANSI B17.1 CL 1 FIT</t>
  </si>
  <si>
    <t>KEYSTOCK STD 1 3/4" X 1 3/4" T-316L SS PER A276 MILL FINISH ANSI B17.1 CL 1 FIT</t>
  </si>
  <si>
    <t>KEYSTOCK STD 1 1/2" X 1 1/2" T-316L SS PER A276 MILL FINISH ANSI B17.1 CL 1 FIT</t>
  </si>
  <si>
    <t>KEYSTOCK STD 1 1/4" X 1 1/4" T-316L SS PER A276 MILL FINISH ANSI B17.1 CL 1 FIT</t>
  </si>
  <si>
    <t>KEYSTOCK STD 1" X 1" T-316L SS PER A276 MILL FINISH ANSI B17.1 CL 1 FIT</t>
  </si>
  <si>
    <t>KEYSTOCK STD 7/8" X 7/8" T-316L SS PER A276 MILL FINISH ANSI B17.1 CL 1 FIT</t>
  </si>
  <si>
    <t>KEYSTOCK STD 2" X 2" T-316 SS PER A276 MILL FINISH ANSI B17.1 CL 1 FIT</t>
  </si>
  <si>
    <t>KEYSTOCK STD 1 3/4" X 1 3/4" T-316 SS PER A276 MILL FINISH ANSI B17.1 CL 1 FIT</t>
  </si>
  <si>
    <t>KEYSTOCK STD 1 1/2" X 1 1/2" T-316 SS PER A276 MILL FINISH ANSI B17.1 CL 1 FIT</t>
  </si>
  <si>
    <t>KEYSTOCK STD 1 1/4" X 1 1/4" T-316 SS PER A276 MILL FINISH ANSI B17.1 CL 1 FIT</t>
  </si>
  <si>
    <t>KEYSTOCK STD 1" X 1" T-316 SS PER A276 MILL FINISH ANSI B17.1 CL 1 FIT</t>
  </si>
  <si>
    <t>KEYSTOCK STD 7/8" X 7/8" T-316 SS PER A276 MILL FINISH ANSI B17.1 CL 1 FIT</t>
  </si>
  <si>
    <t>KEYSTOCK STD 2" X 2" T-304L SS PER A276 MILL FINISH ANSI B17.1 CL 1 FIT</t>
  </si>
  <si>
    <t>KEYSTOCK STD 1 3/4" X 1 3/4" T-304L SS PER A276 MILL FINISH ANSI B17.1 CL 1 FIT</t>
  </si>
  <si>
    <t>KEYSTOCK STD 1 1/2" X 1 1/2" T-304L SS PER A276 MILL FINISH ANSI B17.1 CL 1 FIT</t>
  </si>
  <si>
    <t>KEYSTOCK STD 1 1/4" X 1 1/4" T-304L SS PER A276 MILL FINISH ANSI B17.1 CL 1 FIT</t>
  </si>
  <si>
    <t>KEYSTOCK STD 1" X 1" T-304L SS PER A276 MILL FINISH ANSI B17.1 CL 1 FIT</t>
  </si>
  <si>
    <t>KEYSTOCK STD 7/8" X 7/8" T-304L SS PER A276 MILL FINISH ANSI B17.1 CL 1 FIT</t>
  </si>
  <si>
    <t>KEYSTOCK STD 2" X 2" T-304 SS PER A276 MILL FINISH ANSI B17.1 CL 1 FIT</t>
  </si>
  <si>
    <t>KEYSTOCK STD 1 3/4" X 1 3/4" T-304 SS PER A276 MILL FINISH ANSI B17.1 CL 1 FIT</t>
  </si>
  <si>
    <t>KEYSTOCK STD 1 1/2" X 1 1/2" T-304 SS PER A276 MILL FINISH ANSI B17.1 CL 1 FIT</t>
  </si>
  <si>
    <t>KEYSTOCK STD 1 1/4" X 1 1/4" T-304 SS PER A276 MILL FINISH ANSI B17.1 CL 1 FIT</t>
  </si>
  <si>
    <t>KEYSTOCK STD 1" X 1" T-304 SS PER A276 MILL FINISH ANSI B17.1 CL 1 FIT</t>
  </si>
  <si>
    <t>KEYSTOCK STD 7/8" X 7/8" T-304 SS PER A276 MILL FINISH ANSI B17.1 CL 1 FIT</t>
  </si>
  <si>
    <t>KEYSTOCK STD 3/4" X 1" T-316L SS PER A276 MILL FINISH ANSI B17.1 CL 1 FIT</t>
  </si>
  <si>
    <t>KEYSTOCK STD 5/8" X 1" T-316L SS PER A276 MILL FINISH ANSI B17.1 CL 1 FIT</t>
  </si>
  <si>
    <t>KEYSTOCK STD 3/4" X 3/4" T-316L SS PER A276 MILL FINISH ANSI B17.1 CL 1 FIT</t>
  </si>
  <si>
    <t>KEYSTOCK STD 5/8" X 5/8" T-316L SS PER A276 MILL FINISH ANSI B17.1 CL 1 FIT</t>
  </si>
  <si>
    <t>KEYSTOCK STD 1/2" X 1/2" T-316L SS PER A276 MILL FINISH ANSI B17.1 CL 1 FIT</t>
  </si>
  <si>
    <t>KEYSTOCK STD 5/16" X 5/16" T-316L SS PER A276 MILL FINISH ANSI B17.1 CL 1 FIT</t>
  </si>
  <si>
    <t>KEYSTOCK STD 3/4" X 1" T-316 SS PER A276 MILL FINISH ANSI B17.1 CL 1 FIT</t>
  </si>
  <si>
    <t>KEYSTOCK STD 5/8" X 1" T-316 SS PER A276 MILL FINISH ANSI B17.1 CL 1 FIT</t>
  </si>
  <si>
    <t>KEYSTOCK STD 3/4" X 3/4" T-316 SS PER A276 MILL FINISH ANSI B17.1 CL 1 FIT</t>
  </si>
  <si>
    <t>KEYSTOCK STD 5/8" X 5/8" T-316 SS PER A276 MILL FINISH ANSI B17.1 CL 1 FIT</t>
  </si>
  <si>
    <t>KEYSTOCK STD 1/2" X 1/2" T-316 SS PER A276 MILL FINISH ANSI B17.1 CL 1 FIT</t>
  </si>
  <si>
    <t>KEYSTOCK STD 5/16" X 5/16" T-316 SS PER A276 MILL FINISH ANSI B17.1 CL 1 FIT</t>
  </si>
  <si>
    <t>KEYSTOCK STD 3/4" X 1" T-304L SS PER A276 MILL FINISH ANSI B17.1 CL 1 FIT</t>
  </si>
  <si>
    <t>KEYSTOCK STD 5/8" X 1" T-304L SS PER A276 MILL FINISH ANSI B17.1 CL 1 FIT</t>
  </si>
  <si>
    <t>KEYSTOCK STD 3/4" X 3/4" T-304L SS PER A276 MILL FINISH ANSI B17.1 CL 1 FIT</t>
  </si>
  <si>
    <t>KEYSTOCK STD 5/8" X 5/8" T-304L SS PER A276 MILL FINISH ANSI B17.1 CL 1 FIT</t>
  </si>
  <si>
    <t>KEYSTOCK STD 1/2" X 1/2" T-304L SS PER A276 MILL FINISH ANSI B17.1 CL 1 FIT</t>
  </si>
  <si>
    <t>KEYSTOCK STD 5/16" X 5/16" T-304L SS PER A276 MILL FINISH ANSI B17.1 CL 1 FIT</t>
  </si>
  <si>
    <t>KEYSTOCK STD 3/4" X 1" T-304 SS PER A276 MILL FINISH ANSI B17.1 CL 1 FIT</t>
  </si>
  <si>
    <t>KEYSTOCK STD 5/8" X 1" T-304 SS PER A276 MILL FINISH ANSI B17.1 CL 1 FIT</t>
  </si>
  <si>
    <t>KEYSTOCK STD 3/4" X 3/4" T-304 SS PER A276 MILL FINISH ANSI B17.1 CL 1 FIT</t>
  </si>
  <si>
    <t>KEYSTOCK STD 5/8" X 5/8" T-304 SS PER A276 MILL FINISH ANSI B17.1 CL 1 FIT</t>
  </si>
  <si>
    <t>KEYSTOCK STD 1/2" X 1/2" T-304 SS PER A276 MILL FINISH ANSI B17.1 CL 1 FIT</t>
  </si>
  <si>
    <t>KEYSTOCK STD 5/16" X 5/16" T-304 SS PER A276 MILL FINISH ANSI B17.1 CL 1 FIT</t>
  </si>
  <si>
    <t>KEYSTOCK STD 3/16" X 3/16" T-316L SS PER A276 MILL FINISH ANSI B17.1 CL 1 FIT</t>
  </si>
  <si>
    <t>KEYSTOCK STD 1/8" X 1/8" T-316L SS PER A276 MILL FINISH ANSI B17.1 CL 1 FIT</t>
  </si>
  <si>
    <t>KEYSTOCK STD 3/16" X 3/16" T-316 SS PER A276 MILL FINISH ANSI B17.1 CL 1 FIT</t>
  </si>
  <si>
    <t>KEYSTOCK STD 1/8" X 1/8" T-316 SS PER A276 MILL FINISH ANSI B17.1 CL 1 FIT</t>
  </si>
  <si>
    <t>KEYSTOCK STD 3/16" X 3/16" T-304L SS PER A276 MILL FINISH ANSI B17.1 CL 1 FIT</t>
  </si>
  <si>
    <t>KEYSTOCK STD 1/8" X 1/8" T-304L SS PER A276 MILL FINISH ANSI B17.1 CL 1 FIT</t>
  </si>
  <si>
    <t>KEYSTOCK STD 3/16" X 3/16" T-304 SS PER A276 MILL FINISH ANSI B17.1 CL 1 FIT</t>
  </si>
  <si>
    <t>KEYSTOCK STD 1/8" X 1/8" T-304 SS PER A276 MILL FINISH ANSI B17.1 CL 1 FIT</t>
  </si>
  <si>
    <t>BAR FLAT 1/2" X 1/8" T-304L SS PER A276 MILL FINISH</t>
  </si>
  <si>
    <t>BAR FLAT 3/4" X 1/8" T-304L SS PER A276 MILL FINISH</t>
  </si>
  <si>
    <t>BAR FLAT 1 1/2" X 3/8" T-304L SS PER A276 MILL FINISH</t>
  </si>
  <si>
    <t>BAR FLAT 4" X 3/4" T-304L SS PER A276 MILL FINISH</t>
  </si>
  <si>
    <t>BAR FLAT 4" X 3/4" T-316L SS PER A276 MILL FINISH</t>
  </si>
  <si>
    <t>BAR FLAT 1" X 3/4" T-304L SS PER A276 MILL FINISH</t>
  </si>
  <si>
    <t>BAR FLAT 6" X 1/2" T-316L SS PER A276 MILL FINISH</t>
  </si>
  <si>
    <t>BAR FLAT 5" X 1/2" T-316L SS PER A276 MILL FINISH</t>
  </si>
  <si>
    <t>BAR FLAT 4" X 1/2" T-316L SS PER A276 MILL FINISH</t>
  </si>
  <si>
    <t>BAR FLAT 3" X 1/2" T-316L SS PER A276 MILL FINISH</t>
  </si>
  <si>
    <t>BAR FLAT 2" X 1/2" T-316L SS PER A276 MILL FINISH</t>
  </si>
  <si>
    <t>BAR FLAT 1" X 1/2" T-316L SS PER A276 MILL FINISH</t>
  </si>
  <si>
    <t>BAR FLAT 6" X 1/2" T-316 SS PER A276 MILL FINISH</t>
  </si>
  <si>
    <t>BAR FLAT 5" X 1/2" T-316 SS PER A276 MILL FINISH</t>
  </si>
  <si>
    <t>BAR FLAT 4" X 1/2" T-316 SS PER A276 MILL FINISH</t>
  </si>
  <si>
    <t>BAR FLAT 3" X 1/2" T-316 SS PER A276 MILL FINISH</t>
  </si>
  <si>
    <t>BAR FLAT 2" X 1/2" T-316 SS PER A276 MILL FINISH</t>
  </si>
  <si>
    <t>BAR FLAT 1" X 1/2" T-316 SS PER A276 MILL FINISH</t>
  </si>
  <si>
    <t>BAR FLAT 6" X 1/2" T-304L SS PER A276 MILL FINISH</t>
  </si>
  <si>
    <t>BAR FLAT 5" X 1/2" T-304L SS PER A276 MILL FINISH</t>
  </si>
  <si>
    <t>BAR FLAT 4" X 1/2" T-304L SS PER A276 MILL FINISH</t>
  </si>
  <si>
    <t>BAR FLAT 3" X 1/2" T-304L SS PER A276 MILL FINISH</t>
  </si>
  <si>
    <t>BAR FLAT 2" X 1/2" T-304L SS PER A276 MILL FINISH</t>
  </si>
  <si>
    <t>BAR FLAT 1" X 1/2" T-304L SS PER A276 MILL FINISH</t>
  </si>
  <si>
    <t>BAR FLAT 6" X 1/2" T-304 SS PER A276 MILL FINISH</t>
  </si>
  <si>
    <t>BAR FLAT 5" X 1/2" T-304 SS PER A276 MILL FINISH</t>
  </si>
  <si>
    <t>BAR FLAT 4" X 1/2" T-304 SS PER A276 MILL FINISH</t>
  </si>
  <si>
    <t>BAR FLAT 3" X 1/2" T-304 SS PER A276 MILL FINISH</t>
  </si>
  <si>
    <t>BAR FLAT 2" X 1/2" T-304 SS PER A276 MILL FINISH</t>
  </si>
  <si>
    <t>BAR FLAT 1" X 1/2" T-304 SS PER A276 MILL FINISH</t>
  </si>
  <si>
    <t>BAR FLAT 6" X 3/8" T-316L SS PER A276 MILL FINISH</t>
  </si>
  <si>
    <t>BAR FLAT 4" X 3/8" T-316L SS PER A276 MILL FINISH</t>
  </si>
  <si>
    <t>BAR FLAT 3" X 3/8" T-316L SS PER A276 MILL FINISH</t>
  </si>
  <si>
    <t>BAR FLAT 2" X 3/8" T-316L SS PER A276 MILL FINISH</t>
  </si>
  <si>
    <t>BAR FLAT 1" X 3/8" T-316L SS PER A276 MILL FINISH</t>
  </si>
  <si>
    <t>BAR FLAT 6" X 3/8" T-316 SS PER A276 MILL FINISH</t>
  </si>
  <si>
    <t>BAR FLAT 4" X 3/8" T-316 SS PER A276 MILL FINISH</t>
  </si>
  <si>
    <t>BAR FLAT 3" X 3/8" T-316 SS PER A276 MILL FINISH</t>
  </si>
  <si>
    <t>BAR FLAT 2" X 3/8" T-316 SS PER A276 MILL FINISH</t>
  </si>
  <si>
    <t>BAR FLAT 1" X 3/8" T-316 SS PER A276 MILL FINISH</t>
  </si>
  <si>
    <t>BAR FLAT 6" X 3/8" T-304L SS PER A276 MILL FINISH</t>
  </si>
  <si>
    <t>BAR FLAT 4" X 3/8" T-304L SS PER A276 MILL FINISH</t>
  </si>
  <si>
    <t>BAR FLAT 3" X 3/8" T-304L SS PER A276 MILL FINISH</t>
  </si>
  <si>
    <t>BAR FLAT 2" X 3/8" T-304L SS PER A276 MILL FINISH</t>
  </si>
  <si>
    <t>BAR FLAT 1" X 3/8" T-304L SS PER A276 MILL FINISH</t>
  </si>
  <si>
    <t>BAR FLAT 6" X 3/8" T-304 SS PER A276 MILL FINISH</t>
  </si>
  <si>
    <t>BAR FLAT 4" X 3/8" T-304 SS PER A276 MILL FINISH</t>
  </si>
  <si>
    <t>BAR FLAT 3" X 3/8" T-304 SS PER A276 MILL FINISH</t>
  </si>
  <si>
    <t>BAR FLAT 2" X 3/8" T-304 SS PER A276 MILL FINISH</t>
  </si>
  <si>
    <t>BAR FLAT 1" X 3/8" T-304 SS PER A276 MILL FINISH</t>
  </si>
  <si>
    <t>BAR FLAT 3" X 5/16" T-316L SS PER A276 MILL FINISH</t>
  </si>
  <si>
    <t>BAR FLAT 2" X 5/16" T-316L SS PER A276 MILL FINISH</t>
  </si>
  <si>
    <t>BAR FLAT 1" X 5/16" T-316L SS PER A276 MILL FINISH</t>
  </si>
  <si>
    <t>BAR FLAT 3" X 5/16" T-316 SS PER A276 MILL FINISH</t>
  </si>
  <si>
    <t>BAR FLAT 2" X 5/16" T-316 SS PER A276 MILL FINISH</t>
  </si>
  <si>
    <t>BAR FLAT 1" X 5/16" T-316 SS PER A276 MILL FINISH</t>
  </si>
  <si>
    <t>BAR FLAT 3" X 5/16" T-304L SS PER A276 MILL FINISH</t>
  </si>
  <si>
    <t>BAR FLAT 2" X 5/16" T-304L SS PER A276 MILL FINISH</t>
  </si>
  <si>
    <t>BAR FLAT 1" X 5/16" T-304L SS PER A276 MILL FINISH</t>
  </si>
  <si>
    <t>BAR FLAT 3" X 5/16" T-304 SS PER A276 MILL FINISH</t>
  </si>
  <si>
    <t>BAR FLAT 2" X 5/16" T-304 SS PER A276 MILL FINISH</t>
  </si>
  <si>
    <t>BAR FLAT 1" X 5/16" T-304 SS PER A276 MILL FINISH</t>
  </si>
  <si>
    <t>BAR FLAT 6" X 1/4" T-316L SS PER A276 MILL FINISH</t>
  </si>
  <si>
    <t>BAR FLAT 4" X 1/4" T-316L SS PER A276 MILL FINISH</t>
  </si>
  <si>
    <t>BAR FLAT 3 1/2" X 1/4" T-316L SS PER A276 MILL FINISH</t>
  </si>
  <si>
    <t>BAR FLAT 3" X 1/4" T-316L SS PER A276 MILL FINISH</t>
  </si>
  <si>
    <t>BAR FLAT 2 1/2" X 1/4" T-316L SS PER A276 MILL FINISH</t>
  </si>
  <si>
    <t>BAR FLAT 2" X 1/4" T-316L SS PER A276 MILL FINISH</t>
  </si>
  <si>
    <t>BAR FLAT 1 1/2" X 1/4" T-316L SS PER A276 MILL FINISH</t>
  </si>
  <si>
    <t>BAR FLAT 1 1/4" X 1/4" T-316L SS PER A276 MILL FINISH</t>
  </si>
  <si>
    <t>BAR FLAT 1" X 1/4" T-316L SS PER A276 MILL FINISH</t>
  </si>
  <si>
    <t>BAR FLAT 6" X 1/4" T-316 SS PER A276 MILL FINISH</t>
  </si>
  <si>
    <t>BAR FLAT 4" X 1/4" T-316 SS PER A276 MILL FINISH</t>
  </si>
  <si>
    <t>BAR FLAT 3 1/2" X 1/4" T-316 SS PER A276 MILL FINISH</t>
  </si>
  <si>
    <t>BAR FLAT 3" X 1/4" T-316 SS PER A276 MILL FINISH</t>
  </si>
  <si>
    <t>BAR FLAT 2 1/2" X 1/4" T-316 SS PER A276 MILL FINISH</t>
  </si>
  <si>
    <t>BAR FLAT 2" X 1/4" T-316 SS PER A276 MILL FINISH</t>
  </si>
  <si>
    <t>BAR FLAT 1 1/2" X 1/4" T-316 SS PER A276 MILL FINISH</t>
  </si>
  <si>
    <t>BAR FLAT 1 1/4" X 1/4" T-316 SS PER A276 MILL FINISH</t>
  </si>
  <si>
    <t>BAR FLAT 1" X 1/4" T-316 SS PER A276 MILL FINISH</t>
  </si>
  <si>
    <t>BAR FLAT 6" X 1/4" T-304L SS PER A276 MILL FINISH</t>
  </si>
  <si>
    <t>BAR FLAT 4" X 1/4" T-304L SS PER A276 MILL FINISH</t>
  </si>
  <si>
    <t>BAR FLAT 3 1/2" X 1/4" T-304L SS PER A276 MILL FINISH</t>
  </si>
  <si>
    <t>BAR FLAT 3" X 1/4" T-304L SS PER A276 MILL FINISH</t>
  </si>
  <si>
    <t>BAR FLAT 2 1/2" X 1/4" T-304L SS PER A276 MILL FINISH</t>
  </si>
  <si>
    <t>BAR FLAT 2" X 1/4" T-304L SS PER A276 MILL FINISH</t>
  </si>
  <si>
    <t>BAR FLAT 1 1/2" X 1/4" T-304L SS PER A276 MILL FINISH</t>
  </si>
  <si>
    <t>BAR FLAT 1 1/4" X 1/4" T-304L SS PER A276 MILL FINISH</t>
  </si>
  <si>
    <t>BAR FLAT 1" X 1/4" T-304L SS PER A276 MILL FINISH</t>
  </si>
  <si>
    <t>BAR FLAT 6" X 1/4" T-304 SS PER A276 MILL FINISH</t>
  </si>
  <si>
    <t>BAR FLAT 4" X 1/4" T-304 SS PER A276 MILL FINISH</t>
  </si>
  <si>
    <t>BAR FLAT 3 1/2" X 1/4" T-304 SS PER A276 MILL FINISH</t>
  </si>
  <si>
    <t>BAR FLAT 3" X 1/4" T-304 SS PER A276 MILL FINISH</t>
  </si>
  <si>
    <t>BAR FLAT 2 1/2" X 1/4" T-304 SS PER A276 MILL FINISH</t>
  </si>
  <si>
    <t>BAR FLAT 2" X 1/4" T-304 SS PER A276 MILL FINISH</t>
  </si>
  <si>
    <t>BAR FLAT 1 1/2" X 1/4" T-304 SS PER A276 MILL FINISH</t>
  </si>
  <si>
    <t>BAR FLAT 1 1/4" X 1/4" T-304 SS PER A276 MILL FINISH</t>
  </si>
  <si>
    <t>BAR FLAT 1" X 1/4" T-304 SS PER A276 MILL FINISH</t>
  </si>
  <si>
    <t>BAR FLAT 2" X 1/8" T-316L SS PER A276 MILL FINISH</t>
  </si>
  <si>
    <t>BAR FLAT 1 1/2" X 1/8" T-316L SS PER A276 MILL FINISH</t>
  </si>
  <si>
    <t>BAR FLAT 1 1/4" X 1/8" T-316L SS PER A276 MILL FINISH</t>
  </si>
  <si>
    <t>BAR FLAT 1" X 1/8" T-316L SS PER A276 MILL FINISH</t>
  </si>
  <si>
    <t>BAR FLAT 2" X 1/8" T-316 SS PER A276 MILL FINISH</t>
  </si>
  <si>
    <t>BAR FLAT 1 1/2" X 1/8" T-316 SS PER A276 MILL FINISH</t>
  </si>
  <si>
    <t>BAR FLAT 1 1/4" X 1/8" T-316 SS PER A276 MILL FINISH</t>
  </si>
  <si>
    <t>BAR FLAT 1" X 1/8" T-316 SS PER A276 MILL FINISH</t>
  </si>
  <si>
    <t>BAR FLAT 2" X 1/8" T-304L SS PER A276 MILL FINISH</t>
  </si>
  <si>
    <t>BAR FLAT 1 1/2" X 1/8" T-304L SS PER A276 MILL FINISH</t>
  </si>
  <si>
    <t>BAR FLAT 1 1/4" X 1/8" T-304L SS PER A276 MILL FINISH</t>
  </si>
  <si>
    <t>BAR FLAT 1" X 1/8" T-304L SS PER A276 MILL FINISH</t>
  </si>
  <si>
    <t>BAR FLAT 2" X 1/8" T-304 SS PER A276 MILL FINISH</t>
  </si>
  <si>
    <t>BAR FLAT 1 1/2" X 1/8" T-304 SS PER A276 MILL FINISH</t>
  </si>
  <si>
    <t>BAR FLAT 1 1/4" X 1/8" T-304 SS PER A276 MILL FINISH</t>
  </si>
  <si>
    <t>BAR FLAT 1" X 1/8" T-304 SS PER A276 MILL FINISH</t>
  </si>
  <si>
    <t>BAR FLAT 1/4" X 1/2" X 12' L T-304L SS PER A276 MILL FINISH</t>
  </si>
  <si>
    <t/>
  </si>
  <si>
    <t>BAR HEX 1 1/8" T-316L SS PER A276 MILL FINISH</t>
  </si>
  <si>
    <t>BAR HEX 1" T-316L SS PER A276 MILL FINISH</t>
  </si>
  <si>
    <t>BAR HEX 3/4" T-316L SS PER A276 MILL FINISH</t>
  </si>
  <si>
    <t>BAR HEX 1/2" T-316L SS PER A276 MILL FINISH</t>
  </si>
  <si>
    <t>BAR HEX 1/4" T-316L SS PER A276 MILL FINISH</t>
  </si>
  <si>
    <t>BAR HEX 1 1/8" T-316 SS PER A276 MILL FINISH</t>
  </si>
  <si>
    <t>BAR HEX 1" T-316 SS PER A276 MILL FINISH</t>
  </si>
  <si>
    <t>BAR HEX 3/4" T-316 SS PER A276 MILL FINISH</t>
  </si>
  <si>
    <t>BAR HEX 1/2" T-316 SS PER A276 MILL FINISH</t>
  </si>
  <si>
    <t>BAR HEX 1/4" T-316 SS PER A276 MILL FINISH</t>
  </si>
  <si>
    <t>BAR HEX 1 1/8" T-304L SS PER A276 MILL FINISH</t>
  </si>
  <si>
    <t>BAR HEX 1" T-304L SS PER A276 MILL FINISH</t>
  </si>
  <si>
    <t>BAR HEX 3/4" T-304L SS PER A276 MILL FINISH</t>
  </si>
  <si>
    <t>BAR HEX 1/2" T-304L SS PER A276 MILL FINISH</t>
  </si>
  <si>
    <t>BAR HEX 1/4" T-304L SS PER A276 MILL FINISH</t>
  </si>
  <si>
    <t>BAR HEX 1 1/8" T-304 SS PER A276 MILL FINISH</t>
  </si>
  <si>
    <t>BAR HEX 1" T-304 SS PER A276 MILL FINISH</t>
  </si>
  <si>
    <t>BAR HEX 3/4" T-304 SS PER A276 MILL FINISH</t>
  </si>
  <si>
    <t>BAR HEX 1/2" T-304 SS PER A276 MILL FINISH</t>
  </si>
  <si>
    <t>BAR HEX 1/4" T-304 SS PER A276 MILL FINISH</t>
  </si>
  <si>
    <t>BAR HEX 2" T-304L SS PER A276 MILL FINISH</t>
  </si>
  <si>
    <t>BAR HEX 2 1/4" T-304L SS PER A276 MILL FINISH</t>
  </si>
  <si>
    <t>BAR HEX 2 1/2" T-304L SS PER A276 MILL FINISH</t>
  </si>
  <si>
    <t>BAR HEX 2 1/2" T-316L SS PER A276 MILL FINISH</t>
  </si>
  <si>
    <t>BAR SQ 3 1/2" T-304 SS PER A276 MILL FINISH</t>
  </si>
  <si>
    <t>BAR SQ 1" T-316L SS PER A276 MILL FINISH</t>
  </si>
  <si>
    <t>BAR SQ 7/8" T-316L SS PER A276 MILL FINISH</t>
  </si>
  <si>
    <t>BAR SQ 3/4" T-316L SS PER A276 MILL FINISH</t>
  </si>
  <si>
    <t>BAR SQ 5/8" T-316L SS PER A276 MILL FINISH</t>
  </si>
  <si>
    <t>BAR SQ 1/2" T-316L SS PER A276 MILL FINISH</t>
  </si>
  <si>
    <t>BAR SQ 3/8" T-316L SS PER A276 MILL FINISH</t>
  </si>
  <si>
    <t>BAR SQ 5/16" T-316L SS PER A276 MILL FINISH</t>
  </si>
  <si>
    <t>BAR SQ 1/4" T-316L SS PER A276 MILL FINISH</t>
  </si>
  <si>
    <t>BAR SQ 3/16" T-316L SS PER A276 MILL FINISH</t>
  </si>
  <si>
    <t>BAR SQ 1 1/4" T-316 SS PER A276 MILL FINISH</t>
  </si>
  <si>
    <t>BAR SQ 1" T-316 SS PER A276 MILL FINISH</t>
  </si>
  <si>
    <t>BAR SQ 7/8" T-316 SS PER A276 MILL FINISH</t>
  </si>
  <si>
    <t>BAR SQ 3/4" T-316 SS PER A276 MILL FINISH</t>
  </si>
  <si>
    <t>BAR SQ 5/8" T-316 SS PER A276 MILL FINISH</t>
  </si>
  <si>
    <t>BAR SQ 1/2" T-316 SS PER A276 MILL FINISH</t>
  </si>
  <si>
    <t>BAR SQ 3/8" T-316 SS PER A276 MILL FINISH</t>
  </si>
  <si>
    <t>BAR SQ 5/16" T-316 SS PER A276 MILL FINISH</t>
  </si>
  <si>
    <t>BAR SQ 1/4" T-316 SS PER A276 MILL FINISH</t>
  </si>
  <si>
    <t>BAR SQ 3/16" T-316 SS PER A276 MILL FINISH</t>
  </si>
  <si>
    <t>BAR SQ 1 1/4" T-304L SS PER A276 MILL FINISH</t>
  </si>
  <si>
    <t>BAR SQ 1" T-304L SS PER A276 MILL FINISH</t>
  </si>
  <si>
    <t>BAR SQ 7/8" T-304L SS PER A276 MILL FINISH</t>
  </si>
  <si>
    <t>BAR SQ 3/4" T-304L SS PER A276 MILL FINISH</t>
  </si>
  <si>
    <t>BAR SQ 5/8" T-304L SS PER A276 MILL FINISH</t>
  </si>
  <si>
    <t>BAR SQ 1/2" T-304L SS PER A276 MILL FINISH</t>
  </si>
  <si>
    <t>BAR SQ 3/8" T-304L SS PER A276 MILL FINISH</t>
  </si>
  <si>
    <t>BAR SQ 5/16" T-304L SS PER A276 MILL FINISH</t>
  </si>
  <si>
    <t>BAR SQ 1/4" T-304L SS PER A276 MILL FINISH</t>
  </si>
  <si>
    <t>BAR SQ 3/16" T-304L SS PER A276 MILL FINISH</t>
  </si>
  <si>
    <t>BAR SQ 1 1/4" T-304 SS PER A276 MILL FINISH</t>
  </si>
  <si>
    <t>BAR SQ 1" T-304 SS PER A276 MILL FINISH</t>
  </si>
  <si>
    <t>BAR SQ 7/8" T-304 SS PER A276 MILL FINISH</t>
  </si>
  <si>
    <t>BAR SQ 3/4" T-304 SS PER A276 MILL FINISH</t>
  </si>
  <si>
    <t>BAR SQ 5/8" T-304 SS PER A276 MILL FINISH</t>
  </si>
  <si>
    <t>BAR SQ 1/2" T-304 SS PER A276 MILL FINISH</t>
  </si>
  <si>
    <t>BAR SQ 3/8" T-304 SS PER A276 MILL FINISH</t>
  </si>
  <si>
    <t>BAR SQ 5/16" T-304 SS PER A276 MILL FINISH</t>
  </si>
  <si>
    <t>BAR SQ 1/4" T-304 SS PER A276 MILL FINISH</t>
  </si>
  <si>
    <t>BAR SQ 3/16" T-304 SS PER A276 MILL FINISH</t>
  </si>
  <si>
    <t>BAR RD Ø11 1/2" OD 17-4PH PER A693 MILL FINISH</t>
  </si>
  <si>
    <t>ROUGH TURNED, CONDITION H 925. TAGGING INFO. SHALL BE CLEARLY LEGIBLE &amp; SHALL INCL. APPLICABLE DATA THAT FOLLOWS: SIZE, TYPE, GRADE, &amp; ASTM NO's. ENVR. ELEMENTS OR HNDLG, CARBON STL. BANDING MUST NOT CONTACT SS MAT'LS.</t>
  </si>
  <si>
    <t>BAR RD Ø11 1/2" OD T-316L SS PER A276 MILL FINISH</t>
  </si>
  <si>
    <t>ROUGH TURNED, OR EQUIVALENT TO: ASTM A479. TAGGING INFO. SHALL BE CLEARLY LEGIBLE &amp; SHALL INCL. APPLICABLE DATA THAT FOLLOWS: SIZE, TYPE, GRADE, &amp; ASTM NO's. ENVR. ELEMENTS OR HNDLG, CARBON STL. BANDING MUST NOT CONTACT SS MAT'LS.</t>
  </si>
  <si>
    <t>BAR RD Ø11 1/2" OD T-316 SS PER A276 MILL FINISH</t>
  </si>
  <si>
    <t>BAR RD Ø11 1/2" OD T-304L SS PER A276 MILL FINISH</t>
  </si>
  <si>
    <t>BAR RD Ø11 1/2" OD T-304 SS PER A276 MILL FINISH</t>
  </si>
  <si>
    <t>BAR RD Ø11" OD 17-4PH PER A693 MILL FINISH</t>
  </si>
  <si>
    <t>BAR RD Ø11" OD T-316L SS PER A276 MILL FINISH</t>
  </si>
  <si>
    <t>BAR RD Ø11" OD T-316 SS PER A276 MILL FINISH</t>
  </si>
  <si>
    <t>BAR RD Ø11" OD T-304L SS PER A276 MILL FINISH</t>
  </si>
  <si>
    <t>BAR RD Ø11" OD T-304 SS PER A276 MILL FINISH</t>
  </si>
  <si>
    <t>ROD ALL THREADED RH Ø2" - 5 ACME T-316L SS PER A193</t>
  </si>
  <si>
    <t>TRIPLE LEAD, RH THRD, THRD FIT: CL 2G, SPEED RATIO: 3:1. TAGGING INFO. SHALL BE CLEARLY LEGIBLE &amp; SHALL INCL. APPLICABLE DATA THAT FOLLOWS: SIZE, TYPE, GRADE, &amp; ASTM NO's. ENVR. ELEMENTS OR HNDLG, CARBON STL. BANDING MUST NOT CONTACT SS MAT'LS.</t>
  </si>
  <si>
    <t>ROD ALL THREADED RH Ø2" - 4 ACME T-316L SS PER A193</t>
  </si>
  <si>
    <t>DOUBLE LEAD, RH THRD, THRD FIT: CL 2G, SPEED RATIO: 2:1. TAGGING INFO. SHALL BE CLEARLY LEGIBLE &amp; SHALL INCL. APPLICABLE DATA THAT FOLLOWS: SIZE, TYPE, GRADE, &amp; ASTM NO's. ENVR. ELEMENTS OR HNDLG, CARBON STL. BANDING MUST NOT CONTACT SS MAT'LS.</t>
  </si>
  <si>
    <t>SINGLE LEAD, RH THRD, THRD FIT: CL 2G, SPEED RATIO: 1:1. TAGGING INFO. SHALL BE CLEARLY LEGIBLE &amp; SHALL INCL. APPLICABLE DATA THAT FOLLOWS: SIZE, TYPE, GRADE, &amp; ASTM NO's. ENVR. ELEMENTS OR HNDLG, CARBON STL. BANDING MUST NOT CONTACT SS MAT'LS.</t>
  </si>
  <si>
    <t>ROD ALL THREADED RH Ø1 3/4" - 5 ACME T-316L SS PER A193</t>
  </si>
  <si>
    <t>ROD ALL THREADED RH Ø1 3/4" - 4 ACME T-316L SS PER A193</t>
  </si>
  <si>
    <t>ROD ALL THREADED RH Ø1 1/2" - 5 ACME T-316L SS PER A193</t>
  </si>
  <si>
    <t>ROD ALL THREADED RH Ø1 1/2" - 4 ACME T-316L SS PER A193</t>
  </si>
  <si>
    <t>ROD ALL THREADED RH Ø1 1/4" - 5 ACME T-316L SS PER A193</t>
  </si>
  <si>
    <t>ROD ALL THREADED RH Ø1 1/4" - 4 ACME T-316L SS PER A193</t>
  </si>
  <si>
    <t>BESSEMER CITY MACHINE SHOP INC</t>
  </si>
  <si>
    <t>ROD ALL THREADED RH Ø1" - 5 ACME T-316L SS PER A193</t>
  </si>
  <si>
    <t>ROD ALL THREADED RH Ø1" - 4 ACME T-316L SS PER A193</t>
  </si>
  <si>
    <t>ROD ALL THREADED RH Ø1 1/8" - 5 ACME T-316L SS PER A193</t>
  </si>
  <si>
    <t>ROD ALL THREADED RH Ø1 1/8" - 4 ACME T-316L SS PER A193</t>
  </si>
  <si>
    <t>ROD ALL THREADED RH Ø2" - 5 ACME T-304L SS PER A193</t>
  </si>
  <si>
    <t>ROD ALL THREADED RH Ø2" - 4 ACME T-304L SS PER A193</t>
  </si>
  <si>
    <t>ROD ALL THREADED RH Ø1 3/4" - 5 ACME T-304L SS PER A193</t>
  </si>
  <si>
    <t>ROD ALL THREADED RH Ø1 3/4" - 4 ACME T-304L SS PER A193</t>
  </si>
  <si>
    <t>ROD ALL THREADED RH Ø1 1/2" - 5 ACME T-304L SS PER A193</t>
  </si>
  <si>
    <t>ROD ALL THREADED RH Ø1 1/2" - 4 ACME T-304L SS PER A193</t>
  </si>
  <si>
    <t>ROD ALL THREADED RH Ø1 1/4" - 5 ACME T-304L SS PER A193</t>
  </si>
  <si>
    <t>ROD ALL THREADED RH Ø1 1/4" - 4 ACME T-304L SS PER A193</t>
  </si>
  <si>
    <t>ROD ALL THREADED RH Ø1" - 5 ACME T-304L SS PER A193</t>
  </si>
  <si>
    <t>ROD ALL THREADED RH Ø1" - 4 ACME T-304L SS PER A193</t>
  </si>
  <si>
    <t>ROD ALL THREADED RH Ø1 1/8" - 5 ACME T-304L SS PER A193</t>
  </si>
  <si>
    <t>ROD ALL THREADED RH Ø1 1/8" - 4 ACME T-304L SS PER A193</t>
  </si>
  <si>
    <t>BAR RD Ø1 3/16" OD T-316L SS PER A276 MILL FINISH</t>
  </si>
  <si>
    <t>BAR RD Ø1 3/16" OD T-316 SS PER A276 MILL FINISH</t>
  </si>
  <si>
    <t>BAR RD Ø1 3/16" OD T-304L SS PER A276 MILL FINISH</t>
  </si>
  <si>
    <t>BAR RD Ø1 3/16" OD T-304 SS PER A276 MILL FINISH</t>
  </si>
  <si>
    <t>BAR RD Ø5/8" OD T-316L SS PER A276 MILL FINISH</t>
  </si>
  <si>
    <t>BAR RD Ø5/8" OD T-316 SS PER A276 MILL FINISH</t>
  </si>
  <si>
    <t>BAR RD Ø5/8" OD T-304L SS PER A276 MILL FINISH</t>
  </si>
  <si>
    <t>BAR RD Ø5/8" OD T-304 SS PER A276 MILL FINISH</t>
  </si>
  <si>
    <t>ROD ALL THREADED RH Ø2" - 5 ACME 18/8 SS PER A193</t>
  </si>
  <si>
    <t>TRIPLE LEAD, RH THRD, THRD FIT: CL 2G, SPEED RATIO: 3:1, OR EQUIVALENT TO: 304 SS. TAGGING INFO. SHALL BE CLEARLY LEGIBLE &amp; SHALL INCL. APPLICABLE DATA THAT FOLLOWS: SIZE, TYPE, GRADE, &amp; ASTM NO's. ENVR. ELEMENTS OR HNDLG, CARBON STL. BANDING MUST NOT CONTACT SS MAT'LS.</t>
  </si>
  <si>
    <t>ROD ALL THREADED RH Ø2" - 4 ACME 18/8 SS PER A193</t>
  </si>
  <si>
    <t>DOUBLE LEAD, RH THRD, THRD FIT: CL 2G, SPEED RATIO: 2:1, OR EQUIVALENT TO: 304 SS. TAGGING INFO. SHALL BE CLEARLY LEGIBLE &amp; SHALL INCL. APPLICABLE DATA THAT FOLLOWS: SIZE, TYPE, GRADE, &amp; ASTM NO's. ENVR. ELEMENTS OR HNDLG, CARBON STL. BANDING MUST NOT CONTACT SS MAT'LS.</t>
  </si>
  <si>
    <t>SINGLE LEAD, RH THRD, THRD FIT: CL 2G, SPEED RATIO: 1:1, OR EQUIVALENT TO: 304 SS. TAGGING INFO. SHALL BE CLEARLY LEGIBLE &amp; SHALL INCL. APPLICABLE DATA THAT FOLLOWS: SIZE, TYPE, GRADE, &amp; ASTM NO's. ENVR. ELEMENTS OR HNDLG, CARBON STL. BANDING MUST NOT CONTACT SS MAT'LS.</t>
  </si>
  <si>
    <t>ROD ALL THREADED RH Ø1 3/4" - 5 ACME 18/8 SS PER A193</t>
  </si>
  <si>
    <t>ROD ALL THREADED RH Ø1 3/4" - 4 ACME 18/8 SS PER A193</t>
  </si>
  <si>
    <t>ROD ALL THREADED RH Ø1 1/2" - 5 ACME 18/8 SS PER A193</t>
  </si>
  <si>
    <t>ROD ALL THREADED RH Ø1 1/2" - 4 ACME 18/8 SS PER A193</t>
  </si>
  <si>
    <t>ROD ALL THREADED RH Ø1 1/4" - 5 ACME 18/8 SS PER A193</t>
  </si>
  <si>
    <t>ROD ALL THREADED RH Ø1 1/4" - 4 ACME 18/8 SS PER A193</t>
  </si>
  <si>
    <t>ROD ALL THREADED RH Ø1" - 5 ACME 18/8 SS PER A193</t>
  </si>
  <si>
    <t>ROD ALL THREADED RH Ø1" - 4 ACME 18/8 SS PER A193</t>
  </si>
  <si>
    <t>ROD ALL THREADED RH Ø1 1/8" - 5 ACME 18/8 SS PER A193</t>
  </si>
  <si>
    <t>ROD ALL THREADED RH Ø1 1/8" - 4 ACME 18/8 SS PER A193</t>
  </si>
  <si>
    <t>BAR RD Ø13" OD 17-4PH PER A693 MILL FINISH</t>
  </si>
  <si>
    <t>BAR RD Ø13" OD T-316L SS PER A276 MILL FINISH</t>
  </si>
  <si>
    <t>BAR RD Ø13" OD T-316 SS PER A276 MILL FINISH</t>
  </si>
  <si>
    <t>BAR RD Ø13" OD T-304L SS PER A276 MILL FINISH</t>
  </si>
  <si>
    <t>BAR RD Ø13" OD T-304 SS PER A276 MILL FINISH</t>
  </si>
  <si>
    <t>ROD ALL THREADED Ø1 1/2" - 6 UNC 18/8 SS PER F593</t>
  </si>
  <si>
    <t>RANDOM LENGTH, TAGGING INFO. SHALL BE CLEARLY LEGIBLE &amp; SHALL INCL. APPLICABLE DATA THAT FOLLOWS: SIZE, TYPE, GRADE, &amp; ASTM NO's. ENVR. ELEMENTS OR HNDLG, CARBON STL. PACKAGING MUST NOT CONTACT SS MAT'LS.</t>
  </si>
  <si>
    <t>ROD ALL THREADED Ø1 3/8" - 6 UNC 18/8 SS PER F593</t>
  </si>
  <si>
    <t>ROD ALL THREADED Ø1 1/4" - 7 UNC 18/8 SS PER F593</t>
  </si>
  <si>
    <t>ROD ALL THREADED Ø1 1/8" - 7 UNC 18/8 SS PER F593</t>
  </si>
  <si>
    <t>ROD ALL THREADED Ø1" - 8 UNC 18/8 SS PER F593</t>
  </si>
  <si>
    <t>ROD ALL THREADED Ø7/8" - 9 UNC 18/8 SS PER F593</t>
  </si>
  <si>
    <t>ROD ALL THREADED Ø3/4" - 10 UNC 18/8 SS PER F593</t>
  </si>
  <si>
    <t>ROD ALL THREADED Ø5/8" - 11 UNC 18/8 SS PER F593</t>
  </si>
  <si>
    <t>ROD ALL THREADED Ø9/16" - 12 UNC 18/8 SS PER F593</t>
  </si>
  <si>
    <t>ROD ALL THREADED Ø1/2" - 13 UNC 18/8 SS PER F593</t>
  </si>
  <si>
    <t>ROD ALL THREADED Ø7/16" - 14 UNC 18/8 SS PER F593</t>
  </si>
  <si>
    <t>ROD ALL THREADED Ø3/8" - 16 UNC 18/8 SS PER F593</t>
  </si>
  <si>
    <t>ROD ALL THREADED Ø5/16" - 18 UNC 18/8 SS PER F593</t>
  </si>
  <si>
    <t>ROD ALL THREADED Ø1/4" - 20 UNC 18/8 SS PER F593</t>
  </si>
  <si>
    <t>ROD ALL THREADED Ø1 1/2" - 6 UNC T-316 SS PER F593</t>
  </si>
  <si>
    <t>ROD ALL THREADED Ø1 1/2" - 6 UNC T-304 SS PER F593</t>
  </si>
  <si>
    <t>ROD ALL THREADED Ø1 3/8" - 6 UNC T-316 SS PER F593</t>
  </si>
  <si>
    <t>ROD ALL THREADED Ø1 3/8" - 6 UNC T-304 SS PER F593</t>
  </si>
  <si>
    <t>ROD ALL THREADED Ø1 1/4" - 7 UNC T-316 SS PER F593</t>
  </si>
  <si>
    <t>ROD ALL THREADED Ø1 1/4" - 7 UNC T-304 SS PER F593</t>
  </si>
  <si>
    <t>ROD ALL THREADED Ø1 1/8" - 7 UNC T-316 SS PER F593</t>
  </si>
  <si>
    <t>ROD ALL THREADED Ø1 1/8" - 7 UNC T-304 SS PER F593</t>
  </si>
  <si>
    <t>ROD ALL THREADED Ø1" - 8 UNC T-316 SS PER F593</t>
  </si>
  <si>
    <t>ROD ALL THREADED Ø1" - 8 UNC T-304 SS PER F593</t>
  </si>
  <si>
    <t>ROD ALL THREADED Ø7/8" - 9 UNC T-316 SS PER F593</t>
  </si>
  <si>
    <t>ROD ALL THREADED Ø7/8" - 9 UNC T-304 SS PER F593</t>
  </si>
  <si>
    <t>ROD ALL THREADED Ø3/4" - 10 UNC T-316 SS PER F593</t>
  </si>
  <si>
    <t>ROD ALL THREADED Ø3/4" - 10 UNC T-304 SS PER F593</t>
  </si>
  <si>
    <t>ROD ALL THREADED Ø5/8" - 11 UNC T-316 SS PER F593</t>
  </si>
  <si>
    <t>ROD ALL THREADED Ø5/8" - 11 UNC T-304 SS PER F593</t>
  </si>
  <si>
    <t>ROD ALL THREADED Ø9/16" - 12 UNC T-316 SS PER F593</t>
  </si>
  <si>
    <t>ROD ALL THREADED Ø9/16" - 12 UNC T-304 SS PER F593</t>
  </si>
  <si>
    <t>ROD ALL THREADED Ø1/2" - 13 UNC T-316 SS PER F593</t>
  </si>
  <si>
    <t>FASTENAL COMPANY *</t>
  </si>
  <si>
    <t>ROD ALL THREADED Ø1/2" - 13 UNC T-304 SS PER F593</t>
  </si>
  <si>
    <t>ROD ALL THREADED Ø7/16" - 14 UNC T-316 SS PER F593</t>
  </si>
  <si>
    <t>ROD ALL THREADED Ø7/16" - 14 UNC T-304 SS PER F593</t>
  </si>
  <si>
    <t>ROD ALL THREADED Ø3/8" - 16 UNC T-316 SS PER F593</t>
  </si>
  <si>
    <t>ROD ALL THREADED Ø3/8" - 16 UNC T-304 SS PER F593</t>
  </si>
  <si>
    <t>ROD ALL THREADED Ø5/16" - 18 UNC T-316 SS PER F593</t>
  </si>
  <si>
    <t>ROD ALL THREADED Ø5/16" - 18 UNC T-304 SS PER F593</t>
  </si>
  <si>
    <t>ROD ALL THREADED Ø1/4" - 20 UNC T-316 SS PER F593</t>
  </si>
  <si>
    <t>ROD ALL THREADED Ø1/4" - 20 UNC T-304 SS PER F593</t>
  </si>
  <si>
    <t>ROD ALL THREADED RH Ø2" - 5 ACME T-316 SS PER A193</t>
  </si>
  <si>
    <t>ROD ALL THREADED RH Ø2" - 4 ACME T-316 SS PER A193</t>
  </si>
  <si>
    <t>ROD ALL THREADED RH Ø2" - 5 ACME T-304 SS PER A193</t>
  </si>
  <si>
    <t>ROD ALL THREADED RH Ø2" - 4 ACME T-304 SS PER A193</t>
  </si>
  <si>
    <t>ROD ALL THREADED RH Ø1 3/4" - 5 ACME T-316 SS PER A193</t>
  </si>
  <si>
    <t>ROD ALL THREADED RH Ø1 3/4" - 4 ACME T-316 SS PER A193</t>
  </si>
  <si>
    <t>ROD ALL THREADED RH Ø1 3/4" - 5 ACME T-304 SS PER A193</t>
  </si>
  <si>
    <t>ROD ALL THREADED RH Ø1 3/4" - 4 ACME T-304 SS PER A193</t>
  </si>
  <si>
    <t>ROD ALL THREADED RH Ø1 1/2" - 5 ACME T-316 SS PER A193</t>
  </si>
  <si>
    <t>ROD ALL THREADED RH Ø1 1/2" - 4 ACME T-316 SS PER A193</t>
  </si>
  <si>
    <t>ROD ALL THREADED RH Ø1 1/2" - 5 ACME T-304 SS PER A193</t>
  </si>
  <si>
    <t>ROD ALL THREADED RH Ø1 1/2" - 4 ACME T-304 SS PER A193</t>
  </si>
  <si>
    <t>ROD ALL THREADED RH Ø1 1/4" - 5 ACME T-316 SS PER A193</t>
  </si>
  <si>
    <t>ROD ALL THREADED RH Ø1 1/4" - 4 ACME T-316 SS PER A193</t>
  </si>
  <si>
    <t>ROD ALL THREADED RH Ø1 1/4" - 5 ACME T-304 SS PER A193</t>
  </si>
  <si>
    <t>ROD ALL THREADED RH Ø1 1/4" - 4 ACME T-304 SS PER A193</t>
  </si>
  <si>
    <t>ROD ALL THREADED RH Ø1" - 5 ACME T-316 SS PER A193</t>
  </si>
  <si>
    <t>ROD ALL THREADED RH Ø1" - 4 ACME T-316 SS PER A193</t>
  </si>
  <si>
    <t>ROD ALL THREADED RH Ø1" - 5 ACME T-304 SS PER A193</t>
  </si>
  <si>
    <t>ROD ALL THREADED RH Ø1" - 4 ACME T-304 SS PER A193</t>
  </si>
  <si>
    <t>ROD ALL THREADED RH Ø1 1/8" - 5 ACME T-316 SS PER A193</t>
  </si>
  <si>
    <t>ROD ALL THREADED RH Ø1 1/8" - 4 ACME T-316 SS PER A193</t>
  </si>
  <si>
    <t>ROD ALL THREADED RH Ø1 1/8" - 5 ACME T-304 SS PER A193</t>
  </si>
  <si>
    <t>ROD ALL THREADED RH Ø1 1/8" - 4 ACME T-304 SS PER A193</t>
  </si>
  <si>
    <t>BAR RD Ø3 7/8" OD 17-4PH PER A693 MILL FINISH</t>
  </si>
  <si>
    <t>BAR RD Ø1 3/4" OD 17-4PH PER A693 MILL FINISH</t>
  </si>
  <si>
    <t>BAR RD Ø1 1/2" OD 17-4PH PER A693 MILL FINISH</t>
  </si>
  <si>
    <t>BAR RD Ø1" OD 17-4PH PER A693 MILL FINISH</t>
  </si>
  <si>
    <t>BAR RD Ø6 3/4" OD 17-4PH PER A693 MILL FINISH</t>
  </si>
  <si>
    <t>BAR RD Ø6 1/2" OD 17-4PH PER A693 MILL FINISH</t>
  </si>
  <si>
    <t>BAR RD Ø6 1/4" OD 17-4PH PER A693 MILL FINISH</t>
  </si>
  <si>
    <t>BAR RD Ø6" OD 17-4PH PER A693 MILL FINISH</t>
  </si>
  <si>
    <t>BAR RD Ø5 3/4" OD 17-4PH PER A693 MILL FINISH</t>
  </si>
  <si>
    <t>BAR RD Ø5 1/2" OD 17-4PH PER A693 MILL FINISH</t>
  </si>
  <si>
    <t>RAM ALLOYS, LLC</t>
  </si>
  <si>
    <t>BAR RD Ø5 1/4" OD 17-4PH PER A693 MILL FINISH</t>
  </si>
  <si>
    <t>BAR RD Ø5" OD 17-4PH PER A693 MILL FINISH</t>
  </si>
  <si>
    <t>BAR RD Ø4 15/16" OD 17-4PH PER A693 MILL FINISH</t>
  </si>
  <si>
    <t>BAR RD Ø4 3/4" OD 17-4PH PER A693 MILL FINISH</t>
  </si>
  <si>
    <t>BAR RD Ø4 5/8" OD 17-4PH PER A693 MILL FINISH</t>
  </si>
  <si>
    <t>BAR RD Ø4 1/2" OD 17-4PH PER A693 MILL FINISH</t>
  </si>
  <si>
    <t>BAR RD Ø4 7/16" OD 17-4PH PER A693 MILL FINISH</t>
  </si>
  <si>
    <t>BAR RD Ø4 5/16" OD 17-4PH PER A693 MILL FINISH</t>
  </si>
  <si>
    <t>BAR RD Ø4 3/8" OD 17-4PH PER A693 MILL FINISH</t>
  </si>
  <si>
    <t>BAR RD Ø4 1/4" OD 17-4PH PER A693 MILL FINISH</t>
  </si>
  <si>
    <t>BAR RD Ø4 1/8" OD 17-4PH PER A693 MILL FINISH</t>
  </si>
  <si>
    <t>BAR RD Ø4" OD 17-4PH PER A693 MILL FINISH</t>
  </si>
  <si>
    <t>BAR RD Ø3 15/16" OD 17-4PH PER A693 MILL FINISH</t>
  </si>
  <si>
    <t>BAR RD Ø3 3/4" OD 17-4PH PER A693 MILL FINISH</t>
  </si>
  <si>
    <t>BAR RD Ø3 5/8" OD 17-4PH PER A693 MILL FINISH</t>
  </si>
  <si>
    <t>BAR RD Ø3 1/2" OD 17-4PH PER A693 MILL FINISH</t>
  </si>
  <si>
    <t>BAR RD Ø3 7/16" OD 17-4PH PER A693 MILL FINISH</t>
  </si>
  <si>
    <t>BAR RD Ø3 5/16" OD 17-4PH PER A693 MILL FINISH</t>
  </si>
  <si>
    <t>BAR RD Ø3 3/8" OD 17-4PH PER A693 MILL FINISH</t>
  </si>
  <si>
    <t>BAR RD Ø3 1/4" OD 17-4PH PER A693 MILL FINISH</t>
  </si>
  <si>
    <t>BAR RD Ø3 1/8" OD 17-4PH PER A693 MILL FINISH</t>
  </si>
  <si>
    <t>BAR RD Ø3" OD 17-4PH PER A693 MILL FINISH</t>
  </si>
  <si>
    <t>BAR RD Ø2 15/16" OD 17-4PH PER A693 MILL FINISH</t>
  </si>
  <si>
    <t>BAR RD Ø2 3/4" OD 17-4PH PER A693 MILL FINISH</t>
  </si>
  <si>
    <t>BAR RD Ø2 5/8" OD 17-4PH PER A693 MILL FINISH</t>
  </si>
  <si>
    <t>BAR RD Ø2 1/2" OD 17-4PH PER A693 MILL FINISH</t>
  </si>
  <si>
    <t>BAR RD Ø2 7/16" OD 17-4PH PER A693 MILL FINISH</t>
  </si>
  <si>
    <t>BAR RD Ø2 5/16" OD 17-4PH PER A693 MILL FINISH</t>
  </si>
  <si>
    <t>BAR RD Ø2 3/8" OD 17-4PH PER A693 MILL FINISH</t>
  </si>
  <si>
    <t>BAR RD Ø2 1/4" OD 17-4PH PER A693 MILL FINISH</t>
  </si>
  <si>
    <t>BAR RD Ø2 1/8" OD 17-4PH PER A693 MILL FINISH</t>
  </si>
  <si>
    <t>BAR RD Ø2" OD 17-4PH PER A693 MILL FINISH</t>
  </si>
  <si>
    <t>BAR RD Ø14" OD T-316L SS PER A276 MILL FINISH</t>
  </si>
  <si>
    <t>BAR RD Ø13 9/16" OD T-316L SS PER A276 MILL FINISH</t>
  </si>
  <si>
    <t>BAR RD Ø10" OD T-316L SS PER A276 MILL FINISH</t>
  </si>
  <si>
    <t>BAR RD Ø9" OD T-316L SS PER A276 MILL FINISH</t>
  </si>
  <si>
    <t>BAR RD Ø14" OD T-316 SS PER A276 MILL FINISH</t>
  </si>
  <si>
    <t>BAR RD Ø13 9/16" OD T-316 SS PER A276 MILL FINISH</t>
  </si>
  <si>
    <t>BAR RD Ø10" OD T-316 SS PER A276 MILL FINISH</t>
  </si>
  <si>
    <t>BAR RD Ø9" OD T-316 SS PER A276 MILL FINISH</t>
  </si>
  <si>
    <t>BAR RD Ø14" OD T-304L SS PER A276 MILL FINISH</t>
  </si>
  <si>
    <t>BAR RD Ø13 9/16" OD T-304L SS PER A276 MILL FINISH</t>
  </si>
  <si>
    <t>BAR RD Ø10" OD T-304L SS PER A276 MILL FINISH</t>
  </si>
  <si>
    <t>BAR RD Ø9" OD T-304L SS PER A276 MILL FINISH</t>
  </si>
  <si>
    <t>BAR RD Ø14" OD T-304 SS PER A276 MILL FINISH</t>
  </si>
  <si>
    <t>BAR RD Ø13 9/16" OD T-304 SS PER A276 MILL FINISH</t>
  </si>
  <si>
    <t>BAR RD Ø10" OD T-304 SS PER A276 MILL FINISH</t>
  </si>
  <si>
    <t>BAR RD Ø9" OD T-304 SS PER A276 MILL FINISH</t>
  </si>
  <si>
    <t>BAR RD Ø8 3/4" OD T-316L SS PER A276 MILL FINISH</t>
  </si>
  <si>
    <t>BAR RD Ø8 1/2" OD T-316L SS PER A276 MILL FINISH</t>
  </si>
  <si>
    <t>BAR RD Ø8 1/4" OD T-316L SS PER A276 MILL FINISH</t>
  </si>
  <si>
    <t>BAR RD Ø8" OD T-316L SS PER A276 MILL FINISH</t>
  </si>
  <si>
    <t>BAR RD Ø8 3/4" OD T-316 SS PER A276 MILL FINISH</t>
  </si>
  <si>
    <t>BAR RD Ø8 1/2" OD T-316 SS PER A276 MILL FINISH</t>
  </si>
  <si>
    <t>BAR RD Ø8 1/4" OD T-316 SS PER A276 MILL FINISH</t>
  </si>
  <si>
    <t>BAR RD Ø8" OD T-316 SS PER A276 MILL FINISH</t>
  </si>
  <si>
    <t>BAR RD Ø8 3/4" OD T-304L SS PER A276 MILL FINISH</t>
  </si>
  <si>
    <t>BAR RD Ø8 1/2" OD T-304L SS PER A276 MILL FINISH</t>
  </si>
  <si>
    <t>BAR RD Ø8 1/4" OD T-304L SS PER A276 MILL FINISH</t>
  </si>
  <si>
    <t>BAR RD Ø8" OD T-304L SS PER A276 MILL FINISH</t>
  </si>
  <si>
    <t>BAR RD Ø8 3/4" OD T-304 SS PER A276 MILL FINISH</t>
  </si>
  <si>
    <t>BAR RD Ø8 1/2" OD T-304 SS PER A276 MILL FINISH</t>
  </si>
  <si>
    <t>BAR RD Ø8 1/4" OD T-304 SS PER A276 MILL FINISH</t>
  </si>
  <si>
    <t>BAR RD Ø8" OD T-304 SS PER A276 MILL FINISH</t>
  </si>
  <si>
    <t>BAR RD Ø7 3/4" OD T-316L SS PER A276 MILL FINISH</t>
  </si>
  <si>
    <t>BAR RD Ø7 1/2" OD T-316L SS PER A276 MILL FINISH</t>
  </si>
  <si>
    <t>BAR RD Ø7 1/4" OD T-316L SS PER A276 MILL FINISH</t>
  </si>
  <si>
    <t>BAR RD Ø7" OD T-316L SS PER A276 MILL FINISH</t>
  </si>
  <si>
    <t>BAR RD Ø7 3/4" OD T-316 SS PER A276 MILL FINISH</t>
  </si>
  <si>
    <t>BAR RD Ø7 1/2" OD T-316 SS PER A276 MILL FINISH</t>
  </si>
  <si>
    <t>BAR RD Ø7 1/4" OD T-316 SS PER A276 MILL FINISH</t>
  </si>
  <si>
    <t>BAR RD Ø7" OD T-316 SS PER A276 MILL FINISH</t>
  </si>
  <si>
    <t>BAR RD Ø7 3/4" OD T-304L SS PER A276 MILL FINISH</t>
  </si>
  <si>
    <t>BAR RD Ø7 1/2" OD T-304L SS PER A276 MILL FINISH</t>
  </si>
  <si>
    <t>BAR RD Ø7 1/4" OD T-304L SS PER A276 MILL FINISH</t>
  </si>
  <si>
    <t>BAR RD Ø7" OD T-304L SS PER A276 MILL FINISH</t>
  </si>
  <si>
    <t>BAR RD Ø7 3/4" OD T-304 SS PER A276 MILL FINISH</t>
  </si>
  <si>
    <t>BAR RD Ø7 1/2" OD T-304 SS PER A276 MILL FINISH</t>
  </si>
  <si>
    <t>BAR RD Ø7 1/4" OD T-304 SS PER A276 MILL FINISH</t>
  </si>
  <si>
    <t>BAR RD Ø7" OD T-304 SS PER A276 MILL FINISH</t>
  </si>
  <si>
    <t>BAR RD Ø6 3/4" OD T-316L SS PER A276 MILL FINISH</t>
  </si>
  <si>
    <t>BAR RD Ø6 1/2" OD T-316L SS PER A276 MILL FINISH</t>
  </si>
  <si>
    <t>BAR RD Ø6 1/4" OD T-316L SS PER A276 MILL FINISH</t>
  </si>
  <si>
    <t>BAR RD Ø6" OD T-316L SS PER A276 MILL FINISH</t>
  </si>
  <si>
    <t>BAR RD Ø6 3/4" OD T-316 SS PER A276 MILL FINISH</t>
  </si>
  <si>
    <t>BAR RD Ø6 1/2" OD T-316 SS PER A276 MILL FINISH</t>
  </si>
  <si>
    <t>BAR RD Ø6 1/4" OD T-316 SS PER A276 MILL FINISH</t>
  </si>
  <si>
    <t>BAR RD Ø6" OD T-316 SS PER A276 MILL FINISH</t>
  </si>
  <si>
    <t>BAR RD Ø6 3/4" OD T-304L SS PER A276 MILL FINISH</t>
  </si>
  <si>
    <t>BAR RD Ø6 1/2" OD T-304L SS PER A276 MILL FINISH</t>
  </si>
  <si>
    <t>BAR RD Ø6 1/4" OD T-304L SS PER A276 MILL FINISH</t>
  </si>
  <si>
    <t>BAR RD Ø6" OD T-304L SS PER A276 MILL FINISH</t>
  </si>
  <si>
    <t>BAR RD Ø6 3/4" OD T-304 SS PER A276 MILL FINISH</t>
  </si>
  <si>
    <t>BAR RD Ø6 1/2" OD T-304 SS PER A276 MILL FINISH</t>
  </si>
  <si>
    <t>BAR RD Ø6 1/4" OD T-304 SS PER A276 MILL FINISH</t>
  </si>
  <si>
    <t>BAR RD Ø6" OD T-304 SS PER A276 MILL FINISH</t>
  </si>
  <si>
    <t>BAR RD Ø5 3/4" OD T-316L SS PER A276 MILL FINISH</t>
  </si>
  <si>
    <t>BAR RD Ø5 1/2" OD T-316L SS PER A276 MILL FINISH</t>
  </si>
  <si>
    <t>BAR RD Ø5 1/4" OD T-316L SS PER A276 MILL FINISH</t>
  </si>
  <si>
    <t>BAR RD Ø5" OD T-316L SS PER A276 MILL FINISH</t>
  </si>
  <si>
    <t>BAR RD Ø5 3/4" OD T-316 SS PER A276 MILL FINISH</t>
  </si>
  <si>
    <t>BAR RD Ø5 1/2" OD T-316 SS PER A276 MILL FINISH</t>
  </si>
  <si>
    <t>BAR RD Ø5 1/4" OD T-316 SS PER A276 MILL FINISH</t>
  </si>
  <si>
    <t>BAR RD Ø5" OD T-316 SS PER A276 MILL FINISH</t>
  </si>
  <si>
    <t>BAR RD Ø5 3/4" OD T-304L SS PER A276 MILL FINISH</t>
  </si>
  <si>
    <t>BAR RD Ø5 1/2" OD T-304L SS PER A276 MILL FINISH</t>
  </si>
  <si>
    <t>BAR RD Ø5 1/4" OD T-304L SS PER A276 MILL FINISH</t>
  </si>
  <si>
    <t>BAR RD Ø5" OD T-304L SS PER A276 MILL FINISH</t>
  </si>
  <si>
    <t>BAR RD Ø5 3/4" OD T-304 SS PER A276 MILL FINISH</t>
  </si>
  <si>
    <t>BAR RD Ø5 1/2" OD T-304 SS PER A276 MILL FINISH</t>
  </si>
  <si>
    <t>BAR RD Ø5 1/4" OD T-304 SS PER A276 MILL FINISH</t>
  </si>
  <si>
    <t>BAR RD Ø5" OD T-304 SS PER A276 MILL FINISH</t>
  </si>
  <si>
    <t>BAR RD Ø4 15/16" OD T-316L SS PER A276 MILL FINISH</t>
  </si>
  <si>
    <t>BAR RD Ø4 3/4" OD T-316L SS PER A276 MILL FINISH</t>
  </si>
  <si>
    <t>BAR RD Ø4 5/8" OD T-316L SS PER A276 MILL FINISH</t>
  </si>
  <si>
    <t>BAR RD Ø4 1/2" OD T-316L SS PER A276 MILL FINISH</t>
  </si>
  <si>
    <t>BAR RD Ø4 7/16" OD T-316L SS PER A276 MILL FINISH</t>
  </si>
  <si>
    <t>BAR RD Ø4 5/16" OD T-316L SS PER A276 MILL FINISH</t>
  </si>
  <si>
    <t>BAR RD Ø4 3/8" OD T-316L SS PER A276 MILL FINISH</t>
  </si>
  <si>
    <t>BAR RD Ø4 1/4" OD T-316L SS PER A276 MILL FINISH</t>
  </si>
  <si>
    <t>BAR RD Ø4 1/8" OD T-316L SS PER A276 MILL FINISH</t>
  </si>
  <si>
    <t>BAR RD Ø4" OD T-316L SS PER A276 MILL FINISH</t>
  </si>
  <si>
    <t>BAR RD Ø4 15/16" OD T-316 SS PER A276 MILL FINISH</t>
  </si>
  <si>
    <t>BAR RD Ø4 3/4" OD T-316 SS PER A276 MILL FINISH</t>
  </si>
  <si>
    <t>BAR RD Ø4 5/8" OD T-316 SS PER A276 MILL FINISH</t>
  </si>
  <si>
    <t>BAR RD Ø4 1/2" OD T-316 SS PER A276 MILL FINISH</t>
  </si>
  <si>
    <t>BAR RD Ø4 7/16" OD T-316 SS PER A276 MILL FINISH</t>
  </si>
  <si>
    <t>BAR RD Ø4 5/16" OD T-316 SS PER A276 MILL FINISH</t>
  </si>
  <si>
    <t>BAR RD Ø4 3/8" OD T-316 SS PER A276 MILL FINISH</t>
  </si>
  <si>
    <t>BAR RD Ø4 1/4" OD T-316 SS PER A276 MILL FINISH</t>
  </si>
  <si>
    <t>BAR RD Ø4 1/8" OD T-316 SS PER A276 MILL FINISH</t>
  </si>
  <si>
    <t>BAR RD Ø4" OD T-316 SS PER A276 MILL FINISH</t>
  </si>
  <si>
    <t>BAR RD Ø4 15/16" OD T-304L SS PER A276 MILL FINISH</t>
  </si>
  <si>
    <t>BAR RD Ø4 3/4" OD T-304L SS PER A276 MILL FINISH</t>
  </si>
  <si>
    <t>BAR RD Ø4 5/8" OD T-304L SS PER A276 MILL FINISH</t>
  </si>
  <si>
    <t>BAR RD Ø4 1/2" OD T-304L SS PER A276 MILL FINISH</t>
  </si>
  <si>
    <t>BAR RD Ø4 7/16" OD T-304L SS PER A276 MILL FINISH</t>
  </si>
  <si>
    <t>BAR RD Ø4 5/16" OD T-304L SS PER A276 MILL FINISH</t>
  </si>
  <si>
    <t>BAR RD Ø4 3/8" OD T-304L SS PER A276 MILL FINISH</t>
  </si>
  <si>
    <t>BAR RD Ø4 1/4" OD T-304L SS PER A276 MILL FINISH</t>
  </si>
  <si>
    <t>BAR RD Ø4 1/8" OD T-304L SS PER A276 MILL FINISH</t>
  </si>
  <si>
    <t>BAR RD Ø4" OD T-304L SS PER A276 MILL FINISH</t>
  </si>
  <si>
    <t>BAR RD Ø4 15/16" OD T-304 SS PER A276 MILL FINISH</t>
  </si>
  <si>
    <t>BAR RD Ø4 3/4" OD T-304 SS PER A276 MILL FINISH</t>
  </si>
  <si>
    <t>BAR RD Ø4 5/8" OD T-304 SS PER A276 MILL FINISH</t>
  </si>
  <si>
    <t>BAR RD Ø4 1/2" OD T-304 SS PER A276 MILL FINISH</t>
  </si>
  <si>
    <t>BAR RD Ø4 7/16" OD T-304 SS PER A276 MILL FINISH</t>
  </si>
  <si>
    <t>BAR RD Ø4 5/16" OD T-304 SS PER A276 MILL FINISH</t>
  </si>
  <si>
    <t>BAR RD Ø4 3/8" OD T-304 SS PER A276 MILL FINISH</t>
  </si>
  <si>
    <t>BAR RD Ø4 1/4" OD T-304 SS PER A276 MILL FINISH</t>
  </si>
  <si>
    <t>BAR RD Ø4 1/8" OD T-304 SS PER A276 MILL FINISH</t>
  </si>
  <si>
    <t>BAR RD Ø4" OD T-304 SS PER A276 MILL FINISH</t>
  </si>
  <si>
    <t>BAR RD Ø3 15/16" OD T-316L SS PER A276 MILL FINISH</t>
  </si>
  <si>
    <t>BAR RD Ø3 3/4" OD T-316L SS PER A276 MILL FINISH</t>
  </si>
  <si>
    <t>BAR RD Ø3 5/8" OD T-316L SS PER A276 MILL FINISH</t>
  </si>
  <si>
    <t>BAR RD Ø3 1/2" OD T-316L SS PER A276 MILL FINISH</t>
  </si>
  <si>
    <t>BAR RD Ø3 7/16" OD T-316L SS PER A276 MILL FINISH</t>
  </si>
  <si>
    <t>BAR RD Ø3 5/16" OD T-316L SS PER A276 MILL FINISH</t>
  </si>
  <si>
    <t>BAR RD Ø3 3/8" OD T-316L SS PER A276 MILL FINISH</t>
  </si>
  <si>
    <t>BAR RD Ø3 1/4" OD T-316L SS PER A276 MILL FINISH</t>
  </si>
  <si>
    <t>BAR RD Ø3 1/8" OD T-316L SS PER A276 MILL FINISH</t>
  </si>
  <si>
    <t>BAR RD Ø3" OD T-316L SS PER A276 MILL FINISH</t>
  </si>
  <si>
    <t>BAR RD Ø3 15/16" OD T-316 SS PER A276 MILL FINISH</t>
  </si>
  <si>
    <t>BAR RD Ø3 3/4" OD T-316 SS PER A276 MILL FINISH</t>
  </si>
  <si>
    <t>BAR RD Ø3 5/8" OD T-316 SS PER A276 MILL FINISH</t>
  </si>
  <si>
    <t>BAR RD Ø3 1/2" OD T-316 SS PER A276 MILL FINISH</t>
  </si>
  <si>
    <t>BAR RD Ø3 7/16" OD T-316 SS PER A276 MILL FINISH</t>
  </si>
  <si>
    <t>BAR RD Ø3 5/16" OD T-316 SS PER A276 MILL FINISH</t>
  </si>
  <si>
    <t>BAR RD Ø3 3/8" OD T-316 SS PER A276 MILL FINISH</t>
  </si>
  <si>
    <t>BAR RD Ø3 1/4" OD T-316 SS PER A276 MILL FINISH</t>
  </si>
  <si>
    <t>BAR RD Ø3 1/8" OD T-316 SS PER A276 MILL FINISH</t>
  </si>
  <si>
    <t>BAR RD Ø3" OD T-316 SS PER A276 MILL FINISH</t>
  </si>
  <si>
    <t>BAR RD Ø3 15/16" OD T-304L SS PER A276 MILL FINISH</t>
  </si>
  <si>
    <t>BAR RD Ø3 3/4" OD T-304L SS PER A276 MILL FINISH</t>
  </si>
  <si>
    <t>BAR RD Ø3 5/8" OD T-304L SS PER A276 MILL FINISH</t>
  </si>
  <si>
    <t>BAR RD Ø3 1/2" OD T-304L SS PER A276 MILL FINISH</t>
  </si>
  <si>
    <t>BAR RD Ø3 7/16" OD T-304L SS PER A276 MILL FINISH</t>
  </si>
  <si>
    <t>BAR RD Ø3 5/16" OD T-304L SS PER A276 MILL FINISH</t>
  </si>
  <si>
    <t>BAR RD Ø3 3/8" OD T-304L SS PER A276 MILL FINISH</t>
  </si>
  <si>
    <t>BAR RD Ø3 1/4" OD T-304L SS PER A276 MILL FINISH</t>
  </si>
  <si>
    <t>BAR RD Ø3 1/8" OD T-304L SS PER A276 MILL FINISH</t>
  </si>
  <si>
    <t>BAR RD Ø3" OD T-304L SS PER A276 MILL FINISH</t>
  </si>
  <si>
    <t>BAR RD Ø3 15/16" OD T-304 SS PER A276 MILL FINISH</t>
  </si>
  <si>
    <t>BAR RD Ø3 3/4" OD T-304 SS PER A276 MILL FINISH</t>
  </si>
  <si>
    <t>BAR RD Ø3 5/8" OD T-304 SS PER A276 MILL FINISH</t>
  </si>
  <si>
    <t>BAR RD Ø3 1/2" OD T-304 SS PER A276 MILL FINISH</t>
  </si>
  <si>
    <t>BAR RD Ø3 7/16" OD T-304 SS PER A276 MILL FINISH</t>
  </si>
  <si>
    <t>BAR RD Ø3 5/16" OD T-304 SS PER A276 MILL FINISH</t>
  </si>
  <si>
    <t>BAR RD Ø3 3/8" OD T-304 SS PER A276 MILL FINISH</t>
  </si>
  <si>
    <t>BAR RD Ø3 1/4" OD T-304 SS PER A276 MILL FINISH</t>
  </si>
  <si>
    <t>BAR RD Ø3 1/8" OD T-304 SS PER A276 MILL FINISH</t>
  </si>
  <si>
    <t>BAR RD Ø3" OD T-304 SS PER A276 MILL FINISH</t>
  </si>
  <si>
    <t>BAR RD Ø2 15/16" OD T-316L SS PER A276 MILL FINISH</t>
  </si>
  <si>
    <t>BAR RD Ø2 3/4" OD T-316L SS PER A276 MILL FINISH</t>
  </si>
  <si>
    <t>BAR RD Ø2 5/8" OD T-316L SS PER A276 MILL FINISH</t>
  </si>
  <si>
    <t>BAR RD Ø2 1/2" OD T-316L SS PER A276 MILL FINISH</t>
  </si>
  <si>
    <t>BAR RD Ø2 7/16" OD T-316L SS PER A276 MILL FINISH</t>
  </si>
  <si>
    <t>BAR RD Ø2 5/16" OD T-316L SS PER A276 MILL FINISH</t>
  </si>
  <si>
    <t>BAR RD Ø2 3/8" OD T-316L SS PER A276 MILL FINISH</t>
  </si>
  <si>
    <t>BAR RD Ø2 1/4" OD T-316L SS PER A276 MILL FINISH</t>
  </si>
  <si>
    <t>BAR RD Ø2 1/8" OD T-316L SS PER A276 MILL FINISH</t>
  </si>
  <si>
    <t>BAR RD Ø2" OD T-316L SS PER A276 MILL FINISH</t>
  </si>
  <si>
    <t>BAR RD Ø2 15/16" OD T-316 SS PER A276 MILL FINISH</t>
  </si>
  <si>
    <t>BAR RD Ø2 3/4" OD T-316 SS PER A276 MILL FINISH</t>
  </si>
  <si>
    <t>BAR RD Ø2 5/8" OD T-316 SS PER A276 MILL FINISH</t>
  </si>
  <si>
    <t>BAR RD Ø2 1/2" OD T-316 SS PER A276 MILL FINISH</t>
  </si>
  <si>
    <t>BAR RD Ø2 7/16" OD T-316 SS PER A276 MILL FINISH</t>
  </si>
  <si>
    <t>BAR RD Ø2 5/16" OD T-316 SS PER A276 MILL FINISH</t>
  </si>
  <si>
    <t>BAR RD Ø2 3/8" OD T-316 SS PER A276 MILL FINISH</t>
  </si>
  <si>
    <t>BAR RD Ø2 1/4" OD T-316 SS PER A276 MILL FINISH</t>
  </si>
  <si>
    <t>BAR RD Ø2 1/8" OD T-316 SS PER A276 MILL FINISH</t>
  </si>
  <si>
    <t>BAR RD Ø2" OD T-316 SS PER A276 MILL FINISH</t>
  </si>
  <si>
    <t>BAR RD Ø2 15/16" OD T-304L SS PER A276 MILL FINISH</t>
  </si>
  <si>
    <t>BAR RD Ø2 3/4" OD T-304L SS PER A276 MILL FINISH</t>
  </si>
  <si>
    <t>BAR RD Ø2 5/8" OD T-304L SS PER A276 MILL FINISH</t>
  </si>
  <si>
    <t>BAR RD Ø2 1/2" OD T-304L SS PER A276 MILL FINISH</t>
  </si>
  <si>
    <t>BAR RD Ø2 7/16" OD T-304L SS PER A276 MILL FINISH</t>
  </si>
  <si>
    <t>BAR RD Ø2 5/16" OD T-304L SS PER A276 MILL FINISH</t>
  </si>
  <si>
    <t>BAR RD Ø2 3/8" OD T-304L SS PER A276 MILL FINISH</t>
  </si>
  <si>
    <t>BAR RD Ø2 1/4" OD T-304L SS PER A276 MILL FINISH</t>
  </si>
  <si>
    <t>BAR RD Ø2 1/8" OD T-304L SS PER A276 MILL FINISH</t>
  </si>
  <si>
    <t>BAR RD Ø2" OD T-304L SS PER A276 MILL FINISH</t>
  </si>
  <si>
    <t>BAR RD Ø2 15/16" OD T-304 SS PER A276 MILL FINISH</t>
  </si>
  <si>
    <t>BAR RD Ø2 3/4" OD T-304 SS PER A276 MILL FINISH</t>
  </si>
  <si>
    <t>BAR RD Ø2 5/8" OD T-304 SS PER A276 MILL FINISH</t>
  </si>
  <si>
    <t>BAR RD Ø2 1/2" OD T-304 SS PER A276 MILL FINISH</t>
  </si>
  <si>
    <t>BAR RD Ø2 7/16" OD T-304 SS PER A276 MILL FINISH</t>
  </si>
  <si>
    <t>BAR RD Ø2 5/16" OD T-304 SS PER A276 MILL FINISH</t>
  </si>
  <si>
    <t>BAR RD Ø2 3/8" OD T-304 SS PER A276 MILL FINISH</t>
  </si>
  <si>
    <t>BAR RD Ø2 1/4" OD T-304 SS PER A276 MILL FINISH</t>
  </si>
  <si>
    <t>BAR RD Ø2 1/8" OD T-304 SS PER A276 MILL FINISH</t>
  </si>
  <si>
    <t>BAR RD Ø2" OD T-304 SS PER A276 MILL FINISH</t>
  </si>
  <si>
    <t>BAR RD Ø1 15/16" OD T-316L SS PER A276 MILL FINISH</t>
  </si>
  <si>
    <t>BAR RD Ø1 3/4" OD T-316L SS PER A276 MILL FINISH</t>
  </si>
  <si>
    <t>BAR RD Ø1 5/8" OD T-316L SS PER A276 MILL FINISH</t>
  </si>
  <si>
    <t>BAR RD Ø1 1/2" OD T-316L SS PER A276 MILL FINISH</t>
  </si>
  <si>
    <t>BAR RD Ø1 7/16" OD T-316L SS PER A276 MILL FINISH</t>
  </si>
  <si>
    <t>BAR RD Ø1 5/16" OD T-316L SS PER A276 MILL FINISH</t>
  </si>
  <si>
    <t>BAR RD Ø1 3/8" OD T-316L SS PER A276 MILL FINISH</t>
  </si>
  <si>
    <t>BAR RD Ø1 1/4" OD T-316L SS PER A276 MILL FINISH</t>
  </si>
  <si>
    <t>BAR RD Ø1 1/8" OD T-316L SS PER A276 MILL FINISH</t>
  </si>
  <si>
    <t>BAR RD Ø1" OD T-316L SS PER A276 MILL FINISH</t>
  </si>
  <si>
    <t>BAR RD Ø3/4" OD T-316L SS PER A276 MILL FINISH</t>
  </si>
  <si>
    <t>BAR RD Ø1/2" OD T-316L SS PER A276 MILL FINISH</t>
  </si>
  <si>
    <t>BAR RD Ø3/8" OD T-316L SS PER A276 MILL FINISH</t>
  </si>
  <si>
    <t>BAR RD Ø1/4" OD T-316L SS PER A276 MILL FINISH</t>
  </si>
  <si>
    <t>BAR RD Ø1 15/16" OD T-316 SS PER A276 MILL FINISH</t>
  </si>
  <si>
    <t>BAR RD Ø1 3/4" OD T-316 SS PER A276 MILL FINISH</t>
  </si>
  <si>
    <t>BAR RD Ø1 5/8" OD T-316 SS PER A276 MILL FINISH</t>
  </si>
  <si>
    <t>BAR RD Ø1 1/2" OD T-316 SS PER A276 MILL FINISH</t>
  </si>
  <si>
    <t>BAR RD Ø1 7/16" OD T-316 SS PER A276 MILL FINISH</t>
  </si>
  <si>
    <t>BAR RD Ø1 5/16" OD T-316 SS PER A276 MILL FINISH</t>
  </si>
  <si>
    <t>BAR RD Ø1 3/8" OD T-316 SS PER A276 MILL FINISH</t>
  </si>
  <si>
    <t>BAR RD Ø1 1/4" OD T-316 SS PER A276 MILL FINISH</t>
  </si>
  <si>
    <t>BAR RD Ø1 1/8" OD T-316 SS PER A276 MILL FINISH</t>
  </si>
  <si>
    <t>BAR RD Ø1" OD T-316 SS PER A276 MILL FINISH</t>
  </si>
  <si>
    <t>BAR RD Ø3/4" OD T-316 SS PER A276 MILL FINISH</t>
  </si>
  <si>
    <t>BAR RD Ø1/2" OD T-316 SS PER A276 MILL FINISH</t>
  </si>
  <si>
    <t>BAR RD Ø3/8" OD T-316 SS PER A276 MILL FINISH</t>
  </si>
  <si>
    <t>BAR RD Ø1/4" OD T-316 SS PER A276 MILL FINISH</t>
  </si>
  <si>
    <t>BAR RD Ø1 15/16" OD T-304L SS PER A276 MILL FINISH</t>
  </si>
  <si>
    <t>BAR RD Ø1 3/4" OD T-304L SS PER A276 MILL FINISH</t>
  </si>
  <si>
    <t>BAR RD Ø1 5/8" OD T-304L SS PER A276 MILL FINISH</t>
  </si>
  <si>
    <t>BAR RD Ø1 1/2" OD T-304L SS PER A276 MILL FINISH</t>
  </si>
  <si>
    <t>BAR RD Ø1 7/16" OD T-304L SS PER A276 MILL FINISH</t>
  </si>
  <si>
    <t>BAR RD Ø1 5/16" OD T-304L SS PER A276 MILL FINISH</t>
  </si>
  <si>
    <t>BAR RD Ø1 3/8" OD T-304L SS PER A276 MILL FINISH</t>
  </si>
  <si>
    <t>BAR RD Ø1 1/4" OD T-304L SS PER A276 MILL FINISH</t>
  </si>
  <si>
    <t>BAR RD Ø1 1/8" OD T-304L SS PER A276 MILL FINISH</t>
  </si>
  <si>
    <t>BAR RD Ø1" OD T-304L SS PER A276 MILL FINISH</t>
  </si>
  <si>
    <t>BAR RD Ø3/4" OD T-304L SS PER A276 MILL FINISH</t>
  </si>
  <si>
    <t>BAR RD Ø1/2" OD T-304L SS PER A276 MILL FINISH</t>
  </si>
  <si>
    <t>BAR RD Ø3/8" OD T-304L SS PER A276 MILL FINISH</t>
  </si>
  <si>
    <t>BAR RD Ø1/4" OD T-304L SS PER A276 MILL FINISH</t>
  </si>
  <si>
    <t>BAR RD Ø1 15/16" OD T-304 SS PER A276 MILL FINISH</t>
  </si>
  <si>
    <t>BAR RD Ø1 3/4" OD T-304 SS PER A276 MILL FINISH</t>
  </si>
  <si>
    <t>BAR RD Ø1 5/8" OD T-304 SS PER A276 MILL FINISH</t>
  </si>
  <si>
    <t>BAR RD Ø1 1/2" OD T-304 SS PER A276 MILL FINISH</t>
  </si>
  <si>
    <t>BAR RD Ø1 7/16" OD T-304 SS PER A276 MILL FINISH</t>
  </si>
  <si>
    <t>BAR RD Ø1 5/16" OD T-304 SS PER A276 MILL FINISH</t>
  </si>
  <si>
    <t>BAR RD Ø1 3/8" OD T-304 SS PER A276 MILL FINISH</t>
  </si>
  <si>
    <t>BAR RD Ø1 1/4" OD T-304 SS PER A276 MILL FINISH</t>
  </si>
  <si>
    <t>BAR RD Ø1 1/8" OD T-304 SS PER A276 MILL FINISH</t>
  </si>
  <si>
    <t>BAR RD Ø1" OD T-304 SS PER A276 MILL FINISH</t>
  </si>
  <si>
    <t>BAR RD Ø3/4" OD T-304 SS PER A276 MILL FINISH</t>
  </si>
  <si>
    <t>BAR RD Ø1/2" OD T-304 SS PER A276 MILL FINISH</t>
  </si>
  <si>
    <t>BAR RD Ø3/8" OD T-304 SS PER A276 MILL FINISH</t>
  </si>
  <si>
    <t>BAR RD Ø1/4" OD T-304 SS PER A276 MILL FINISH</t>
  </si>
  <si>
    <t>BAR RD Ø4" OD 17-4PH PUMP SHAFT QUALITY (PSQ)</t>
  </si>
  <si>
    <t>PUMP SHAFT QUALITY (PSQ). TAGGING INFO. SHALL BE CLEARLY LEGIBLE &amp; SHALL INCL. APPLICABLE DATA THAT FOLLOWS: SIZE, TYPE, GRADE, &amp; ASTM NO's. ENVR. ELEMENTS OR HNDLG, CARBON STL. BANDING MUST NOT CONTACT SS MAT'LS.</t>
  </si>
  <si>
    <t>BAR RD Ø9 1/2" OD T-304L SS PER A276 MILL FINISH</t>
  </si>
  <si>
    <t>BAR RD Ø9 1/2" OD T-316L SS PER A276 MILL FINISH</t>
  </si>
  <si>
    <t>BAR RD Ø9 1/2" OD T-304 SS PER A276 MILL FINISH</t>
  </si>
  <si>
    <t>BAR RD Ø9 1/2" OD T-316 SS PER A276 MILL FINISH</t>
  </si>
  <si>
    <t>BAR RD Ø7/8" OD T-316L SS PER A276 MILL FINISH</t>
  </si>
  <si>
    <t>BAR RD Ø7/8" OD T-316 SS PER A276 MILL FINISH</t>
  </si>
  <si>
    <t>BAR RD Ø7/8" OD T-304L SS PER A276 MILL FINISH</t>
  </si>
  <si>
    <t>BAR RD Ø7/8" OD T-304 SS PER A276 MILL FINISH</t>
  </si>
  <si>
    <t>BAR RD Ø1 1/4" OD 17-4PH PER A693 MILL FINISH</t>
  </si>
  <si>
    <t>BAR RD Ø4" OD 17-4PH H1150 PER UNS S17400</t>
  </si>
  <si>
    <t>ROUGH TURNED, CONDITION H 1150. TAGGING INFO. SHALL BE CLEARLY LEGIBLE &amp; SHALL INCL. APPLICABLE DATA THAT FOLLOWS: SIZE, TYPE, GRADE, &amp; ASTM NO's. ENVR. ELEMENTS OR HNDLG, CARBON STL. BANDING MUST NOT CONTACT SS MAT'LS.</t>
  </si>
  <si>
    <t>BAR RD Ø5" OD 17-4PH H1150 PER UNS S17400</t>
  </si>
  <si>
    <t>BAR RD Ø5/8" OD T-316 SS PER A276 MILL FINISH 95KSI MIN TENSILE STRENGTH</t>
  </si>
  <si>
    <t>BAR RD Ø5” OD 17-4PH PER A564 MILL FINISH, H1150</t>
  </si>
  <si>
    <t>ROUGH TURNED, HEAT TREAT H1150. TAGGING INFO. SHALL BE CLEARLY LEGIBLE &amp; SHALL INCL. APPLICABLE DATA THAT FOLLOWS: SIZE, TYPE, GRADE, &amp; ASTM NO's. ENVR. ELEMENTS OR HNDLG, CARBON STL. BANDING MUST NOT CONTACT SS MAT'LS.</t>
  </si>
  <si>
    <t>ROD, 1/2 DIA ASTM A108 12L14 CARBON STEEL</t>
  </si>
  <si>
    <t>McMASTER-CARR 90075K155</t>
  </si>
  <si>
    <t>BAR RD Ø5 1/4” OD 17-4PH PER A564 MILL FINISH, H1150</t>
  </si>
  <si>
    <t>DELRIN ROD Ø3/4" PER NSF/ANSI 61</t>
  </si>
  <si>
    <t>NONM</t>
  </si>
  <si>
    <t>WHITE DELRIN(R) ACETAL RESIN ROD, Ø3/4" X 60" LONG, NSF/ANSI 61_x000D_MCMASTER CARR P/N: 8572K999 (MINIMUM ORDER TWO)</t>
  </si>
  <si>
    <t>BAR RD Ø1/2" OD 1215 CARBON STEEL PER ASTM A108</t>
  </si>
  <si>
    <t>MCMASTER P/N: 4416T96_x000D_AVAILABLE IN 36" OR 60" LENGTHS_x000D_DIAMETER TOLERANCE -0.002 TO 0"</t>
  </si>
  <si>
    <t>REBAR RD Ø3/4" OD T-304 SS</t>
  </si>
  <si>
    <t>PIPE Ø6" NOM X .562" SCH 120 T-304L SS PER A312 MILL FINISH</t>
  </si>
  <si>
    <t>WELDED, AND/OR EQUIVALENT TO: ASTM A358. TAGGING INFO. SHALL BE CLEARLY LEGIBLE &amp; SHALL INCL. APPLICABLE DATA THAT FOLLOWS: SIZE, TYPE, GRADE, &amp; ASTM NO's. ENVR. ELEMENTS OR HNDLG, CARBON STL. BANDING MUST NOT CONTACT SS MAT'LS.</t>
  </si>
  <si>
    <t>PIPE Ø24" NOM X .250" SCH 10 T-316L SS PER A312 MILL FINISH</t>
  </si>
  <si>
    <t>PIPE Ø24" NOM X .250" SCH 10 T-304L SS PER A312 MILL FINISH</t>
  </si>
  <si>
    <t>PIPE Ø30" NOM X .312" SCH 10 T-316L SS PER A312 MILL FINISH</t>
  </si>
  <si>
    <t>PIPE Ø24" NOM X .688" SCH 40 T-316L SS PER A312 MILL FINISH</t>
  </si>
  <si>
    <t>PIPE Ø24" NOM X .688" SCH 40 T-304L SS PER A312 MILL FINISH</t>
  </si>
  <si>
    <t>PIPE Ø24" NOM X .375" SCH STD T-316L SS PER A312 MILL FINISH</t>
  </si>
  <si>
    <t>PIPE Ø24" NOM X .375" SCH STD T-304L SS PER A312 MILL FINISH</t>
  </si>
  <si>
    <t>PIPE Ø20" NOM X .375" SCH STD T-316L SS PER A312 MILL FINISH</t>
  </si>
  <si>
    <t>PIPE Ø20" NOM X .375" SCH STD T-304L SS PER A312 MILL FINISH</t>
  </si>
  <si>
    <t>PIPE Ø20" NOM X .594" SCH 40 T-316L SS PER A312 MILL FINISH</t>
  </si>
  <si>
    <t>PIPE Ø20" NOM X .594" SCH 40 T-304L SS PER A312 MILL FINISH</t>
  </si>
  <si>
    <t>PIPE Ø20" NOM X .250" SCH 10 T-316L SS PER A312 MILL FINISH</t>
  </si>
  <si>
    <t>PIPE Ø20" NOM X .218" SCH 10S T-316L SS PER A312 MILL FINISH</t>
  </si>
  <si>
    <t>PIPE Ø20" NOM X .250" SCH 10 T-304L SS PER A312 MILL FINISH</t>
  </si>
  <si>
    <t>PIPE Ø20" NOM X .218" SCH 10S T-304L SS PER A312 MILL FINISH</t>
  </si>
  <si>
    <t>PIPE Ø3/8" NOM X .091" SCH 40 T-304L SS PER A312 MILL FINISH</t>
  </si>
  <si>
    <t>PIPE Ø3/8" NOM X .091" SCH 40 T-316L SS PER A312 MILL FINISH</t>
  </si>
  <si>
    <t>DO NOT USE: PIPE Ø1/4" NOM X .065" SCH 10 T-304L SS PER A312 MILL FINISH</t>
  </si>
  <si>
    <t>DO NOT USE: PIPE Ø1/4" NOM X .065" SCH 10 T-316L SS PER A312 MILL FINISH</t>
  </si>
  <si>
    <t>PIPE Ø22" NOM X .250" SCH 10 T-316L SS PER A312 MILL FINISH</t>
  </si>
  <si>
    <t>PIPE Ø22" NOM X .250" SCH 10 T-316 SS PER A312 MILL FINISH</t>
  </si>
  <si>
    <t>PIPE Ø22" NOM X .250" SCH 10 T-304L SS PER A312 MILL FINISH</t>
  </si>
  <si>
    <t>PIPE Ø22" NOM X .250" SCH 10 T-304 SS PER A312 MILL FINISH</t>
  </si>
  <si>
    <t>PIPE Ø4" NOM X .437" SCH 120 T-316L SS PER A312 MILL FINISH</t>
  </si>
  <si>
    <t>PIPE Ø5" NOM X .500" SCH 120 T-316L SS PER A312 MILL FINISH</t>
  </si>
  <si>
    <t>PIPE Ø6" NOM X .562" SCH 120 T-316L SS PER A312 MILL FINISH</t>
  </si>
  <si>
    <t>PIPE Ø8" NOM X .718" SCH 120 T-316L SS PER A312 MILL FINISH</t>
  </si>
  <si>
    <t>PIPE Ø1 1/2" NOM X .400" SCH XX T-304L SS PER A312 MILL FINISH</t>
  </si>
  <si>
    <t>PIPE Ø2" NOM X .343" SCH 160 T-316L SS PER A312 MILL FINISH</t>
  </si>
  <si>
    <t>PIPE Ø2" NOM X .343" SCH 160 T-304L SS PER A312 MILL FINISH</t>
  </si>
  <si>
    <t>DO NOT USE - PIPE Ø20" NOM X .218" SCH 10S T-316L SS PER A312 MILL FINISH</t>
  </si>
  <si>
    <t>PIPE Ø20" NOM X .218" SCH 10S T-316 SS PER A312 MILL FINISH</t>
  </si>
  <si>
    <t>DO NOT USE - PIPE Ø20" NOM X .218" SCH 10S T-304L SS PER A312 MILL FINISH</t>
  </si>
  <si>
    <t>PIPE Ø1/2" NOM X .147" SCH 80 T-316L SS PER A312 MILL FINISH</t>
  </si>
  <si>
    <t>PIPE Ø1/2" NOM X .109" SCH 40 T-316L SS PER A312 MILL FINISH</t>
  </si>
  <si>
    <t>PIPE Ø1/2" NOM X .083" SCH 10 T-316L SS PER A312 MILL FINISH</t>
  </si>
  <si>
    <t>PIPE Ø1/2" NOM X .147" SCH 80 T-316 SS PER A312 MILL FINISH</t>
  </si>
  <si>
    <t>PIPE Ø1/2" NOM X .109" SCH 40 T-316 SS PER A312 MILL FINISH</t>
  </si>
  <si>
    <t>PIPE Ø1/2" NOM X .083" SCH 10 T-316 SS PER A312 MILL FINISH</t>
  </si>
  <si>
    <t>PIPE Ø1/2" NOM X .147" SCH 80 T-304L SS PER A312 MILL FINISH</t>
  </si>
  <si>
    <t>PIPE Ø1/2" NOM X .109" SCH 40 T-304L SS PER A312 MILL FINISH</t>
  </si>
  <si>
    <t>PIPE Ø1/2" NOM X .083" SCH 10 T-304L SS PER A312 MILL FINISH</t>
  </si>
  <si>
    <t>PIPE Ø1/2" NOM X .147" SCH 80 T-304 SS PER A312 MILL FINISH</t>
  </si>
  <si>
    <t>PIPE Ø1/2" NOM X .083" SCH 10 T-304 SS PER A312 MILL FINISH</t>
  </si>
  <si>
    <t>PIPE Ø16" NOM X .844" SCH 80 T-316L SS PER A312 MILL FINISH</t>
  </si>
  <si>
    <t>PIPE Ø16" NOM X .500" SCH XS T-316L SS PER A312 MILL FINISH</t>
  </si>
  <si>
    <t>PIPE Ø16" NOM X .375" SCH STD T-316L SS PER A312 MILL FINISH</t>
  </si>
  <si>
    <t>PIPE Ø16" NOM X .312" SCH 20 T-316L SS PER A312 MILL FINISH</t>
  </si>
  <si>
    <t>PIPE Ø16" NOM X .250" SCH 10 T-316L SS PER A312 MILL FINISH</t>
  </si>
  <si>
    <t>PIPE Ø16" NOM X .844" SCH 80 T-316 SS PER A312 MILL FINISH</t>
  </si>
  <si>
    <t>PIPE Ø16" NOM X .500" SCH XS T-316 SS PER A312 MILL FINISH</t>
  </si>
  <si>
    <t>PIPE Ø16" NOM X .375" SCH STD T-316 SS PER A312 MILL FINISH</t>
  </si>
  <si>
    <t>PIPE Ø16" NOM X .312" SCH 20 T-316 SS PER A312 MILL FINISH</t>
  </si>
  <si>
    <t>PIPE Ø16" NOM X .250" SCH 10 T-316 SS PER A312 MILL FINISH</t>
  </si>
  <si>
    <t>PIPE Ø16" NOM X .844" SCH 80 T-304L SS PER A312 MILL FINISH</t>
  </si>
  <si>
    <t>PIPE Ø16" NOM X .500" SCH XS T-304L SS PER A312 MILL FINISH</t>
  </si>
  <si>
    <t>PIPE Ø16" NOM X .375" SCH STD T-304L SS PER A312 MILL FINISH</t>
  </si>
  <si>
    <t>PIPE Ø16" NOM X .312" SCH 20 T-304L SS PER A312 MILL FINISH</t>
  </si>
  <si>
    <t>PIPE Ø16" NOM X .250" SCH 10 T-304L SS PER A312 MILL FINISH</t>
  </si>
  <si>
    <t>PIPE Ø16" NOM X .844" SCH 80 T-304 SS PER A312 MILL FINISH</t>
  </si>
  <si>
    <t>PIPE Ø16" NOM X .500" SCH XS T-304 SS PER A312 MILL FINISH</t>
  </si>
  <si>
    <t>PIPE Ø16" NOM X .375" SCH STD T-304 SS PER A312 MILL FINISH</t>
  </si>
  <si>
    <t>PIPE Ø16" NOM X .312" SCH 20 T-304 SS PER A312 MILL FINISH</t>
  </si>
  <si>
    <t>PIPE Ø16" NOM X .250" SCH 10 T-304 SS PER A312 MILL FINISH</t>
  </si>
  <si>
    <t>PIPE Ø4 1/2" NOM X .710" SCH XX T-316L SS PER A312 MILL FINISH</t>
  </si>
  <si>
    <t>PIPE Ø4 1/2" NOM X .355" SCH 80 T-316L SS PER A312 MILL FINISH</t>
  </si>
  <si>
    <t>PIPE Ø4 1/2" NOM X .247" SCH 40 T-316L SS PER A312 MILL FINISH</t>
  </si>
  <si>
    <t>PIPE Ø4 1/2" NOM X .710" SCH XX T-316 SS PER A312 MILL FINISH</t>
  </si>
  <si>
    <t>PIPE Ø4 1/2" NOM X .355" SCH 80 T-316 SS PER A312 MILL FINISH</t>
  </si>
  <si>
    <t>PIPE Ø4 1/2" NOM X .247" SCH 40 T-316 SS PER A312 MILL FINISH</t>
  </si>
  <si>
    <t>PIPE Ø4 1/2" NOM X .710" SCH XX T-304L SS PER A312 MILL FINISH</t>
  </si>
  <si>
    <t>PIPE Ø4 1/2" NOM X .355" SCH 80 T-304L SS PER A312 MILL FINISH</t>
  </si>
  <si>
    <t>PIPE Ø4 1/2" NOM X .247" SCH 40 T-304L SS PER A312 MILL FINISH</t>
  </si>
  <si>
    <t>PIPE Ø4 1/2" NOM X .710" SCH XX T-304 SS PER A312 MILL FINISH</t>
  </si>
  <si>
    <t>PIPE Ø4 1/2" NOM X .355" SCH 80 T-304 SS PER A312 MILL FINISH</t>
  </si>
  <si>
    <t>PIPE Ø4 1/2" NOM X .247" SCH 40 T-304 SS PER A312 MILL FINISH</t>
  </si>
  <si>
    <t>PIPE Ø1/2" NOM X .294" SCH XX T-316L SS PER A312 MILL FINISH</t>
  </si>
  <si>
    <t>PIPE Ø1/2" NOM X .294" SCH XX T-316 SS PER A312 MILL FINISH</t>
  </si>
  <si>
    <t>PIPE Ø1/2" NOM X .294" SCH XX T-304L SS PER A312 MILL FINISH</t>
  </si>
  <si>
    <t>PIPE Ø1/2" NOM X .294" SCH XX T-304 SS PER A312 MILL FINISH</t>
  </si>
  <si>
    <t>PIPE Ø1/2" NOM X .109" SCH 40 T-304 SS PER A312 MILL FINISH</t>
  </si>
  <si>
    <t>PIPE Ø18" NOM X .938" SCH 80 T-316L SS PER A312 MILL FINISH</t>
  </si>
  <si>
    <t>PIPE Ø18" NOM X .500" SCH XS T-316L SS PER A312 MILL FINISH</t>
  </si>
  <si>
    <t>PIPE Ø18" NOM X .375" SCH STD T-316L SS PER A312 MILL FINISH</t>
  </si>
  <si>
    <t>PIPE Ø18" NOM X .250" SCH 10 T-316L SS PER A312 MILL FINISH</t>
  </si>
  <si>
    <t>PIPE Ø18" NOM X .188" SCH 10S T-316L SS PER A312 MILL FINISH</t>
  </si>
  <si>
    <t>PIPE Ø18" NOM X .938" SCH 80 T-316 SS PER A312 MILL FINISH</t>
  </si>
  <si>
    <t>PIPE Ø18" NOM X .500" SCH XS T-316 SS PER A312 MILL FINISH</t>
  </si>
  <si>
    <t>PIPE Ø18" NOM X .375" SCH STD T-316 SS PER A312 MILL FINISH</t>
  </si>
  <si>
    <t>PIPE Ø18" NOM X .250" SCH 10 T-316 SS PER A312 MILL FINISH</t>
  </si>
  <si>
    <t>PIPE Ø18" NOM X .188" SCH 10S T-316 SS PER A312 MILL FINISH</t>
  </si>
  <si>
    <t>PIPE Ø18" NOM X .938" SCH 80 T-304L SS PER A312 MILL FINISH</t>
  </si>
  <si>
    <t>PIPE Ø18" NOM X .500" SCH XS T-304L SS PER A312 MILL FINISH</t>
  </si>
  <si>
    <t>PIPE Ø18" NOM X .375" SCH STD T-304L SS PER A312 MILL FINISH</t>
  </si>
  <si>
    <t>PIPE Ø18" NOM X .250" SCH 10 T-304L SS PER A312 MILL FINISH</t>
  </si>
  <si>
    <t>PIPE Ø18" NOM X .188" SCH 10S T-304L SS PER A312 MILL FINISH</t>
  </si>
  <si>
    <t>PIPE Ø18" NOM X .938" SCH 80 T-304 SS PER A312 MILL FINISH</t>
  </si>
  <si>
    <t>PIPE Ø18" NOM X .500" SCH XS T-304 SS PER A312 MILL FINISH</t>
  </si>
  <si>
    <t>PIPE Ø18" NOM X .375" SCH STD T-304 SS PER A312 MILL FINISH</t>
  </si>
  <si>
    <t>PIPE Ø18" NOM X .250" SCH 10 T-304 SS PER A312 MILL FINISH</t>
  </si>
  <si>
    <t>PIPE Ø18" NOM X .188" SCH 10S T-304 SS PER A312 MILL FINISH</t>
  </si>
  <si>
    <t>PIPE Ø14" NOM X .750" WALL SCH 80 T-316L SS PER A312 MILL FINISH</t>
  </si>
  <si>
    <t>PIPE Ø14" NOM X .500" WALL SCH XS T-316L SS PER A312 MILL FINISH</t>
  </si>
  <si>
    <t>PIPE Ø14" NOM X .375" WALL SCH STD T-316L SS PER A312 MILL FINISH</t>
  </si>
  <si>
    <t>PIPE Ø14" NOM X .250" WALL SCH 10 T-316L SS PER A312 MILL FINISH</t>
  </si>
  <si>
    <t>PIPE Ø14" NOM X .188" WALL SCH 10S T-316L SS PER A312 MILL FINISH</t>
  </si>
  <si>
    <t>PIPE Ø14" NOM X .750" WALL SCH 80 T-316 SS PER A312 MILL FINISH</t>
  </si>
  <si>
    <t>PIPE Ø14" NOM X .500" WALL SCH XS T-316 SS PER A312 MILL FINISH</t>
  </si>
  <si>
    <t>PIPE Ø14" NOM X .375" WALL SCH STD T-316 SS PER A312 MILL FINISH</t>
  </si>
  <si>
    <t>PIPE Ø14" NOM X .250" WALL SCH 10 T-316 SS PER A312 MILL FINISH</t>
  </si>
  <si>
    <t>PIPE Ø14" NOM X .188" WALL SCH 10S T-316 SS PER A312 MILL FINISH</t>
  </si>
  <si>
    <t>PIPE Ø14" NOM X .750" WALL SCH 80 T-304L SS PER A312 MILL FINISH</t>
  </si>
  <si>
    <t>PIPE Ø14" NOM X .500" WALL SCH XS T-304L SS PER A312 MILL FINISH</t>
  </si>
  <si>
    <t>PIPE Ø14" NOM X .375" WALL SCH STD T-304L SS PER A312 MILL FINISH</t>
  </si>
  <si>
    <t>PIPE Ø14" NOM X .250" WALL SCH 10 T-304L SS PER A312 MILL FINISH</t>
  </si>
  <si>
    <t>PIPE Ø14" NOM X .188" WALL SCH 10S T-304L SS PER A312 MILL FINISH</t>
  </si>
  <si>
    <t>PIPE Ø14" NOM X .750" WALL SCH 80 T-304 SS PER A312 MILL FINISH</t>
  </si>
  <si>
    <t>PIPE Ø14" NOM X .500" WALL SCH XS T-304 SS PER A312 MILL FINISH</t>
  </si>
  <si>
    <t>PIPE Ø14" NOM X .375" WALL SCH STD T-304 SS PER A312 MILL FINISH</t>
  </si>
  <si>
    <t>PIPE Ø14" NOM X .250" WALL SCH 10 T-304 SS PER A312 MILL FINISH</t>
  </si>
  <si>
    <t>PIPE Ø14" NOM X .188" WALL SCH 10S T-304 SS PER A312 MILL FINISH</t>
  </si>
  <si>
    <t>PIPE Ø12" NOM X 1.000" SCH XXS T-316L SS PER A312 MILL FINISH</t>
  </si>
  <si>
    <t>PIPE Ø12" NOM X .500" SCH XS T-316L SS PER A312 MILL FINISH</t>
  </si>
  <si>
    <t>PIPE Ø12" NOM X .375" SCH STD T-316L SS PER A312 MILL FINISH</t>
  </si>
  <si>
    <t>PIPE Ø12" NOM X .250" SCH 20 T-316L SS PER A312 MILL FINISH</t>
  </si>
  <si>
    <t>PIPE Ø12" NOM X .180" SCH 10S T-316L SS PER A312 MILL FINISH</t>
  </si>
  <si>
    <t>PIPE Ø12" NOM X 1.000" SCH XXS T-316 SS PER A312 MILL FINISH</t>
  </si>
  <si>
    <t>PIPE Ø12" NOM X .500" SCH XS T-316 SS PER A312 MILL FINISH</t>
  </si>
  <si>
    <t>PIPE Ø12" NOM X .375" SCH STD T-316 SS PER A312 MILL FINISH</t>
  </si>
  <si>
    <t>PIPE Ø12" NOM X .250" SCH 20 T-316 SS PER A312 MILL FINISH</t>
  </si>
  <si>
    <t>PIPE Ø12" NOM X .180" SCH 10S T-316 SS PER A312 MILL FINISH</t>
  </si>
  <si>
    <t>PIPE Ø12" NOM X 1.000" SCH XXS T-304L SS PER A312 MILL FINISH</t>
  </si>
  <si>
    <t>PIPE Ø12" NOM X .500" SCH XS T-304L SS PER A312 MILL FINISH</t>
  </si>
  <si>
    <t>PIPE Ø12" NOM X .406" SCH STD T-304L SS PER A312 MILL FINISH</t>
  </si>
  <si>
    <t>PIPE Ø12" NOM X .250" SCH 20 T-304L SS PER A312 MILL FINISH</t>
  </si>
  <si>
    <t>PIPE Ø12" NOM X .180" SCH 10S T-304L SS PER A312 MILL FINISH</t>
  </si>
  <si>
    <t>PIPE Ø12" NOM X 1.000" SCH XXS T-304 SS PER A312 MILL FINISH</t>
  </si>
  <si>
    <t>PIPE Ø12" NOM X .500" SCH XS T-304 SS PER A312 MILL FINISH</t>
  </si>
  <si>
    <t>PIPE Ø12" NOM X .375" SCH STD T-304 SS PER A312 MILL FINISH</t>
  </si>
  <si>
    <t>PIPE Ø12" NOM X .250" SCH 20 T-304 SS PER A312 MILL FINISH</t>
  </si>
  <si>
    <t>PIPE Ø12" NOM X .180" SCH 10S T-304 SS PER A312 MILL FINISH</t>
  </si>
  <si>
    <t>PIPE Ø10" NOM X .250" SCH 20 T-316L SS PER A312 MILL FINISH</t>
  </si>
  <si>
    <t>PIPE Ø10" NOM X .500" SCH XS T-316L SS PER A312 MILL FINISH</t>
  </si>
  <si>
    <t>PIPE Ø10" NOM X .365" SCH STD T-316L SS PER A312 MILL FINISH</t>
  </si>
  <si>
    <t>PIPE Ø10" NOM X .165" SCH 10S T-316L SS PER A312 MILL FINISH</t>
  </si>
  <si>
    <t>PIPE Ø10" NOM X .250" SCH 20 T-316 SS PER A312 MILL FINISH</t>
  </si>
  <si>
    <t>PIPE Ø10" NOM X .500" SCH XS T-316 SS PER A312 MILL FINISH</t>
  </si>
  <si>
    <t>PIPE Ø10" NOM X .365" SCH STD T-316 SS PER A312 MILL FINISH</t>
  </si>
  <si>
    <t>PIPE Ø10" NOM X .165" SCH 10S T-316 SS PER A312 MILL FINISH</t>
  </si>
  <si>
    <t>PIPE Ø10" NOM X .250" SCH 20 T-304L SS PER A312 MILL FINISH</t>
  </si>
  <si>
    <t>PIPE Ø10" NOM X .500" SCH XS T-304L SS PER A312 MILL FINISH</t>
  </si>
  <si>
    <t>PIPE Ø10" NOM X .365" SCH STD T-304L SS PER A312 MILL FINISH</t>
  </si>
  <si>
    <t>PIPE Ø10" NOM X .165" SCH 10S T-304L SS PER A312 MILL FINISH</t>
  </si>
  <si>
    <t>PIPE Ø10" NOM X .250" SCH 20 T-304 SS PER A312 MILL FINISH</t>
  </si>
  <si>
    <t>PIPE Ø10" NOM X .500" SCH XS T-304 SS PER A312 MILL FINISH</t>
  </si>
  <si>
    <t>PIPE Ø10" NOM X .365" SCH STD T-304 SS PER A312 MILL FINISH</t>
  </si>
  <si>
    <t>PIPE Ø10" NOM X .165" SCH 10SS T-304 SS PER A312 MILL FINISH</t>
  </si>
  <si>
    <t>PIPE Ø8" NOM X .250" T-316L SS PER A312 MILL FINISH</t>
  </si>
  <si>
    <t>PIPE Ø8" NOM X .500" SCH 80 T-316L SS PER A312 MILL FINISH</t>
  </si>
  <si>
    <t>PIPE Ø8" NOM X .322" SCH 40 T-316L SS PER A312 MILL FINISH</t>
  </si>
  <si>
    <t>PIPE Ø8" NOM X .148" SCH 10 T-316L SS PER A312 MILL FINISH</t>
  </si>
  <si>
    <t>PIPE Ø8" NOM X .250" T-316 SS PER A312 MILL FINISH</t>
  </si>
  <si>
    <t>PIPE Ø8" NOM X .500" SCH 80 T-316 SS PER A312 MILL FINISH</t>
  </si>
  <si>
    <t>PIPE Ø8" NOM X .322" SCH 40 T-316 SS PER A312 MILL FINISH</t>
  </si>
  <si>
    <t>PIPE Ø8" NOM X .148" SCH 10 T-316 SS PER A312 MILL FINISH</t>
  </si>
  <si>
    <t>PIPE Ø8" NOM X .250" T-304L SS PER A312 MILL FINISH</t>
  </si>
  <si>
    <t>PIPE Ø8" NOM X .500" SCH 80 T-304L SS PER A312 MILL FINISH</t>
  </si>
  <si>
    <t>PIPE Ø8" NOM X .322" SCH 40 T-304L SS PER A312 MILL FINISH</t>
  </si>
  <si>
    <t>PIPE Ø8" NOM X .148" SCH 10 T-304L SS PER A312 MILL FINISH</t>
  </si>
  <si>
    <t>PIPE Ø8" NOM X .250" T-304 SS PER A312 MILL FINISH</t>
  </si>
  <si>
    <t>PIPE Ø8" NOM X .500" SCH 80 T-304 SS PER A312 MILL FINISH</t>
  </si>
  <si>
    <t>PIPE Ø8" NOM X .322" SCH 40 T-304 SS PER A312 MILL FINISH</t>
  </si>
  <si>
    <t>PIPE Ø8" NOM X .148" SCH 10 T-304 SS PER A312 MILL FINISH</t>
  </si>
  <si>
    <t>PIPE Ø6" NOM X .250" T-316L SS PER A312 MILL FINISH</t>
  </si>
  <si>
    <t>PIPE Ø6" NOM X .432" SCH 80 T-316L SS PER A312 MILL FINISH</t>
  </si>
  <si>
    <t>PIPE Ø6" NOM X .280" SCH 40 T-316L SS PER A312 MILL FINISH</t>
  </si>
  <si>
    <t>PIPE Ø6" NOM X .134" SCH 10 T-316L SS PER A312 MILL FINISH</t>
  </si>
  <si>
    <t>PIPE Ø6" NOM X .250" T-316 SS PER A312 MILL FINISH</t>
  </si>
  <si>
    <t>PIPE Ø6" NOM X .432" SCH 80 T-316 SS PER A312 MILL FINISH</t>
  </si>
  <si>
    <t>PIPE Ø6" NOM X .280" SCH 40 T-316 SS PER A312 MILL FINISH</t>
  </si>
  <si>
    <t>PIPE Ø6" NOM X .134" SCH 10 T-316 SS PER A312 MILL FINISH</t>
  </si>
  <si>
    <t>PIPE Ø6" NOM X .250" T-304L SS PER A312 MILL FINISH</t>
  </si>
  <si>
    <t>PIPE Ø6" NOM X .432" SCH 80 T-304L SS PER A312 MILL FINISH</t>
  </si>
  <si>
    <t>PIPE Ø6" NOM X .280" SCH 40 T-304L SS PER A312 MILL FINISH</t>
  </si>
  <si>
    <t>PIPE Ø6" NOM X .134" SCH 10 T-304L SS PER A312 MILL FINISH</t>
  </si>
  <si>
    <t>PIPE Ø6" NOM X .250" T-304 SS PER A312 MILL FINISH</t>
  </si>
  <si>
    <t>PIPE Ø6" NOM X .432" SCH 80 T-304 SS PER A312 MILL FINISH</t>
  </si>
  <si>
    <t>PIPE Ø6" NOM X .280" SCH 40 T-304 SS PER A312 MILL FINISH</t>
  </si>
  <si>
    <t>PIPE Ø6" NOM X .134" SCH 10 T-304 SS PER A312 MILL FINISH</t>
  </si>
  <si>
    <t>PIPE Ø5" NOM X .250" T-316L SS PER A312 MILL FINISH</t>
  </si>
  <si>
    <t>PIPE Ø5" NOM X .375" SCH 80 T-316L SS PER A312 MILL FINISH</t>
  </si>
  <si>
    <t>PIPE Ø5" NOM X .258" SCH 40 T-316L SS PER A312 MILL FINISH</t>
  </si>
  <si>
    <t>PIPE Ø5" NOM X .134" SCH 10 T-316L SS PER A312 MILL FINISH</t>
  </si>
  <si>
    <t>PIPE Ø5" NOM X .250" T-316 SS PER A312 MILL FINISH</t>
  </si>
  <si>
    <t>PIPE Ø5" NOM X .375" SCH 80 T-316 SS PER A312 MILL FINISH</t>
  </si>
  <si>
    <t>PIPE Ø5" NOM X .258" SCH 40 T-316 SS PER A312 MILL FINISH</t>
  </si>
  <si>
    <t>PIPE Ø5" NOM X .134" SCH 10 T-316 SS PER A312 MILL FINISH</t>
  </si>
  <si>
    <t>PIPE Ø5" NOM X .250" T-304L SS PER A312 MILL FINISH</t>
  </si>
  <si>
    <t>PIPE Ø5" NOM X .375" SCH 80 T-304L SS PER A312 MILL FINISH</t>
  </si>
  <si>
    <t>PIPE Ø5" NOM X .258" SCH 40 T-304L SS PER A312 MILL FINISH</t>
  </si>
  <si>
    <t>PIPE Ø5" NOM X .134" SCH 10 T-304L SS PER A312 MILL FINISH</t>
  </si>
  <si>
    <t>PIPE Ø5" NOM X .250" T-304 SS PER A312 MILL FINISH</t>
  </si>
  <si>
    <t>PIPE Ø5" NOM X .375" SCH 80 T-304 SS PER A312 MILL FINISH</t>
  </si>
  <si>
    <t>PIPE Ø5" NOM X .258" SCH 40 T-304 SS PER A312 MILL FINISH</t>
  </si>
  <si>
    <t>PIPE Ø5" NOM X .134" SCH 10 T-304 SS PER A312 MILL FINISH</t>
  </si>
  <si>
    <t>PIPE Ø4" NOM X .250" T-316L SS PER A312 MILL FINISH</t>
  </si>
  <si>
    <t>PIPE Ø4" NOM X .337" SCH 80 T-316L SS PER A312 MILL FINISH</t>
  </si>
  <si>
    <t>PIPE Ø4" NOM X .237" SCH 40 T-316L SS PER A312 MILL FINISH</t>
  </si>
  <si>
    <t>PIPE Ø4" NOM X .120" SCH 10 T-316L SS PER A312 MILL FINISH</t>
  </si>
  <si>
    <t>PIPE Ø4" NOM X .250" T-316 SS PER A312 MILL FINISH</t>
  </si>
  <si>
    <t>PIPE Ø4" NOM X .337" SCH 80 T-316 SS PER A312 MILL FINISH</t>
  </si>
  <si>
    <t>PIPE Ø4" NOM X .237" SCH 40 T-316 SS PER A312 MILL FINISH</t>
  </si>
  <si>
    <t>PIPE Ø4" NOM X .120" SCH 10 T-316 SS PER A312 MILL FINISH</t>
  </si>
  <si>
    <t>PIPE Ø4" NOM X .250" T-304L SS PER A312 MILL FINISH</t>
  </si>
  <si>
    <t>PIPE Ø4" NOM X .337" SCH 80 T-304L SS PER A312 MILL FINISH</t>
  </si>
  <si>
    <t>PIPE Ø4" NOM X .237" SCH 40 T-304L SS PER A312 MILL FINISH</t>
  </si>
  <si>
    <t>PIPE Ø4" NOM X .120" SCH 10 T-304L SS PER A312 MILL FINISH</t>
  </si>
  <si>
    <t>PIPE Ø4" NOM X .250" T-304 SS PER A312 MILL FINISH</t>
  </si>
  <si>
    <t>PIPE Ø4" NOM X .337" SCH 80 T-304 SS PER A312 MILL FINISH</t>
  </si>
  <si>
    <t>PIPE Ø4" NOM X .237" SCH 40 T-304 SS PER A312 MILL FINISH</t>
  </si>
  <si>
    <t>PIPE Ø4" NOM X .120" SCH 10 T-304 SS PER A312 MILL FINISH</t>
  </si>
  <si>
    <t>PIPE Ø3 1/2" NOM X .250" T-316L SS PER A312 MILL FINISH</t>
  </si>
  <si>
    <t>PIPE Ø3 1/2" NOM X .318" SCH 80 T-316L SS PER A312 MILL FINISH</t>
  </si>
  <si>
    <t>PIPE Ø3 1/2" NOM X .225" SCH 40 T-316L SS PER A312 MILL FINISH</t>
  </si>
  <si>
    <t>PIPE Ø3 1/2" NOM X .120" SCH 10 T-316L SS PER A312 MILL FINISH</t>
  </si>
  <si>
    <t>PIPE Ø3 1/2" NOM X .250" T-316 SS PER A312 MILL FINISH</t>
  </si>
  <si>
    <t>PIPE Ø3 1/2" NOM X .318" SCH 80 T-316 SS PER A312 MILL FINISH</t>
  </si>
  <si>
    <t>PIPE Ø3 1/2" NOM X .225" SCH 40 T-316 SS PER A312 MILL FINISH</t>
  </si>
  <si>
    <t>PIPE Ø3 1/2" NOM X .120" SCH 10 T-316 SS PER A312 MILL FINISH</t>
  </si>
  <si>
    <t>PIPE Ø3 1/2" NOM X .250" T-304L SS PER A312 MILL FINISH</t>
  </si>
  <si>
    <t>PIPE Ø3 1/2" NOM X .318" SCH 80 T-304L SS PER A312 MILL FINISH</t>
  </si>
  <si>
    <t>PIPE Ø3 1/2" NOM X .225" SCH 40 T-304L SS PER A312 MILL FINISH</t>
  </si>
  <si>
    <t>PIPE Ø3 1/2" NOM X .120" SCH 10 T-304L SS PER A312 MILL FINISH</t>
  </si>
  <si>
    <t>PIPE Ø3 1/2" NOM X .250" T-304 SS PER A312 MILL FINISH</t>
  </si>
  <si>
    <t>PIPE Ø3 1/2" NOM X .318" SCH 80 T-304 SS PER A312 MILL FINISH</t>
  </si>
  <si>
    <t>PIPE Ø3 1/2" NOM X .225" SCH 40 T-304 SS PER A312 MILL FINISH</t>
  </si>
  <si>
    <t>PIPE Ø3 1/2" NOM X .120" SCH 10 T-304 SS PER A312 MILL FINISH</t>
  </si>
  <si>
    <t>PIPE Ø3" NOM X .250" T-316L SS PER A312 MILL FINISH</t>
  </si>
  <si>
    <t>PIPE Ø3" NOM X .300" SCH 80 T-316L SS PER A312 MILL FINISH</t>
  </si>
  <si>
    <t>PIPE Ø3" NOM X .216" SCH 40 T-316L SS PER A312 MILL FINISH</t>
  </si>
  <si>
    <t>PIPE Ø3" NOM X .120" SCH 10 T-316L SS PER A312 MILL FINISH</t>
  </si>
  <si>
    <t>PIPE Ø3" NOM X .250" T-316 SS PER A312 MILL FINISH</t>
  </si>
  <si>
    <t>PIPE Ø3" NOM X .300" SCH 80 T-316 SS PER A312 MILL FINISH</t>
  </si>
  <si>
    <t>PIPE Ø3" NOM X .216" SCH 40 T-316 SS PER A312 MILL FINISH</t>
  </si>
  <si>
    <t>PIPE Ø3" NOM X .120" SCH 10 T-316 SS PER A312 MILL FINISH</t>
  </si>
  <si>
    <t>PIPE Ø3" NOM X .250" T-304L SS PER A312 MILL FINISH</t>
  </si>
  <si>
    <t>PIPE Ø3" NOM X .300" SCH 80 T-304L SS PER A312 MILL FINISH</t>
  </si>
  <si>
    <t>PIPE Ø3" NOM X .216" SCH 40 T-304L SS PER A312 MILL FINISH</t>
  </si>
  <si>
    <t>PIPE Ø3" NOM X .120" SCH 10 T-304L SS PER A312 MILL FINISH</t>
  </si>
  <si>
    <t>PIPE Ø3" NOM X .250" T-304 SS PER A312 MILL FINISH</t>
  </si>
  <si>
    <t>PIPE Ø3" NOM X .300" SCH 80 T-304 SS PER A312 MILL FINISH</t>
  </si>
  <si>
    <t>PIPE Ø3" NOM X .216" SCH 40 T-304 SS PER A312 MILL FINISH</t>
  </si>
  <si>
    <t>PIPE Ø3" NOM X .120" SCH 10 T-304 SS PER A312 MILL FINISH</t>
  </si>
  <si>
    <t>PIPE Ø2 1/2" NOM X .250" T-316L SS PER A312 MILL FINISH</t>
  </si>
  <si>
    <t>PIPE Ø2 1/2" NOM X .276" SCH 80 T-316L SS PER A312 MILL FINISH</t>
  </si>
  <si>
    <t>PIPE Ø2 1/2" NOM X .203" SCH 40 T-316L SS PER A312 MILL FINISH</t>
  </si>
  <si>
    <t>PIPE Ø2 1/2" NOM X .120" SCH 10 T-316L SS PER A312 MILL FINISH</t>
  </si>
  <si>
    <t>PIPE Ø2 1/2" NOM X .250" T-316 SS PER A312 MILL FINISH</t>
  </si>
  <si>
    <t>PIPE Ø2 1/2" NOM X .276" SCH 80 T-316 SS PER A312 MILL FINISH</t>
  </si>
  <si>
    <t>PIPE Ø2 1/2" NOM X .203" SCH 40 T-316 SS PER A312 MILL FINISH</t>
  </si>
  <si>
    <t>PIPE Ø2 1/2" NOM X .120" SCH 10 T-316 SS PER A312 MILL FINISH</t>
  </si>
  <si>
    <t>PIPE Ø2 1/2" NOM X .250" T-304L SS PER A312 MILL FINISH</t>
  </si>
  <si>
    <t>PIPE Ø2 1/2" NOM X .276" SCH 80 T-304L SS PER A312 MILL FINISH</t>
  </si>
  <si>
    <t>PIPE Ø2 1/2" NOM X .203" SCH 40 T-304L SS PER A312 MILL FINISH</t>
  </si>
  <si>
    <t>PIPE Ø2 1/2" NOM X .120" SCH 10 T-304L SS PER A312 MILL FINISH</t>
  </si>
  <si>
    <t>PIPE Ø2 1/2" NOM X .250" T-304 SS PER A312 MILL FINISH</t>
  </si>
  <si>
    <t>PIPE Ø2 1/2" NOM X .276" SCH 80 T-304 SS PER A312 MILL FINISH</t>
  </si>
  <si>
    <t>PIPE Ø2 1/2" NOM X .203" SCH 40 T-304 SS PER A312 MILL FINISH</t>
  </si>
  <si>
    <t>PIPE Ø2 1/2" NOM X .120" SCH 10 T-304 SS PER A312 MILL FINISH</t>
  </si>
  <si>
    <t>PIPE Ø2" NOM X .250" T-316L SS PER A312 MILL FINISH</t>
  </si>
  <si>
    <t>PIPE Ø2" NOM X .218" SCH 80 T-316L SS PER A312 MILL FINISH</t>
  </si>
  <si>
    <t>PIPE Ø2" NOM X .154" SCH 40 T-316L SS PER A312 MILL FINISH</t>
  </si>
  <si>
    <t>PIPE Ø2" NOM X .109" SCH 10 T-316L SS PER A312 MILL FINISH</t>
  </si>
  <si>
    <t>PIPE Ø2" NOM X .250" T-316 SS PER A312 MILL FINISH</t>
  </si>
  <si>
    <t>PIPE Ø2" NOM X .218" SCH 80 T-316 SS PER A312 MILL FINISH</t>
  </si>
  <si>
    <t>PIPE Ø2" NOM X .154" SCH 40 T-316 SS PER A312 MILL FINISH</t>
  </si>
  <si>
    <t>PIPE Ø2" NOM X .109" SCH 10 T-316 SS PER A312 MILL FINISH</t>
  </si>
  <si>
    <t>PIPE Ø2" NOM X .250" T-304L SS PER A312 MILL FINISH</t>
  </si>
  <si>
    <t>PIPE Ø2" NOM X .218" SCH 80 T-304L SS PER A312 MILL FINISH</t>
  </si>
  <si>
    <t>PIPE Ø2" NOM X .154" SCH 40 T-304L SS PER A312 MILL FINISH</t>
  </si>
  <si>
    <t>PIPE Ø2" NOM X .109" SCH 10 T-304L SS PER A312 MILL FINISH</t>
  </si>
  <si>
    <t>PIPE Ø2" NOM X .250" T-304 SS PER A312 MILL FINISH</t>
  </si>
  <si>
    <t>PIPE Ø2" NOM X .218" SCH 80 T-304 SS PER A312 MILL FINISH</t>
  </si>
  <si>
    <t>PIPE Ø2" NOM X .154" SCH 40 T-304 SS PER A312 MILL FINISH</t>
  </si>
  <si>
    <t>PIPE Ø2" NOM X .109" SCH 10 T-304 SS PER A312 MILL FINISH</t>
  </si>
  <si>
    <t>PIPE Ø1 1/2" NOM X .250" T-316L SS PER A312 MILL FINISH</t>
  </si>
  <si>
    <t>PIPE Ø1 1/2" NOM X .200" SCH 80 T-316L SS PER A312 MILL FINISH</t>
  </si>
  <si>
    <t>PIPE Ø1 1/2" NOM X .145" SCH 40 T-316L SS PER A312 MILL FINISH</t>
  </si>
  <si>
    <t>PIPE Ø1 1/2" NOM X .109" SCH 10 T-316L SS PER A312 MILL FINISH</t>
  </si>
  <si>
    <t>PIPE Ø1 1/2" NOM X .250" T-316 SS PER A312 MILL FINISH</t>
  </si>
  <si>
    <t>PIPE Ø1 1/2" NOM X .200" SCH 80 T-316 SS PER A312 MILL FINISH</t>
  </si>
  <si>
    <t>PIPE Ø1 1/2" NOM X .145" SCH 40 T-316 SS PER A312 MILL FINISH</t>
  </si>
  <si>
    <t>PIPE Ø1 1/2" NOM X .109" SCH 10 T-316 SS PER A312 MILL FINISH</t>
  </si>
  <si>
    <t>PIPE Ø1 1/2" NOM X .250" T-304L SS PER A312 MILL FINISH</t>
  </si>
  <si>
    <t>PIPE Ø1 1/2" NOM X .200" SCH 80 T-304L SS PER A312 MILL FINISH</t>
  </si>
  <si>
    <t>PIPE Ø1 1/2" NOM X .145" SCH 40 T-304L SS PER A312 MILL FINISH</t>
  </si>
  <si>
    <t>PIPE Ø1 1/2" NOM X .109" SCH 10 T-304L SS PER A312 MILL FINISH</t>
  </si>
  <si>
    <t>PIPE Ø1 1/2" NOM X .250" T-304 SS PER A312 MILL FINISH</t>
  </si>
  <si>
    <t>PIPE Ø1 1/2" NOM X .200" SCH 80 T-304 SS PER A312 MILL FINISH</t>
  </si>
  <si>
    <t>PIPE Ø1 1/2" NOM X .145" SCH 40 T-304 SS PER A312 MILL FINISH</t>
  </si>
  <si>
    <t>PIPE Ø1 1/2" NOM X .109" SCH 10 T-304 SS PER A312 MILL FINISH</t>
  </si>
  <si>
    <t>PIPE Ø1 1/4" NOM X .250" T-316L SS PER A312 MILL FINISH</t>
  </si>
  <si>
    <t>PIPE Ø1 1/4" NOM X .191" SCH 80 T-316L SS PER A312 MILL FINISH</t>
  </si>
  <si>
    <t>PIPE Ø1 1/4" NOM X .140" SCH 40 T-316L SS PER A312 MILL FINISH</t>
  </si>
  <si>
    <t>PIPE Ø1 1/4" NOM X .109" SCH 10 T-316L SS PER A312 MILL FINISH</t>
  </si>
  <si>
    <t>PIPE Ø1 1/4" NOM X .250" T-316 SS PER A312 MILL FINISH</t>
  </si>
  <si>
    <t>PIPE Ø1 1/4" NOM X .191" SCH 80 T-316 SS PER A312 MILL FINISH</t>
  </si>
  <si>
    <t>PIPE Ø1 1/4" NOM X .140" SCH 40 T-316 SS PER A312 MILL FINISH</t>
  </si>
  <si>
    <t>PIPE Ø1 1/4" NOM X .109" SCH 10 T-316 SS PER A312 MILL FINISH</t>
  </si>
  <si>
    <t>PIPE Ø1 1/4" NOM X .250" T-304L SS PER A312 MILL FINISH</t>
  </si>
  <si>
    <t>PIPE Ø1 1/4" NOM X .191" SCH 80 T-304L SS PER A312 MILL FINISH</t>
  </si>
  <si>
    <t>PIPE Ø1 1/4" NOM X .140" SCH 40 T-304L SS PER A312 MILL FINISH</t>
  </si>
  <si>
    <t>PIPE Ø1 1/4" NOM X .109" SCH 10 T-304L SS PER A312 MILL FINISH</t>
  </si>
  <si>
    <t>PIPE Ø1 1/4" NOM X .250" T-304 SS PER A312 MILL FINISH</t>
  </si>
  <si>
    <t>PIPE Ø1 1/4" NOM X .191" SCH 80 T-304 SS PER A312 MILL FINISH</t>
  </si>
  <si>
    <t>PIPE Ø1 1/4" NOM X .140" SCH 40 T-304 SS PER A312 MILL FINISH</t>
  </si>
  <si>
    <t>PIPE Ø1 1/4" NOM X .109" SCH 10 T-304 SS PER A312 MILL FINISH</t>
  </si>
  <si>
    <t>PIPE Ø1" NOM X .250" T-316L SS PER A312 MILL FINISH</t>
  </si>
  <si>
    <t>PIPE Ø1" NOM X .179" SCH 80 T-316L SS PER A312 MILL FINISH</t>
  </si>
  <si>
    <t>PIPE Ø1" NOM X .133" SCH 40 T-316L SS PER A312 MILL FINISH</t>
  </si>
  <si>
    <t>PIPE Ø1" NOM X .109" SCH 10 T-316L SS PER A312 MILL FINISH</t>
  </si>
  <si>
    <t>PIPE Ø1" NOM X .250" T-316 SS PER A312 MILL FINISH</t>
  </si>
  <si>
    <t>PIPE Ø1" NOM X .179" SCH 80 T-316 SS PER A312 MILL FINISH</t>
  </si>
  <si>
    <t>PIPE Ø1" NOM X .133" SCH 40 T-316 SS PER A312 MILL FINISH</t>
  </si>
  <si>
    <t>PIPE Ø1" NOM X .109" SCH 10 T-316 SS PER A312 MILL FINISH</t>
  </si>
  <si>
    <t>PIPE Ø1" NOM X .250" T-304L SS PER A312 MILL FINISH</t>
  </si>
  <si>
    <t>PIPE Ø1" NOM X .179" SCH 80 T-304L SS PER A312 MILL FINISH</t>
  </si>
  <si>
    <t>PIPE Ø1" NOM X .133" SCH 40 T-304L SS PER A312 MILL FINISH</t>
  </si>
  <si>
    <t>PIPE Ø1" NOM X .109" SCH 10 T-304L SS PER A312 MILL FINISH</t>
  </si>
  <si>
    <t>PIPE Ø1" NOM X .250" T-304 SS PER A312 MILL FINISH</t>
  </si>
  <si>
    <t>PIPE Ø1" NOM X .179" SCH 80 T-304 SS PER A312 MILL FINISH</t>
  </si>
  <si>
    <t>PIPE Ø1" NOM X .133" SCH 40 T-304 SS PER A312 MILL FINISH</t>
  </si>
  <si>
    <t>PIPE Ø1" NOM X .109" SCH 10 T-304 SS PER A312 MILL FINISH</t>
  </si>
  <si>
    <t>PIPE Ø3/4" NOM X .250" T-316L SS PER A312 MILL FINISH</t>
  </si>
  <si>
    <t>PIPE Ø3/4" NOM X .154" SCH 80 T-316L SS PER A312 MILL FINISH</t>
  </si>
  <si>
    <t>PIPE Ø3/4" NOM X .113" SCH 40 T-316L SS PER A312 MILL FINISH</t>
  </si>
  <si>
    <t>PIPE Ø3/4" NOM X .083" SCH 10 T-316L SS PER A312 MILL FINISH</t>
  </si>
  <si>
    <t>PIPE Ø3/4" NOM X .250" T-316 SS PER A312 MILL FINISH</t>
  </si>
  <si>
    <t>PIPE Ø3/4" NOM X .154" SCH 80 T-316 SS PER A312 MILL FINISH</t>
  </si>
  <si>
    <t>PIPE Ø3/4" NOM X .113" SCH 40 T-316 SS PER A312 MILL FINISH</t>
  </si>
  <si>
    <t>PIPE Ø3/4" NOM X .083" SCH 10 T-316 SS PER A312 MILL FINISH</t>
  </si>
  <si>
    <t>PIPE Ø3/4" NOM X .250" T-304L SS PER A312 MILL FINISH</t>
  </si>
  <si>
    <t>PIPE Ø3/4" NOM X .154" SCH 80 T-304L SS PER A312 MILL FINISH</t>
  </si>
  <si>
    <t>PIPE Ø3/4" NOM X .113" SCH 40 T-304L SS PER A312 MILL FINISH</t>
  </si>
  <si>
    <t>PIPE Ø3/4" NOM X .083" SCH 10 T-304L SS PER A312 MILL FINISH</t>
  </si>
  <si>
    <t>PIPE Ø3/4" NOM X .250" T-304 SS PER A312 MILL FINISH</t>
  </si>
  <si>
    <t>PIPE Ø3/4" NOM X .154" SCH 80 T-304 SS PER A312 MILL FINISH</t>
  </si>
  <si>
    <t>PIPE Ø3/4" NOM X .113" SCH 40 T-304 SS PER A312 MILL FINISH</t>
  </si>
  <si>
    <t>PIPE Ø3/4" NOM X .083" SCH 10 T-304 SS PER A312 MILL FINISH</t>
  </si>
  <si>
    <t>PIPE Ø1 1/2" NOM X .281" SCH 160 T-304L SS PER A312 MILL FINISH</t>
  </si>
  <si>
    <t>TUBE T2" X 2" X 3/16" T-304L SS PER A554 MILL FINISH</t>
  </si>
  <si>
    <t>TUBE T6" X 6" X 5/8" T-316L SS PER A554 MILL FINISH</t>
  </si>
  <si>
    <t>TUBE T6" X 6" X 5/8" T-304L SS PER A554 MILL FINISH</t>
  </si>
  <si>
    <t>TUBE T38MM X 38MM" X 3.0MM T-316L SS PER A554 MILL FINISH</t>
  </si>
  <si>
    <t>TUBE T80MM X 40MM" X 3.0MM T-316L SS PER A554 MILL FINISH</t>
  </si>
  <si>
    <t>TUBE T80MM X 80MM" X 3.0MM T-316L SS PER A554 MILL FINISH</t>
  </si>
  <si>
    <t>TUBE T38MM X 38MM" X 3.0MM T-316 SS PER A554 MILL FINISH</t>
  </si>
  <si>
    <t>TUBE T80MM X 40MM" X 3.0MM T-316 SS PER A554 MILL FINISH</t>
  </si>
  <si>
    <t>TUBE T80MM X 80MM" X 3.0MM T-316 SS PER A554 MILL FINISH</t>
  </si>
  <si>
    <t>TUBE T38MM X 38MM" X 3.0MM T-304L SS PER A554 MILL FINISH</t>
  </si>
  <si>
    <t>TUBE T80MM X 40MM" X 3.0MM T-304L SS PER A554 MILL FINISH</t>
  </si>
  <si>
    <t>TUBE T80MM X 80MM" X 3.0MM T-304L SS PER A554 MILL FINISH</t>
  </si>
  <si>
    <t>TUBE T38MM X 38MM" X 3.0MM T-304 SS PER A554 MILL FINISH</t>
  </si>
  <si>
    <t>TUBE T80MM X 40MM" X 3.0MM T-304 SS PER A554 MILL FINISH</t>
  </si>
  <si>
    <t>TUBE T80MM X 80MM" X 3.0MM T-304 SS PER A554 MILL FINISH</t>
  </si>
  <si>
    <t>TUBE T2 1/2" X 2 1/2" X 3/16" T-304L SS PER A554 MILL FINISH</t>
  </si>
  <si>
    <t>TUBE T2 1/2" X 2 1/2" X 3/16" T-316L SS PER A554 MILL FINISH</t>
  </si>
  <si>
    <t>TUBE T38MM X 38MM" X 1.9MM T-316L SS PER A554 MILL FINISH</t>
  </si>
  <si>
    <t>YIEH CORP , SC LIMITED</t>
  </si>
  <si>
    <t>TUBE T80MM X 40MM" X 1.9MM T-316L SS PER A554 MILL FINISH</t>
  </si>
  <si>
    <t>TUBE T80MM X 80MM" X 1.9MM T-316L SS PER A554 MILL FINISH</t>
  </si>
  <si>
    <t>TUBE T38MM X 38MM" X 1.9MM T-316 SS PER A554 MILL FINISH</t>
  </si>
  <si>
    <t>TUBE T80MM X 40MM" X 1.9MM T-316 SS PER A554 MILL FINISH</t>
  </si>
  <si>
    <t>TUBE T80MM X 80MM" X 1.9MM T-316 SS PER A554 MILL FINISH</t>
  </si>
  <si>
    <t>TUBE T38MM X 38MM" X 1.9MM T-304L SS PER A554 MILL FINISH</t>
  </si>
  <si>
    <t>TUBE T80MM X 40MM" X 1.9MM T-304L SS PER A554 MILL FINISH</t>
  </si>
  <si>
    <t>TUBE T80MM X 80MM" X 1.9MM T-304L SS PER A554 MILL FINISH</t>
  </si>
  <si>
    <t>TUBE T38MM X 38MM" X 1.9MM T-304 SS PER A554 MILL FINISH</t>
  </si>
  <si>
    <t>YARDE METALS INC</t>
  </si>
  <si>
    <t>TUBE T80MM X 40MM" X 1.9MM T-304 SS PER A554 MILL FINISH</t>
  </si>
  <si>
    <t>TUBE T80MM X 80MM" X 1.9MM T-304 SS PER A554 MILL FINISH</t>
  </si>
  <si>
    <t>TUBE T8" X 8" X 1/2" T-316L SS PER A554 MILL FINISH</t>
  </si>
  <si>
    <t>TUBE T8" X 6" X 1/2" T-316L SS PER A554 MILL FINISH</t>
  </si>
  <si>
    <t>TUBE T8" X 4" X 1/2" T-316L SS PER A554 MILL FINISH</t>
  </si>
  <si>
    <t>TUBE T6" X 6" X 1/2" T-316L SS PER A554 MILL FINISH</t>
  </si>
  <si>
    <t>TUBE T6" X 5" X 1/2" T-316L SS PER A554 MILL FINISH</t>
  </si>
  <si>
    <t>TUBE T6" X 4" X 1/2" T-316L SS PER A554 MILL FINISH</t>
  </si>
  <si>
    <t>TUBE T6" X 3" X 1/2" T-316L SS PER A554 MILL FINISH</t>
  </si>
  <si>
    <t>TUBE T5" X 5" X 1/2" T-316L SS PER A554 MILL FINISH</t>
  </si>
  <si>
    <t>TUBE T5" X 3" X 1/2" T-316L SS PER A554 MILL FINISH</t>
  </si>
  <si>
    <t>TUBE T4" X 4" X 1/2" T-316L SS PER A554 MILL FINISH</t>
  </si>
  <si>
    <t>TUBE T4" X 3" X 1/2" T-316L SS PER A554 MILL FINISH</t>
  </si>
  <si>
    <t>TUBE T3 1/2" X 3 1/2" X 1/2" T-316L SS PER A554 MILL FINISH</t>
  </si>
  <si>
    <t>TUBE T3" X 3" X 1/2" T-316L SS PER A554 MILL FINISH</t>
  </si>
  <si>
    <t>TUBE T3" X 2" X 1/2" T-316L SS PER A554 MILL FINISH</t>
  </si>
  <si>
    <t>TUBE T3" X 1 1/2" X 1/2" T-316L SS PER A554 MILL FINISH</t>
  </si>
  <si>
    <t>TUBE T2 1/2" X 2 1/2" X 1/2" T-316L SS PER A554 MILL FINISH</t>
  </si>
  <si>
    <t>TUBE T2" X 2" X 1/2" T-316L SS PER A554 MILL FINISH</t>
  </si>
  <si>
    <t>TUBE T2" X 1" X 1/2" T-316L SS PER A554 MILL FINISH</t>
  </si>
  <si>
    <t>TUBE T8" X 8" X 1/2" T-316 SS PER A554 MILL FINISH</t>
  </si>
  <si>
    <t>TUBE T8" X 6" X 1/2" T-316 SS PER A554 MILL FINISH</t>
  </si>
  <si>
    <t>TUBE T8" X 4" X 1/2" T-316 SS PER A554 MILL FINISH</t>
  </si>
  <si>
    <t>TUBE T6" X 6" X 1/2" T-316 SS PER A554 MILL FINISH</t>
  </si>
  <si>
    <t>TUBE T6" X 5" X 1/2" T-316 SS PER A554 MILL FINISH</t>
  </si>
  <si>
    <t>TUBE T6" X 4" X 1/2" T-316 SS PER A554 MILL FINISH</t>
  </si>
  <si>
    <t>TUBE T6" X 3" X 1/2" T-316 SS PER A554 MILL FINISH</t>
  </si>
  <si>
    <t>TUBE T5" X 5" X 1/2" T-316 SS PER A554 MILL FINISH</t>
  </si>
  <si>
    <t>TUBE T5" X 3" X 1/2" T-316 SS PER A554 MILL FINISH</t>
  </si>
  <si>
    <t>TUBE T4" X 4" X 1/2" T-316 SS PER A554 MILL FINISH</t>
  </si>
  <si>
    <t>TUBE T4" X 3" X 1/2" T-316 SS PER A554 MILL FINISH</t>
  </si>
  <si>
    <t>TUBE T3 1/2" X 3 1/2" X 1/2" T-316 SS PER A554 MILL FINISH</t>
  </si>
  <si>
    <t>TUBE T3" X 3" X 1/2" T-316 SS PER A554 MILL FINISH</t>
  </si>
  <si>
    <t>TUBE T3" X 2" X 1/2" T-316 SS PER A554 MILL FINISH</t>
  </si>
  <si>
    <t>TUBE T3" X 1 1/2" X 1/2" T-316 SS PER A554 MILL FINISH</t>
  </si>
  <si>
    <t>TUBE T2 1/2" X 2 1/2" X 1/2" T-316 SS PER A554 MILL FINISH</t>
  </si>
  <si>
    <t>TUBE T2" X 2" X 1/2" T-316 SS PER A554 MILL FINISH</t>
  </si>
  <si>
    <t>TUBE T2" X 1" X 1/2" T-316 SS PER A554 MILL FINISH</t>
  </si>
  <si>
    <t>TUBE T8" X 8" X 1/2" T-304L SS PER A554 MILL FINISH</t>
  </si>
  <si>
    <t>TUBE T8" X 6" X 1/2" T-304L SS PER A554 MILL FINISH</t>
  </si>
  <si>
    <t>TUBE T8" X 4" X 1/2" T-304L SS PER A554 MILL FINISH</t>
  </si>
  <si>
    <t>TUBE T6" X 6" X 1/2" T-304L SS PER A554 MILL FINISH</t>
  </si>
  <si>
    <t>TUBE T6" X 5" X 1/2" T-304L SS PER A554 MILL FINISH</t>
  </si>
  <si>
    <t>TUBE T6" X 4" X 1/2" T-304L SS PER A554 MILL FINISH</t>
  </si>
  <si>
    <t>TUBE T6" X 3" X 1/2" T-304L SS PER A554 MILL FINISH</t>
  </si>
  <si>
    <t>TUBE T5" X 5" X 1/2" T-304L SS PER A554 MILL FINISH</t>
  </si>
  <si>
    <t>TUBE T5" X 3" X 1/2" T-304L SS PER A554 MILL FINISH</t>
  </si>
  <si>
    <t>TUBE T4" X 4" X 1/2" T-304L SS PER A554 MILL FINISH</t>
  </si>
  <si>
    <t>TUBE T4" X 3" X 1/2" T-304L SS PER A554 MILL FINISH</t>
  </si>
  <si>
    <t>TUBE T3 1/2" X 3 1/2" X 1/2" T-304L SS PER A554 MILL FINISH</t>
  </si>
  <si>
    <t>TUBE T3" X 3" X 1/2" T-304L SS PER A554 MILL FINISH</t>
  </si>
  <si>
    <t>TUBE T3" X 2" X 1/2" T-304L SS PER A554 MILL FINISH</t>
  </si>
  <si>
    <t>TUBE T3" X 1 1/2" X 1/2" T-304L SS PER A554 MILL FINISH</t>
  </si>
  <si>
    <t>TUBE T2 1/2" X 2 1/2" X 1/2" T-304L SS PER A554 MILL FINISH</t>
  </si>
  <si>
    <t>TUBE T2" X 2" X 1/2" T-304L SS PER A554 MILL FINISH</t>
  </si>
  <si>
    <t>TUBE T2" X 1" X 1/2" T-304L SS PER A554 MILL FINISH</t>
  </si>
  <si>
    <t>TUBE T8" X 8" X 1/2" T-304 SS PER A554 MILL FINISH</t>
  </si>
  <si>
    <t>TUBE T8" X 6" X 1/2" T-304 SS PER A554 MILL FINISH</t>
  </si>
  <si>
    <t>TUBE T8" X 4" X 1/2" T-304 SS PER A554 MILL FINISH</t>
  </si>
  <si>
    <t>TUBE T6" X 6" X 1/2" T-304 SS PER A554 MILL FINISH</t>
  </si>
  <si>
    <t>TUBE T6" X 5" X 1/2" T-304 SS PER A554 MILL FINISH</t>
  </si>
  <si>
    <t>TUBE T6" X 4" X 1/2" T-304 SS PER A554 MILL FINISH</t>
  </si>
  <si>
    <t>TUBE T6" X 3" X 1/2" T-304 SS PER A554 MILL FINISH</t>
  </si>
  <si>
    <t>TUBE T5" X 5" X 1/2" T-304 SS PER A554 MILL FINISH</t>
  </si>
  <si>
    <t>TUBE T5" X 3" X 1/2" T-304 SS PER A554 MILL FINISH</t>
  </si>
  <si>
    <t>TUBE T4" X 4" X 1/2" T-304 SS PER A554 MILL FINISH</t>
  </si>
  <si>
    <t>TUBE T4" X 3" X 1/2" T-304 SS PER A554 MILL FINISH</t>
  </si>
  <si>
    <t>TUBE T3 1/2" X 3 1/2" X 1/2" T-304 SS PER A554 MILL FINISH</t>
  </si>
  <si>
    <t>TUBE T3" X 3" X 1/2" T-304 SS PER A554 MILL FINISH</t>
  </si>
  <si>
    <t>TUBE T3" X 2" X 1/2" T-304 SS PER A554 MILL FINISH</t>
  </si>
  <si>
    <t>TUBE T3" X 1 1/2" X 1/2" T-304 SS PER A554 MILL FINISH</t>
  </si>
  <si>
    <t>TUBE T2 1/2" X 2 1/2" X 1/2" T-304 SS PER A554 MILL FINISH</t>
  </si>
  <si>
    <t>TUBE T2" X 2" X 1/2" T-304 SS PER A554 MILL FINISH</t>
  </si>
  <si>
    <t>TUBE T2" X 1" X 1/2" T-304 SS PER A554 MILL FINISH</t>
  </si>
  <si>
    <t>TUBE T8" X 8" X 3/8" T-316L SS PER A554 MILL FINISH</t>
  </si>
  <si>
    <t>TUBE T8" X 6" X 3/8" T-316L SS PER A554 MILL FINISH</t>
  </si>
  <si>
    <t>TUBE T8" X 4" X 3/8" T-316L SS PER A554 MILL FINISH</t>
  </si>
  <si>
    <t>TUBE T6" X 6" X 3/8" T-316L SS PER A554 MILL FINISH</t>
  </si>
  <si>
    <t>TUBE T6" X 5" X 3/8" T-316L SS PER A554 MILL FINISH</t>
  </si>
  <si>
    <t>TUBE T6" X 4" X 3/8" T-316L SS PER A554 MILL FINISH</t>
  </si>
  <si>
    <t>TUBE T6" X 3" X 3/8" T-316L SS PER A554 MILL FINISH</t>
  </si>
  <si>
    <t>TUBE T5" X 5" X 3/8" T-316L SS PER A554 MILL FINISH</t>
  </si>
  <si>
    <t>TUBE T5" X 3" X 3/8" T-316L SS PER A554 MILL FINISH</t>
  </si>
  <si>
    <t>TUBE T4" X 4" X 3/8" T-316L SS PER A554 MILL FINISH</t>
  </si>
  <si>
    <t>TUBE T4" X 3" X 3/8" T-316L SS PER A554 MILL FINISH</t>
  </si>
  <si>
    <t>TUBE T3 1/2" X 3 1/2" X 3/8" T-316L SS PER A554 MILL FINISH</t>
  </si>
  <si>
    <t>TUBE T3" X 3" X 3/8" T-316L SS PER A554 MILL FINISH</t>
  </si>
  <si>
    <t>TUBE T3" X 2" X 3/8" T-316L SS PER A554 MILL FINISH</t>
  </si>
  <si>
    <t>TUBE T3" X 1 1/2" X 3/8" T-316L SS PER A554 MILL FINISH</t>
  </si>
  <si>
    <t>TUBE T2 1/2" X 2 1/2" X 3/8" T-316L SS PER A554 MILL FINISH</t>
  </si>
  <si>
    <t>TUBE T2" X 2" X 3/8" T-316L SS PER A554 MILL FINISH</t>
  </si>
  <si>
    <t>TUBE T2" X 1" X 3/8" T-316L SS PER A554 MILL FINISH</t>
  </si>
  <si>
    <t>TUBE T8" X 8" X 3/8" T-316 SS PER A554 MILL FINISH</t>
  </si>
  <si>
    <t>TUBE T8" X 6" X 3/8" T-316 SS PER A554 MILL FINISH</t>
  </si>
  <si>
    <t>TUBE T8" X 4" X 3/8" T-316 SS PER A554 MILL FINISH</t>
  </si>
  <si>
    <t>TUBE T6" X 6" X 3/8" T-316 SS PER A554 MILL FINISH</t>
  </si>
  <si>
    <t>TUBE T6" X 5" X 3/8" T-316 SS PER A554 MILL FINISH</t>
  </si>
  <si>
    <t>TUBE T6" X 4" X 3/8" T-316 SS PER A554 MILL FINISH</t>
  </si>
  <si>
    <t>TUBE T6" X 3" X 3/8" T-316 SS PER A554 MILL FINISH</t>
  </si>
  <si>
    <t>TUBE T5" X 5" X 3/8" T-316 SS PER A554 MILL FINISH</t>
  </si>
  <si>
    <t>TUBE T5" X 3" X 3/8" T-316 SS PER A554 MILL FINISH</t>
  </si>
  <si>
    <t>TUBE T4" X 4" X 3/8" T-316 SS PER A554 MILL FINISH</t>
  </si>
  <si>
    <t>TUBE T4" X 3" X 3/8" T-316 SS PER A554 MILL FINISH</t>
  </si>
  <si>
    <t>TUBE T3 1/2" X 3 1/2" X 3/8" T-316 SS PER A554 MILL FINISH</t>
  </si>
  <si>
    <t>TUBE T3" X 3" X 3/8" T-316 SS PER A554 MILL FINISH</t>
  </si>
  <si>
    <t>TUBE T3" X 2" X 3/8" T-316 SS PER A554 MILL FINISH</t>
  </si>
  <si>
    <t>TUBE T3" X 1 1/2" X 3/8" T-316 SS PER A554 MILL FINISH</t>
  </si>
  <si>
    <t>TUBE T2 1/2" X 2 1/2" X 3/8" T-316 SS PER A554 MILL FINISH</t>
  </si>
  <si>
    <t>TUBE T2" X 2" X 3/8" T-316 SS PER A554 MILL FINISH</t>
  </si>
  <si>
    <t>TUBE T2" X 1" X 3/8" T-316 SS PER A554 MILL FINISH</t>
  </si>
  <si>
    <t>TUBE T8" X 8" X 3/8" T-304L SS PER A554 MILL FINISH</t>
  </si>
  <si>
    <t>TUBE T8" X 6" X 3/8" T-304L SS PER A554 MILL FINISH</t>
  </si>
  <si>
    <t>TUBE T8" X 4" X 3/8" T-304L SS PER A554 MILL FINISH</t>
  </si>
  <si>
    <t>TUBE T6" X 6" X 3/8" T-304L SS PER A554 MILL FINISH</t>
  </si>
  <si>
    <t>TUBE T6" X 5" X 3/8" T-304L SS PER A554 MILL FINISH</t>
  </si>
  <si>
    <t>TUBE T6" X 4" X 3/8" T-304L SS PER A554 MILL FINISH</t>
  </si>
  <si>
    <t>TUBE T6" X 3" X 3/8" T-304L SS PER A554 MILL FINISH</t>
  </si>
  <si>
    <t>TUBE T5" X 5" X 3/8" T-304L SS PER A554 MILL FINISH</t>
  </si>
  <si>
    <t>TUBE T5" X 3" X 3/8" T-304L SS PER A554 MILL FINISH</t>
  </si>
  <si>
    <t>TUBE T4" X 4" X 3/8" T-304L SS PER A554 MILL FINISH</t>
  </si>
  <si>
    <t>TUBE T4" X 3" X 3/8" T-304L SS PER A554 MILL FINISH</t>
  </si>
  <si>
    <t>TUBE T3 1/2" X 3 1/2" X 3/8" T-304L SS PER A554 MILL FINISH</t>
  </si>
  <si>
    <t>TUBE T3" X 3" X 3/8" T-304L SS PER A554 MILL FINISH</t>
  </si>
  <si>
    <t>TUBE T3" X 2" X 3/8" T-304L SS PER A554 MILL FINISH</t>
  </si>
  <si>
    <t>TUBE T3" X 1 1/2" X 3/8" T-304L SS PER A554 MILL FINISH</t>
  </si>
  <si>
    <t>TUBE T2 1/2" X 2 1/2" X 3/8" T-304L SS PER A554 MILL FINISH</t>
  </si>
  <si>
    <t>TUBE T2" X 2" X 3/8" T-304L SS PER A554 MILL FINISH</t>
  </si>
  <si>
    <t>TUBE T2" X 1" X 3/8" T-304L SS PER A554 MILL FINISH</t>
  </si>
  <si>
    <t>TUBE T8" X 8" X 3/8" T-304 SS PER A554 MILL FINISH</t>
  </si>
  <si>
    <t>TUBE T8" X 6" X 3/8" T-304 SS PER A554 MILL FINISH</t>
  </si>
  <si>
    <t>TUBE T8" X 4" X 3/8" T-304 SS PER A554 MILL FINISH</t>
  </si>
  <si>
    <t>TUBE T6" X 6" X 3/8" T-304 SS PER A554 MILL FINISH</t>
  </si>
  <si>
    <t>TUBE T6" X 5" X 3/8" T-304 SS PER A554 MILL FINISH</t>
  </si>
  <si>
    <t>TUBE T6" X 4" X 3/8" T-304 SS PER A554 MILL FINISH</t>
  </si>
  <si>
    <t>TUBE T6" X 3" X 3/8" T-304 SS PER A554 MILL FINISH</t>
  </si>
  <si>
    <t>TUBE T5" X 5" X 3/8" T-304 SS PER A554 MILL FINISH</t>
  </si>
  <si>
    <t>TUBE T5" X 3" X 3/8" T-304 SS PER A554 MILL FINISH</t>
  </si>
  <si>
    <t>TUBE T4" X 4" X 3/8" T-304 SS PER A554 MILL FINISH</t>
  </si>
  <si>
    <t>TUBE T4" X 3" X 3/8" T-304 SS PER A554 MILL FINISH</t>
  </si>
  <si>
    <t>TUBE T3 1/2" X 3 1/2" X 3/8" T-304 SS PER A554 MILL FINISH</t>
  </si>
  <si>
    <t>TUBE T3" X 3" X 3/8" T-304 SS PER A554 MILL FINISH</t>
  </si>
  <si>
    <t>TUBE T3" X 2" X 3/8" T-304 SS PER A554 MILL FINISH</t>
  </si>
  <si>
    <t>TUBE T3" X 1 1/2" X 3/8" T-304 SS PER A554 MILL FINISH</t>
  </si>
  <si>
    <t>TUBE T2 1/2" X 2 1/2" X 3/8" T-304 SS PER A554 MILL FINISH</t>
  </si>
  <si>
    <t>TUBE T2" X 2" X 3/8" T-304 SS PER A554 MILL FINISH</t>
  </si>
  <si>
    <t>TUBE T2" X 1" X 3/8" T-304 SS PER A554 MILL FINISH</t>
  </si>
  <si>
    <t>TUBE T8" X 8" X 1/4" T-316L SS PER A554 MILL FINISH</t>
  </si>
  <si>
    <t>TUBE T8" X 6" X 1/4" T-316L SS PER A554 MILL FINISH</t>
  </si>
  <si>
    <t>TUBE T8" X 4" X 1/4" T-316L SS PER A554 MILL FINISH</t>
  </si>
  <si>
    <t>TUBE T6" X 6" X 1/4" T-316L SS PER A554 MILL FINISH</t>
  </si>
  <si>
    <t>TUBE T6" X 5" X 1/4" T-316L SS PER A554 MILL FINISH</t>
  </si>
  <si>
    <t>TUBE T6" X 4" X 1/4" T-316L SS PER A554 MILL FINISH</t>
  </si>
  <si>
    <t>TUBE T6" X 3" X 1/4" T-316L SS PER A554 MILL FINISH</t>
  </si>
  <si>
    <t>TUBE T5" X 5" X 1/4" T-316L SS PER A554 MILL FINISH</t>
  </si>
  <si>
    <t>TUBE T5" X 3" X 1/4" T-316L SS PER A554 MILL FINISH</t>
  </si>
  <si>
    <t>TUBE T4" X 4" X 1/4" T-316L SS PER A554 MILL FINISH</t>
  </si>
  <si>
    <t>TUBE T4" X 3" X 1/4" T-316L SS PER A554 MILL FINISH</t>
  </si>
  <si>
    <t>TUBE T3 1/2" X 3 1/2" X 1/4" T-316L SS PER A554 MILL FINISH</t>
  </si>
  <si>
    <t>TUBE T3" X 3" X 1/4" T-316L SS PER A554 MILL FINISH</t>
  </si>
  <si>
    <t>TUBE T3" X 2" X 1/4" T-316L SS PER A554 MILL FINISH</t>
  </si>
  <si>
    <t>TUBE T3" X 1 1/2" X 1/4" T-316L SS PER A554 MILL FINISH</t>
  </si>
  <si>
    <t>TUBE T2 1/2" X 2 1/2" X 1/4" T-316L SS PER A554 MILL FINISH</t>
  </si>
  <si>
    <t>TUBE T2" X 2" X 1/4" T-316L SS PER A554 MILL FINISH</t>
  </si>
  <si>
    <t>TUBE T2" X 1" X 1/4" T-316L SS PER A554 MILL FINISH</t>
  </si>
  <si>
    <t>TUBE T1 3/4" X 1 3/4" X 1/4" T-316L SS PER A554 MILL FINISH</t>
  </si>
  <si>
    <t>TUBE T1 1/2" X 1 1/2" X 1/4" T-316L SS PER A554 MILL FINISH</t>
  </si>
  <si>
    <t>TUBE T1 1/4" X 1 1/4" X 1/4" T-316L SS PER A554 MILL FINISH</t>
  </si>
  <si>
    <t>TUBE T1" X 1" X 1/4" T-316L SS PER A554 MILL FINISH</t>
  </si>
  <si>
    <t>TUBE T8" X 8" X 1/4" T-316 SS PER A554 MILL FINISH</t>
  </si>
  <si>
    <t>TUBE T8" X 6" X 1/4" T-316 SS PER A554 MILL FINISH</t>
  </si>
  <si>
    <t>TUBE T8" X 4" X 1/4" T-316 SS PER A554 MILL FINISH</t>
  </si>
  <si>
    <t>TUBE T6" X 6" X 1/4" T-316 SS PER A554 MILL FINISH</t>
  </si>
  <si>
    <t>TUBE T6" X 5" X 1/4" T-316 SS PER A554 MILL FINISH</t>
  </si>
  <si>
    <t>TUBE T6" X 4" X 1/4" T-316 SS PER A554 MILL FINISH</t>
  </si>
  <si>
    <t>TUBE T6" X 3" X 1/4" T-316 SS PER A554 MILL FINISH</t>
  </si>
  <si>
    <t>TUBE T5" X 5" X 1/4" T-316 SS PER A554 MILL FINISH</t>
  </si>
  <si>
    <t>TUBE T5" X 3" X 1/4" T-316 SS PER A554 MILL FINISH</t>
  </si>
  <si>
    <t>TUBE T4" X 4" X 1/4" T-316 SS PER A554 MILL FINISH</t>
  </si>
  <si>
    <t>TUBE T4" X 3" X 1/4" T-316 SS PER A554 MILL FINISH</t>
  </si>
  <si>
    <t>TUBE T3 1/2" X 3 1/2" X 1/4" T-316 SS PER A554 MILL FINISH</t>
  </si>
  <si>
    <t>TUBE T3" X 3" X 1/4" T-316 SS PER A554 MILL FINISH</t>
  </si>
  <si>
    <t>TUBE T3" X 2" X 1/4" T-316 SS PER A554 MILL FINISH</t>
  </si>
  <si>
    <t>TUBE T3" X 1 1/2" X 1/4" T-316 SS PER A554 MILL FINISH</t>
  </si>
  <si>
    <t>TUBE T2 1/2" X 2 1/2" X 1/4" T-316 SS PER A554 MILL FINISH</t>
  </si>
  <si>
    <t>TUBE T2" X 2" X 1/4" T-316 SS PER A554 MILL FINISH</t>
  </si>
  <si>
    <t>TUBE T2" X 1" X 1/4" T-316 SS PER A554 MILL FINISH</t>
  </si>
  <si>
    <t>TUBE T1 3/4" X 1 3/4" X 1/4" T-316 SS PER A554 MILL FINISH</t>
  </si>
  <si>
    <t>TUBE T1 1/2" X 1 1/2" X 1/4" T-316 SS PER A554 MILL FINISH</t>
  </si>
  <si>
    <t>TUBE T1 1/4" X 1 1/4" X 1/4" T-316 SS PER A554 MILL FINISH</t>
  </si>
  <si>
    <t>TUBE T1" X 1" X 1/4" T-316 SS PER A554 MILL FINISH</t>
  </si>
  <si>
    <t>TUBE T8" X 8" X 1/4" T-304L SS PER A554 MILL FINISH</t>
  </si>
  <si>
    <t>TUBE T8" X 6" X 1/4" T-304L SS PER A554 MILL FINISH</t>
  </si>
  <si>
    <t>TUBE T8" X 4" X 1/4" T-304L SS PER A554 MILL FINISH</t>
  </si>
  <si>
    <t>TUBE T6" X 6" X 1/4" T-304L SS PER A554 MILL FINISH</t>
  </si>
  <si>
    <t>TUBE T6" X 5" X 1/4" T-304L SS PER A554 MILL FINISH</t>
  </si>
  <si>
    <t>TUBE T6" X 4" X 1/4" T-304L SS PER A554 MILL FINISH</t>
  </si>
  <si>
    <t>TUBE T6" X 3" X 1/4" T-304L SS PER A554 MILL FINISH</t>
  </si>
  <si>
    <t>TUBE T5" X 5" X 1/4" T-304L SS PER A554 MILL FINISH</t>
  </si>
  <si>
    <t>TUBE T5" X 3" X 1/4" T-304L SS PER A554 MILL FINISH</t>
  </si>
  <si>
    <t>TUBE T4" X 4" X 1/4" T-304L SS PER A554 MILL FINISH</t>
  </si>
  <si>
    <t>TUBE T4" X 3" X 1/4" T-304L SS PER A554 MILL FINISH</t>
  </si>
  <si>
    <t>TUBE T3 1/2" X 3 1/2" X 1/4" T-304L SS PER A554 MILL FINISH</t>
  </si>
  <si>
    <t>TUBE T3" X 3" X 1/4" T-304L SS PER A554 MILL FINISH</t>
  </si>
  <si>
    <t>TUBE T3" X 2" X 1/4" T-304L SS PER A554 MILL FINISH</t>
  </si>
  <si>
    <t>TUBE T3" X 1 1/2" X 1/4" T-304L SS PER A554 MILL FINISH</t>
  </si>
  <si>
    <t>TUBE T2 1/2" X 2 1/2" X 1/4" T-304L SS PER A554 MILL FINISH</t>
  </si>
  <si>
    <t>TUBE T2" X 2" X 1/4" T-304L SS PER A554 MILL FINISH</t>
  </si>
  <si>
    <t>TUBE T2" X 1" X 1/4" T-304L SS PER A554 MILL FINISH</t>
  </si>
  <si>
    <t>TUBE T1 3/4" X 1 3/4" X 1/4" T-304L SS PER A554 MILL FINISH</t>
  </si>
  <si>
    <t>TUBE T1 1/2" X 1 1/2" X 1/4" T-304L SS PER A554 MILL FINISH</t>
  </si>
  <si>
    <t>TUBE T1 1/4" X 1 1/4" X 1/4" T-304L SS PER A554 MILL FINISH</t>
  </si>
  <si>
    <t>TUBE T1" X 1" X 1/4" T-304L SS PER A554 MILL FINISH</t>
  </si>
  <si>
    <t>TUBE T8" X 8" X 1/4" T-304 SS PER A554 MILL FINISH</t>
  </si>
  <si>
    <t>TUBE T8" X 6" X 1/4" T-304 SS PER A554 MILL FINISH</t>
  </si>
  <si>
    <t>TUBE T8" X 4" X 1/4" T-304 SS PER A554 MILL FINISH</t>
  </si>
  <si>
    <t>TUBE T6" X 6" X 1/4" T-304 SS PER A554 MILL FINISH</t>
  </si>
  <si>
    <t>TUBE T6" X 5" X 1/4" T-304 SS PER A554 MILL FINISH</t>
  </si>
  <si>
    <t>TUBE T6" X 4" X 1/4" T-304 SS PER A554 MILL FINISH</t>
  </si>
  <si>
    <t>TUBE T6" X 3" X 1/4" T-304 SS PER A554 MILL FINISH</t>
  </si>
  <si>
    <t>TUBE T5" X 5" X 1/4" T-304 SS PER A554 MILL FINISH</t>
  </si>
  <si>
    <t>TUBE T5" X 3" X 1/4" T-304 SS PER A554 MILL FINISH</t>
  </si>
  <si>
    <t>TUBE T4" X 4" X 1/4" T-304 SS PER A554 MILL FINISH</t>
  </si>
  <si>
    <t>TUBE T4" X 3" X 1/4" T-304 SS PER A554 MILL FINISH</t>
  </si>
  <si>
    <t>TUBE T3 1/2" X 3 1/2" X 1/4" T-304 SS PER A554 MILL FINISH</t>
  </si>
  <si>
    <t>TUBE T3" X 3" X 1/4" T-304 SS PER A554 MILL FINISH</t>
  </si>
  <si>
    <t>TUBE T3" X 2" X 1/4" T-304 SS PER A554 MILL FINISH</t>
  </si>
  <si>
    <t>TUBE T3" X 1 1/2" X 1/4" T-304 SS PER A554 MILL FINISH</t>
  </si>
  <si>
    <t>TUBE T2 1/2" X 2 1/2" X 1/4" T-304 SS PER A554 MILL FINISH</t>
  </si>
  <si>
    <t>TUBE T2" X 2" X 1/4" T-304 SS PER A554 MILL FINISH</t>
  </si>
  <si>
    <t>TUBE T2" X 1" X 1/4" T-304 SS PER A554 MILL FINISH</t>
  </si>
  <si>
    <t>TUBE T1 3/4" X 1 3/4" X 1/4" T-304 SS PER A554 MILL FINISH</t>
  </si>
  <si>
    <t>TUBE T1 1/2" X 1 1/2" X 1/4" T-304 SS PER A554 MILL FINISH</t>
  </si>
  <si>
    <t>TUBE T1 1/4" X 1 1/4" X 1/4" T-304 SS PER A554 MILL FINISH</t>
  </si>
  <si>
    <t>TUBE T1" X 1" X 1/4" T-304 SS PER A554 MILL FINISH</t>
  </si>
  <si>
    <t>TUBE T3 1/2" X 3 1/2" X 1/8" T-316L SS PER A554 MILL FINISH</t>
  </si>
  <si>
    <t>TUBE T3" X 3" X 1/8" T-316L SS PER A554 MILL FINISH</t>
  </si>
  <si>
    <t>TUBE T3" X 2" X 1/8" T-316L SS PER A554 MILL FINISH</t>
  </si>
  <si>
    <t>TUBE T3" X 1 1/2" X 1/8" T-316L SS PER A554 MILL FINISH</t>
  </si>
  <si>
    <t>TUBE T2 1/2" X 2 1/2" X 1/8" T-316L SS PER A554 MILL FINISH</t>
  </si>
  <si>
    <t>TUBE T2" X 2" X 1/8" T-316L SS PER A554 MILL FINISH</t>
  </si>
  <si>
    <t>TUBE T2" X 1" X 1/8" T-316L SS PER A554 MILL FINISH</t>
  </si>
  <si>
    <t>TUBE T1 3/4" X 1 3/4" X 1/8" T-316L SS PER A554 MILL FINISH</t>
  </si>
  <si>
    <t>TUBE T1 1/2" X 1 1/2" X 1/8" T-316L SS PER A554 MILL FINISH</t>
  </si>
  <si>
    <t>TUBE T1 1/4" X 1 1/4" X 1/8" T-316L SS PER A554 MILL FINISH</t>
  </si>
  <si>
    <t>TUBE T1" X 1" X 1/8" T-316L SS PER A554 MILL FINISH</t>
  </si>
  <si>
    <t>TUBE T3/4" X 3/4" X 1/8" T-316L SS PER A554 MILL FINISH</t>
  </si>
  <si>
    <t>TUBE T1/2" X 1/2" X 1/8" T-316L SS PER A554 MILL FINISH</t>
  </si>
  <si>
    <t>TUBE T3 1/2" X 3 1/2" X 1/8" T-316 SS PER A554 MILL FINISH</t>
  </si>
  <si>
    <t>TUBE T3" X 3" X 1/8" T-316 SS PER A554 MILL FINISH</t>
  </si>
  <si>
    <t>TUBE T3" X 2" X 1/8" T-316 SS PER A554 MILL FINISH</t>
  </si>
  <si>
    <t>TUBE T3" X 1 1/2" X 1/8" T-316 SS PER A554 MILL FINISH</t>
  </si>
  <si>
    <t>TUBE T2 1/2" X 2 1/2" X 1/8" T-316 SS PER A554 MILL FINISH</t>
  </si>
  <si>
    <t>TUBE T2" X 2" X 1/8" T-316 SS PER A554 MILL FINISH</t>
  </si>
  <si>
    <t>TUBE T2" X 1" X 1/8" T-316 SS PER A554 MILL FINISH</t>
  </si>
  <si>
    <t>TUBE T1 3/4" X 1 3/4" X 1/8" T-316 SS PER A554 MILL FINISH</t>
  </si>
  <si>
    <t>TUBE T1 1/2" X 1 1/2" X 1/8" T-316 SS PER A554 MILL FINISH</t>
  </si>
  <si>
    <t>TUBE T1 1/4" X 1 1/4" X 1/8" T-316 SS PER A554 MILL FINISH</t>
  </si>
  <si>
    <t>TUBE T1" X 1" X 1/8" T-316 SS PER A554 MILL FINISH</t>
  </si>
  <si>
    <t>TUBE T3/4" X 3/4" X 1/8" T-316 SS PER A554 MILL FINISH</t>
  </si>
  <si>
    <t>TUBE T1/2" X 1/2" X 1/8" T-316 SS PER A554 MILL FINISH</t>
  </si>
  <si>
    <t>TUBE T3 1/2" X 3 1/2" X 1/8" T-304L SS PER A554 MILL FINISH</t>
  </si>
  <si>
    <t>TUBE T3" X 3" X 1/8" T-304L SS PER A554 MILL FINISH</t>
  </si>
  <si>
    <t>TUBE T3" X 2" X 1/8" T-304L SS PER A554 MILL FINISH</t>
  </si>
  <si>
    <t>TUBE T3" X 1 1/2" X 1/8" T-304L SS PER A554 MILL FINISH</t>
  </si>
  <si>
    <t>TUBE T2 1/2" X 2 1/2" X 1/8" T-304L SS PER A554 MILL FINISH</t>
  </si>
  <si>
    <t>TUBE T2" X 2" X 1/8" T-304L SS PER A554 MILL FINISH</t>
  </si>
  <si>
    <t>TUBE T2" X 1" X 1/8" T-304L SS PER A554 MILL FINISH</t>
  </si>
  <si>
    <t>TUBE T1 3/4" X 1 3/4" X 1/8" T-304L SS PER A554 MILL FINISH</t>
  </si>
  <si>
    <t>TUBE T1 1/2" X 1 1/2" X 1/8" T-304L SS PER A554 MILL FINISH</t>
  </si>
  <si>
    <t>TUBE T1 1/4" X 1 1/4" X 1/8" T-304L SS PER A554 MILL FINISH</t>
  </si>
  <si>
    <t>TUBE T1" X 1" X 1/8" T-304L SS PER A554 MILL FINISH</t>
  </si>
  <si>
    <t>TUBE T3/4" X 3/4" X 1/8" T-304L SS PER A554 MILL FINISH</t>
  </si>
  <si>
    <t>TUBE T1/2" X 1/2" X 1/8" T-304L SS PER A554 MILL FINISH</t>
  </si>
  <si>
    <t>TUBE T3 1/2" X 3 1/2" X 1/8" T-304 SS PER A554 MILL FINISH</t>
  </si>
  <si>
    <t>TUBE T3" X 3" X 1/8" T-304 SS PER A554 MILL FINISH</t>
  </si>
  <si>
    <t>TUBE T3" X 2" X 1/8" T-304 SS PER A554 MILL FINISH</t>
  </si>
  <si>
    <t>TUBE T3" X 1 1/2" X 1/8" T-304 SS PER A554 MILL FINISH</t>
  </si>
  <si>
    <t>TUBE T2 1/2" X 2 1/2" X 1/8" T-304 SS PER A554 MILL FINISH</t>
  </si>
  <si>
    <t>TUBE T2" X 2" X 1/8" T-304 SS PER A554 MILL FINISH</t>
  </si>
  <si>
    <t>TUBE T2" X 1" X 1/8" T-304 SS PER A554 MILL FINISH</t>
  </si>
  <si>
    <t>TUBE T1 3/4" X 1 3/4" X 1/8" T-304 SS PER A554 MILL FINISH</t>
  </si>
  <si>
    <t>TUBE T1 1/2" X 1 1/2" X 1/8" T-304 SS PER A554 MILL FINISH</t>
  </si>
  <si>
    <t>TUBE T1 1/4" X 1 1/4" X 1/8" T-304 SS PER A554 MILL FINISH</t>
  </si>
  <si>
    <t>TUBE T1" X 1" X 1/8" T-304 SS PER A554 MILL FINISH</t>
  </si>
  <si>
    <t>TUBE T3/4" X 3/4" X 1/8" T-304 SS PER A554 MILL FINISH</t>
  </si>
  <si>
    <t>TUBE T1/2" X 1/2" X 1/8" T-304 SS PER A554 MILL FINISH</t>
  </si>
  <si>
    <t>TUBE T3 1/2" X 3 1/2" X .120" 11GA T-316L SS PER A554 MILL FINISH</t>
  </si>
  <si>
    <t>TUBE T3" X 3" X .120" 11GA T-316L SS PER A554 MILL FINISH</t>
  </si>
  <si>
    <t>TUBE T3" X 2" X .120" 11GA T-316L SS PER A554 MILL FINISH</t>
  </si>
  <si>
    <t>TUBE T3" X 1 1/2" X .120" 11GA T-316L SS PER A554 MILL FINISH</t>
  </si>
  <si>
    <t>TUBE T2 1/2" X 2 1/2" X .120" 11GA T-316L SS PER A554 MILL FINISH</t>
  </si>
  <si>
    <t>TUBE T2" X 2" X .120" 11GA T-316L SS PER A554 MILL FINISH</t>
  </si>
  <si>
    <t>TUBE T2" X 1" X .120" 11GA T-316L SS PER A554 MILL FINISH</t>
  </si>
  <si>
    <t>TUBE T1 3/4" X 1 3/4" X .120" 11GA T-316L SS PER A554 MILL FINISH</t>
  </si>
  <si>
    <t>TUBE T1 1/2" X 1 1/2" X .120" 11GA T-316L SS PER A554 MILL FINISH</t>
  </si>
  <si>
    <t>TUBE T1 1/4" X 1 1/4" X .120" 11GA T-316L SS PER A554 MILL FINISH</t>
  </si>
  <si>
    <t>TUBE T1" X 1" X .120" 11GA T-316L SS PER A554 MILL FINISH</t>
  </si>
  <si>
    <t>TUBE T3/4" X 3/4" X .120" 11GA T-316L SS PER A554 MILL FINISH</t>
  </si>
  <si>
    <t>TUBE T1/2" X 1/2" X .120" 11GA T-316L SS PER A554 MILL FINISH</t>
  </si>
  <si>
    <t>TUBE T3 1/2" X 3 1/2" X .120" 11GA T-316 SS PER A554 MILL FINISH</t>
  </si>
  <si>
    <t>TUBE T3" X 3" X .120" 11GA T-316 SS PER A554 MILL FINISH</t>
  </si>
  <si>
    <t>TUBE T3" X 2" X .120" 11GA T-316 SS PER A554 MILL FINISH</t>
  </si>
  <si>
    <t>TUBE T3" X 1 1/2" X .120" 11GA T-316 SS PER A554 MILL FINISH</t>
  </si>
  <si>
    <t>TUBE T2 1/2" X 2 1/2" X .120" 11GA T-316 SS PER A554 MILL FINISH</t>
  </si>
  <si>
    <t>TUBE T2" X 2" X .120" 11GA T-316 SS PER A554 MILL FINISH</t>
  </si>
  <si>
    <t>TUBE T2" X 1" X .120" 11GA T-316 SS PER A554 MILL FINISH</t>
  </si>
  <si>
    <t>TUBE T1 3/4" X 1 3/4" X .120" 11GA T-316 SS PER A554 MILL FINISH</t>
  </si>
  <si>
    <t>TUBE T1 1/2" X 1 1/2" X .120" 11GA T-316 SS PER A554 MILL FINISH</t>
  </si>
  <si>
    <t>TUBE T1 1/4" X 1 1/4" X .120" 11GA T-316 SS PER A554 MILL FINISH</t>
  </si>
  <si>
    <t>TUBE T1" X 1" X .120" 11GA T-316 SS PER A554 MILL FINISH</t>
  </si>
  <si>
    <t>TUBE T3/4" X 3/4" X .120" 11GA T-316 SS PER A554 MILL FINISH</t>
  </si>
  <si>
    <t>TUBE T1/2" X 1/2" X .120" 11GA T-316 SS PER A554 MILL FINISH</t>
  </si>
  <si>
    <t>TUBE T3 1/2" X 3 1/2" X .120" 11GA T-304L SS PER A554 MILL FINISH</t>
  </si>
  <si>
    <t>TUBE T3" X 3" X .120" 11GA T-304L SS PER A554 MILL FINISH</t>
  </si>
  <si>
    <t>TUBE T3" X 2" X .120" 11GA T-304L SS PER A554 MILL FINISH</t>
  </si>
  <si>
    <t>TUBE T3" X 1 1/2" X .120" 11GA T-304L SS PER A554 MILL FINISH</t>
  </si>
  <si>
    <t>TUBE T2 1/2" X 2 1/2" X .120" 11GA T-304L SS PER A554 MILL FINISH</t>
  </si>
  <si>
    <t>TUBE T2" X 2" X .120" 11GA T-304L SS PER A554 MILL FINISH</t>
  </si>
  <si>
    <t>TUBE T2" X 1" X .120" 11GA T-304L SS PER A554 MILL FINISH</t>
  </si>
  <si>
    <t>TUBE T1 3/4" X 1 3/4" X .120" 11GA T-304L SS PER A554 MILL FINISH</t>
  </si>
  <si>
    <t>TUBE T1 1/2" X 1 1/2" X .120" 11GA T-304L SS PER A554 MILL FINISH</t>
  </si>
  <si>
    <t>TUBE T1 1/4" X 1 1/4" X .120" 11GA T-304L SS PER A554 MILL FINISH</t>
  </si>
  <si>
    <t>TUBE T1" X 1" X .120" 11GA T-304L SS PER A554 MILL FINISH</t>
  </si>
  <si>
    <t>TUBE T3/4" X 3/4" X .120" 11GA T-304L SS PER A554 MILL FINISH</t>
  </si>
  <si>
    <t>TUBE T1/2" X 1/2" X .120" 11GA T-304L SS PER A554 MILL FINISH</t>
  </si>
  <si>
    <t>TUBE T3 1/2" X 3 1/2" X .120" 11GA T-304 SS PER A554 MILL FINISH</t>
  </si>
  <si>
    <t>TUBE T3" X 3" X .120" 11GA T-304 SS PER A554 MILL FINISH</t>
  </si>
  <si>
    <t>TUBE T3" X 2" X .120" 11GA T-304 SS PER A554 MILL FINISH</t>
  </si>
  <si>
    <t>TUBE T3" X 1 1/2" X .120" 11GA T-304 SS PER A554 MILL FINISH</t>
  </si>
  <si>
    <t>TUBE T2 1/2" X 2 1/2" X .120" 11GA T-304 SS PER A554 MILL FINISH</t>
  </si>
  <si>
    <t>TUBE T2" X 2" X .120" 11GA T-304 SS PER A554 MILL FINISH</t>
  </si>
  <si>
    <t>TUBE T2" X 1" X .120" 11GA T-304 SS PER A554 MILL FINISH</t>
  </si>
  <si>
    <t>TUBE T1 3/4" X 1 3/4" X .120" 11GA T-304 SS PER A554 MILL FINISH</t>
  </si>
  <si>
    <t>TUBE T1 1/2" X 1 1/2" X .120" 11GA T-304 SS PER A554 MILL FINISH</t>
  </si>
  <si>
    <t>TUBE T1 1/4" X 1 1/4" X .120" 11GA T-304 SS PER A554 MILL FINISH</t>
  </si>
  <si>
    <t>TUBE T1" X 1" X .120" 11GA T-304 SS PER A554 MILL FINISH</t>
  </si>
  <si>
    <t>TUBE T3/4" X 3/4" X .120" 11GA T-304 SS PER A554 MILL FINISH</t>
  </si>
  <si>
    <t>TUBE T1/2" X 1/2" X .120" 11GA T-304 SS PER A554 MILL FINISH</t>
  </si>
  <si>
    <t>TUBE T3 1/2" X 3 1/2" X 14GA T-316L SS PER A554 MILL FINISH</t>
  </si>
  <si>
    <t>TUBE T3" X 3" X 14GA T-316L SS PER A554 MILL FINISH</t>
  </si>
  <si>
    <t>TUBE T3" X 2" X 14GA T-316L SS PER A554 MILL FINISH</t>
  </si>
  <si>
    <t>TUBE T3" X 1 1/2" X 14GA T-316L SS PER A554 MILL FINISH</t>
  </si>
  <si>
    <t>TUBE T2 1/2" X 2 1/2" X 14GA T-316L SS PER A554 MILL FINISH</t>
  </si>
  <si>
    <t>TUBE T2" X 2" X 14GA T-316L SS PER A554 MILL FINISH</t>
  </si>
  <si>
    <t>TUBE T2" X 1" X 14GA T-316L SS PER A554 MILL FINISH</t>
  </si>
  <si>
    <t>TUBE T1 3/4" X 1 3/4" X 14GA T-316L SS PER A554 MILL FINISH</t>
  </si>
  <si>
    <t>TUBE T1 1/2" X 1 1/2" X 14GA T-316L SS PER A554 MILL FINISH</t>
  </si>
  <si>
    <t>TUBE T1 1/4" X 1 1/4" X 14GA T-316L SS PER A554 MILL FINISH</t>
  </si>
  <si>
    <t>TUBE T1" X 1" X 14GA T-316L SS PER A554 MILL FINISH</t>
  </si>
  <si>
    <t>TUBE T3/4" X 3/4" X 14GA T-316L SS PER A554 MILL FINISH</t>
  </si>
  <si>
    <t>TUBE T1/2" X 1/2" X 14GA T-316L SS PER A554 MILL FINISH</t>
  </si>
  <si>
    <t>TUBE T3 1/2" X 3 1/2" X 14GA T-316 SS PER A554 MILL FINISH</t>
  </si>
  <si>
    <t>TUBE T3" X 3" X 14GA T-316 SS PER A554 MILL FINISH</t>
  </si>
  <si>
    <t>TUBE T3" X 2" X 14GA T-316 SS PER A554 MILL FINISH</t>
  </si>
  <si>
    <t>TUBE T3" X 1 1/2" X 14GA T-316 SS PER A554 MILL FINISH</t>
  </si>
  <si>
    <t>TUBE T2 1/2" X 2 1/2" X 14GA T-316 SS PER A554 MILL FINISH</t>
  </si>
  <si>
    <t>TUBE T2" X 2" X 14GA T-316 SS PER A554 MILL FINISH</t>
  </si>
  <si>
    <t>TUBE T2" X 1" X 14GA T-316 SS PER A554 MILL FINISH</t>
  </si>
  <si>
    <t>TUBE T1 3/4" X 1 3/4" X 14GA T-316 SS PER A554 MILL FINISH</t>
  </si>
  <si>
    <t>TUBE T1 1/2" X 1 1/2" X 14GA T-316 SS PER A554 MILL FINISH</t>
  </si>
  <si>
    <t>TUBE T1 1/4" X 1 1/4" X 14GA T-316 SS PER A554 MILL FINISH</t>
  </si>
  <si>
    <t>TUBE T1" X 1" X 14GA T-316 SS PER A554 MILL FINISH</t>
  </si>
  <si>
    <t>TUBE T3/4" X 3/4" X 14GA T-316 SS PER A554 MILL FINISH</t>
  </si>
  <si>
    <t>TUBE T1/2" X 1/2" X 14GA T-316 SS PER A554 MILL FINISH</t>
  </si>
  <si>
    <t>TUBE T3 1/2" X 3 1/2" X 14GA T-304L SS PER A554 MILL FINISH</t>
  </si>
  <si>
    <t>TUBE T3" X 3" X 14GA T-304L SS PER A554 MILL FINISH</t>
  </si>
  <si>
    <t>TUBE T3" X 2" X 14GA T-304L SS PER A554 MILL FINISH</t>
  </si>
  <si>
    <t>TUBE T3" X 1 1/2" X 14GA T-304L SS PER A554 MILL FINISH</t>
  </si>
  <si>
    <t>TUBE T2 1/2" X 2 1/2" X 14GA T-304L SS PER A554 MILL FINISH</t>
  </si>
  <si>
    <t>TUBE T2" X 2" X 14GA T-304L SS PER A554 MILL FINISH</t>
  </si>
  <si>
    <t>TUBE T2" X 1" X 14GA T-304L SS PER A554 MILL FINISH</t>
  </si>
  <si>
    <t>TUBE T1 3/4" X 1 3/4" X 14GA T-304L SS PER A554 MILL FINISH</t>
  </si>
  <si>
    <t>TUBE T1 1/2" X 1 1/2" X 14GA T-304L SS PER A554 MILL FINISH</t>
  </si>
  <si>
    <t>TUBE T1 1/4" X 1 1/4" X 14GA T-304L SS PER A554 MILL FINISH</t>
  </si>
  <si>
    <t>TUBE T1" X 1" X 14GA T-304L SS PER A554 MILL FINISH</t>
  </si>
  <si>
    <t>TUBE T3/4" X 3/4" X 14GA T-304L SS PER A554 MILL FINISH</t>
  </si>
  <si>
    <t>TUBE T1/2" X 1/2" X 14GA T-304L SS PER A554 MILL FINISH</t>
  </si>
  <si>
    <t>TUBE T3 1/2" X 3 1/2" X 14GA T-304 SS PER A554 MILL FINISH</t>
  </si>
  <si>
    <t>TUBE T3" X 3" X 14GA T-304 SS PER A554 MILL FINISH</t>
  </si>
  <si>
    <t>TUBE T3" X 2" X 14GA T-304 SS PER A554 MILL FINISH</t>
  </si>
  <si>
    <t>TUBE T3" X 1 1/2" X 14GA T-304 SS PER A554 MILL FINISH</t>
  </si>
  <si>
    <t>TUBE T2 1/2" X 2 1/2" X 14GA T-304 SS PER A554 MILL FINISH</t>
  </si>
  <si>
    <t>TUBE T2" X 2" X 14GA T-304 SS PER A554 MILL FINISH</t>
  </si>
  <si>
    <t>TUBE T2" X 1" X 14GA T-304 SS PER A554 MILL FINISH</t>
  </si>
  <si>
    <t>TUBE T1 3/4" X 1 3/4" X 14GA T-304 SS PER A554 MILL FINISH</t>
  </si>
  <si>
    <t>TUBE T1 1/2" X 1 1/2" X 14GA T-304 SS PER A554 MILL FINISH</t>
  </si>
  <si>
    <t>TUBE T1 1/4" X 1 1/4" X 14GA T-304 SS PER A554 MILL FINISH</t>
  </si>
  <si>
    <t>TUBE T1" X 1" X 14GA T-304 SS PER A554 MILL FINISH</t>
  </si>
  <si>
    <t>TUBE T3/4" X 3/4" X 14GA T-304 SS PER A554 MILL FINISH</t>
  </si>
  <si>
    <t>TUBE T1/2" X 1/2" X 14GA T-304 SS PER A554 MILL FINISH</t>
  </si>
  <si>
    <t>TUBE T4" X 4" X 1/8" T-304L SS PER A554 MILL FINISH</t>
  </si>
  <si>
    <t>TUBE T4" X 4" X 1/8" T-316L SS PER A554 MILL FINISH</t>
  </si>
  <si>
    <t>TUBE T3" X 3" X 3/16" T-304L SS PER A554 MILL FINISH</t>
  </si>
  <si>
    <t>TUBE RD Ø3" OD (76.2mm) X .083" (2.108mm) WALL T-304 SS PER A554 MILL FINISH</t>
  </si>
  <si>
    <t>WELDED, OR EQUIVALENT TO: ASTM A269. TAGGING INFO. SHALL BE CLEARLY LEGIBLE &amp; SHALL INCL. APPLICABLE DATA THAT FOLLOWS: SIZE, TYPE, GRADE, &amp; ASTM NO's. ENVR. ELEMENTS OR HNDLG, CARBON STL. BANDING MUST NOT CONTACT SS MAT'LS.</t>
  </si>
  <si>
    <t>TUBE RD Ø4" OD (101.6mm) X .083" (2.108mm) WALL T-304 SS PER A554 MILL FINISH</t>
  </si>
  <si>
    <t>TUBE RD Ø6" OD (152.4mm) X .083" (2.108mm) WALL T-304 SS PER A554 MILL FINISH</t>
  </si>
  <si>
    <t>TUBE RD Ø3" OD (76.2mm) X .083" (2.108mm) WALL T-304L SS PER A554 MILL FINISH</t>
  </si>
  <si>
    <t>TUBE RD Ø4" OD (101.6mm) X .083" (2.108mm) WALL T-304L SS PER A554 MILL FINISH</t>
  </si>
  <si>
    <t>TUBE RD Ø6" OD (152.4mm) X .083" (2.108mm) WALL T-304L SS PER A554 MILL FINISH</t>
  </si>
  <si>
    <t>TUBE RD Ø7 1/2" OD X .750" WALL T-304L SS PER A554 MILL FINISH</t>
  </si>
  <si>
    <t>TUBE RD Ø7 1/2" OD X .750" WALL T-316L SS PER A554 MILL FINISH</t>
  </si>
  <si>
    <t>TUBE RD Ø4 3/4" OD X .750" WALL T-304L SS PER A554 MILL FINISH</t>
  </si>
  <si>
    <t>TUBE RD Ø4 3/4" OD X .750" WALL T-316L SS PER A554 MILL FINISH</t>
  </si>
  <si>
    <t>TUBE RD Ø12" OD X .125" WALL T-316L SS PER A554 MILL FINISH</t>
  </si>
  <si>
    <t>TUBE RD Ø12" OD X .125" WALL T-304L SS PER A554 MILL FINISH</t>
  </si>
  <si>
    <t>TUBE RD Ø3" OD (76.2mm) X .0748" (1.9mm) WALL T-304L SS PER A554 MILL FINISH</t>
  </si>
  <si>
    <t>TUBE RD Ø4" OD (101.6mm) X .0748" (1.9mm) WALL T-304L SS PER A554 MILL FINISH</t>
  </si>
  <si>
    <t>TUBE RD Ø6" OD (152.4mm) X .0748" (1.9mm) WALL T-304L SS PER A554 MILL FINISH</t>
  </si>
  <si>
    <t>TUBE RD Ø3" OD (76.2mm) X .0748" (1.9mm) WALL T-316L SS PER A554 MILL FINISH</t>
  </si>
  <si>
    <t>TUBE RD Ø4" OD (101.6mm) X .0748" (1.9mm) WALL T-316L SS PER A554 MILL FINISH</t>
  </si>
  <si>
    <t>TUBE RD Ø6" OD (152.4mm) X .0748" (1.9mm) WALL T-316L SS PER A554 MILL FINISH</t>
  </si>
  <si>
    <t>TUBE RD Ø3" OD (76.2mm) X .0551" (1.4mm) WALL T-304 SS PER A554 MILL FINISH</t>
  </si>
  <si>
    <t>TUBE RD Ø4" OD (101.6mm) X .0551" (1.4mm) WALL T-304 SS PER A554 MILL FINISH</t>
  </si>
  <si>
    <t>TUBE RD Ø6" OD (152.4mm) X .0551" (1.4mm) WALL T-304 SS PER A554 MILL FINISH</t>
  </si>
  <si>
    <t>TUBE RD Ø3" OD (76.2mm) X .0748" (1.9mm) WALL T-304 SS PER A554 MILL FINISH</t>
  </si>
  <si>
    <t>TUBE RD Ø4" OD (101.6mm) X .0748" (1.9mm) WALL T-304 SS PER A554 MILL FINISH</t>
  </si>
  <si>
    <t>TUBE RD Ø6" OD (152.4mm) X .0748" (1.9mm) WALL T-304 SS PER A554 MILL FINISH</t>
  </si>
  <si>
    <t>TUBE RD Ø1/4" OD X .065" WALL T-316L SS PER A554 MILL FINISH</t>
  </si>
  <si>
    <t>TUBE RD Ø5" OD X .750" WALL T-304L SS PER A554 MILL FINISH</t>
  </si>
  <si>
    <t>TUBE RD Ø5" OD X .750" WALL T-316L SS PER A554 MILL FINISH</t>
  </si>
  <si>
    <t>TUBE RD Ø6" OD X .083" WALL T-316L SS PER A554 MILL FINISH</t>
  </si>
  <si>
    <t>TUBE RD Ø4" OD X .083" WALL T-316L SS PER A554 MILL FINISH</t>
  </si>
  <si>
    <t>TUBE RD Ø3" OD X .083" WALL T-316L SS PER A554 MILL FINISH</t>
  </si>
  <si>
    <t>TUBE RD Ø6 3/4" OD X .500" WALL T-316 SS PER A554 MILL FINISH</t>
  </si>
  <si>
    <t>TUBE RD Ø1/4" OD X .035" WALL T-316L SS PER A554 MILL FINISH</t>
  </si>
  <si>
    <t>TUBE RD Ø1/4" OD X .035" WALL T-316 SS PER A554 MILL FINISH</t>
  </si>
  <si>
    <t>TUBE RD Ø1/4" OD X .035" WALL T-304L SS PER A554 MILL FINISH</t>
  </si>
  <si>
    <t>WELDED, OR EQUIVALENT TO: ASTM A269. TAGGING INFO. SHALL BE CLEARLY LEGIBLE &amp; SHALL INCL. APPLICABLE DATA THAT FOLLOWS: SIZE, TYPE, GRADE, &amp; ASTM NO's. ENVR. ELEMENTS OR HNDLG, CARBON STL. BANDING MUST NOT CONTACT SS MAT'LS._x000D_MCMASTER P/N: 8989K721</t>
  </si>
  <si>
    <t>TUBE RD Ø1/4" OD X .035" WALL T-304 SS PER A554 MILL FINISH</t>
  </si>
  <si>
    <t>TUBE RD Ø10" OD X .625" WALL T-316L SS PER A554 MILL FINISH</t>
  </si>
  <si>
    <t>TUBE RD Ø8" OD X .625" WALL T-316L SS PER A554 MILL FINISH</t>
  </si>
  <si>
    <t>TUBE RD Ø7 1/2" OD X .625" WALL T-316L SS PER A554 MILL FINISH</t>
  </si>
  <si>
    <t>TUBE RD Ø7" OD X .625" WALL T-316L SS PER A554 MILL FINISH</t>
  </si>
  <si>
    <t>TUBE RD Ø6" OD X .625" WALL T-316L SS PER A554 MILL FINISH</t>
  </si>
  <si>
    <t>TUBE RD Ø4" OD X .625" WALL T-316L SS PER A554 MILL FINISH</t>
  </si>
  <si>
    <t>TUBE RD Ø3" OD X .625" WALL T-316L SS PER A554 MILL FINISH</t>
  </si>
  <si>
    <t>TUBE RD Ø2 1/2" OD X .625" WALL T-316L SS PER A554 MILL FINISH</t>
  </si>
  <si>
    <t>TUBE RD Ø2" OD X .625" WALL T-316L SS PER A554 MILL FINISH</t>
  </si>
  <si>
    <t>TUBE RD Ø1 3/4" OD X .625" WALL T-316L SS PER A554 MILL FINISH</t>
  </si>
  <si>
    <t>TUBE RD Ø1 1/2" OD X .625" WALL T-316L SS PER A554 MILL FINISH</t>
  </si>
  <si>
    <t>TUBE RD Ø1 1/4" OD X .625" WALL T-316L SS PER A554 MILL FINISH</t>
  </si>
  <si>
    <t>TUBE RD Ø1" OD X .625" WALL T-316L SS PER A554 MILL FINISH</t>
  </si>
  <si>
    <t>TUBE RD Ø3/4" OD X .625" WALL T-316L SS PER A554 MILL FINISH</t>
  </si>
  <si>
    <t>TUBE RD Ø1/2" OD X .625" WALL T-316L SS PER A554 MILL FINISH</t>
  </si>
  <si>
    <t>TUBE RD Ø10" OD X .625" WALL T-316 SS PER A554 MILL FINISH</t>
  </si>
  <si>
    <t>TUBE RD Ø8" OD X .625" WALL T-316 SS PER A554 MILL FINISH</t>
  </si>
  <si>
    <t>TUBE RD Ø7 1/2" OD X .625" WALL T-316 SS PER A554 MILL FINISH</t>
  </si>
  <si>
    <t>TUBE RD Ø7" OD X .625" WALL T-316 SS PER A554 MILL FINISH</t>
  </si>
  <si>
    <t>TUBE RD Ø6" OD X .625" WALL T-316 SS PER A554 MILL FINISH</t>
  </si>
  <si>
    <t>TUBE RD Ø4" OD X .625" WALL T-316 SS PER A554 MILL FINISH</t>
  </si>
  <si>
    <t>TUBE RD Ø3" OD X .625" WALL T-316 SS PER A554 MILL FINISH</t>
  </si>
  <si>
    <t>TUBE RD Ø2 1/2" OD X .625" WALL T-316 SS PER A554 MILL FINISH</t>
  </si>
  <si>
    <t>TUBE RD Ø2" OD X .625" WALL T-316 SS PER A554 MILL FINISH</t>
  </si>
  <si>
    <t>TUBE RD Ø1 3/4" OD X .625" WALL T-316 SS PER A554 MILL FINISH</t>
  </si>
  <si>
    <t>TUBE RD Ø1 1/2" OD X .625" WALL T-316 SS PER A554 MILL FINISH</t>
  </si>
  <si>
    <t>TUBE RD Ø1 1/4" OD X .625" WALL T-316 SS PER A554 MILL FINISH</t>
  </si>
  <si>
    <t>TUBE RD Ø1" OD X .625" WALL T-316 SS PER A554 MILL FINISH</t>
  </si>
  <si>
    <t>TUBE RD Ø3/4" OD X .625" WALL T-316 SS PER A554 MILL FINISH</t>
  </si>
  <si>
    <t>TUBE RD Ø1/2" OD X .625" WALL T-316 SS PER A554 MILL FINISH</t>
  </si>
  <si>
    <t>TUBE RD Ø10" OD X .625" WALL T-304L SS PER A554 MILL FINISH</t>
  </si>
  <si>
    <t>TUBE RD Ø8" OD X .625" WALL T-304L SS PER A554 MILL FINISH</t>
  </si>
  <si>
    <t>TUBE RD Ø7 1/2" OD X .625" WALL T-304L SS PER A554 MILL FINISH</t>
  </si>
  <si>
    <t>TUBE RD Ø7" OD X .625" WALL T-304L SS PER A554 MILL FINISH</t>
  </si>
  <si>
    <t>TUBE RD Ø6" OD X .625" WALL T-304L SS PER A554 MILL FINISH</t>
  </si>
  <si>
    <t>TUBE RD Ø4" OD X .625" WALL T-304L SS PER A554 MILL FINISH</t>
  </si>
  <si>
    <t>TUBE RD Ø3" OD X .625" WALL T-304L SS PER A554 MILL FINISH</t>
  </si>
  <si>
    <t>TUBE RD Ø2 1/2" OD X .625" WALL T-304L SS PER A554 MILL FINISH</t>
  </si>
  <si>
    <t>TUBE RD Ø2" OD X .625" WALL T-304L SS PER A554 MILL FINISH</t>
  </si>
  <si>
    <t>TUBE RD Ø1 3/4" OD X .625" WALL T-304L SS PER A554 MILL FINISH</t>
  </si>
  <si>
    <t>TUBE RD Ø1 1/2" OD X .625" WALL T-304L SS PER A554 MILL FINISH</t>
  </si>
  <si>
    <t>TUBE RD Ø1 1/4" OD X .625" WALL T-304L SS PER A554 MILL FINISH</t>
  </si>
  <si>
    <t>TUBE RD Ø1" OD X .625" WALL T-304L SS PER A554 MILL FINISH</t>
  </si>
  <si>
    <t>TUBE RD Ø3/4" OD X .625" WALL T-304L SS PER A554 MILL FINISH</t>
  </si>
  <si>
    <t>TUBE RD Ø1/2" OD X .625" WALL T-304L SS PER A554 MILL FINISH</t>
  </si>
  <si>
    <t>TUBE RD Ø10" OD X .625" WALL T-304 SS PER A554 MILL FINISH</t>
  </si>
  <si>
    <t>TUBE RD Ø8" OD X .625" WALL T-304 SS PER A554 MILL FINISH</t>
  </si>
  <si>
    <t>TUBE RD Ø7 1/2" OD X .625" WALL T-304 SS PER A554 MILL FINISH</t>
  </si>
  <si>
    <t>TUBE RD Ø7" OD X .625" WALL T-304 SS PER A554 MILL FINISH</t>
  </si>
  <si>
    <t>TUBE RD Ø6" OD X .625" WALL T-304 SS PER A554 MILL FINISH</t>
  </si>
  <si>
    <t>TUBE RD Ø4" OD X .625" WALL T-304 SS PER A554 MILL FINISH</t>
  </si>
  <si>
    <t>TUBE RD Ø3" OD X .625" WALL T-304 SS PER A554 MILL FINISH</t>
  </si>
  <si>
    <t>TUBE RD Ø2 1/2" OD X .625" WALL T-304 SS PER A554 MILL FINISH</t>
  </si>
  <si>
    <t>TUBE RD Ø2" OD X .625" WALL T-304 SS PER A554 MILL FINISH</t>
  </si>
  <si>
    <t>TUBE RD Ø1 3/4" OD X .625" WALL T-304 SS PER A554 MILL FINISH</t>
  </si>
  <si>
    <t>TUBE RD Ø1 1/2" OD X .625" WALL T-304 SS PER A554 MILL FINISH</t>
  </si>
  <si>
    <t>TUBE RD Ø1 1/4" OD X .625" WALL T-304 SS PER A554 MILL FINISH</t>
  </si>
  <si>
    <t>TUBE RD Ø1" OD X .625" WALL T-304 SS PER A554 MILL FINISH</t>
  </si>
  <si>
    <t>TUBE RD Ø3/4" OD X .625" WALL T-304 SS PER A554 MILL FINISH</t>
  </si>
  <si>
    <t>TUBE RD Ø1/2" OD X .625" WALL T-304 SS PER A554 MILL FINISH</t>
  </si>
  <si>
    <t>TUBE RD Ø10" OD X .500" WALL T-316L SS PER A554 MILL FINISH</t>
  </si>
  <si>
    <t>TUBE RD Ø8" OD X .500" WALL T-316L SS PER A554 MILL FINISH</t>
  </si>
  <si>
    <t>TUBE RD Ø7 1/2" OD X .500" WALL T-316L SS PER A554 MILL FINISH</t>
  </si>
  <si>
    <t>TUBE RD Ø7" OD X .500" WALL T-316L SS PER A554 MILL FINISH</t>
  </si>
  <si>
    <t>TUBE RD Ø6" OD X .500" WALL T-316L SS PER A554 MILL FINISH</t>
  </si>
  <si>
    <t>TUBE RD Ø4" OD X .500" WALL T-316L SS PER A554 MILL FINISH</t>
  </si>
  <si>
    <t>TUBE RD Ø3" OD X .500" WALL T-316L SS PER A554 MILL FINISH</t>
  </si>
  <si>
    <t>TUBE RD Ø2 1/2" OD X .500" WALL T-316L SS PER A554 MILL FINISH</t>
  </si>
  <si>
    <t>TUBE RD Ø2" OD X .500" WALL T-316L SS PER A554 MILL FINISH</t>
  </si>
  <si>
    <t>TUBE RD Ø1 3/4" OD X .500" WALL T-316L SS PER A554 MILL FINISH</t>
  </si>
  <si>
    <t>TUBE RD Ø1 1/2" OD X .500" WALL T-316L SS PER A554 MILL FINISH</t>
  </si>
  <si>
    <t>TUBE RD Ø1 1/4" OD X .500" WALL T-316L SS PER A554 MILL FINISH</t>
  </si>
  <si>
    <t>TUBE RD Ø1" OD X .500" WALL T-316L SS PER A554 MILL FINISH</t>
  </si>
  <si>
    <t>TUBE RD Ø3/4" OD X .500" WALL T-316L SS PER A554 MILL FINISH</t>
  </si>
  <si>
    <t>TUBE RD Ø1/2" OD X .500" WALL T-316L SS PER A554 MILL FINISH</t>
  </si>
  <si>
    <t>TUBE RD Ø10" OD X .500" WALL T-316 SS PER A554 MILL FINISH</t>
  </si>
  <si>
    <t>TUBE RD Ø8" OD X .500" WALL T-316 SS PER A554 MILL FINISH</t>
  </si>
  <si>
    <t>TUBE RD Ø7 1/2" OD X .500" WALL T-316 SS PER A554 MILL FINISH</t>
  </si>
  <si>
    <t>TUBE RD Ø7" OD X .500" WALL T-316 SS PER A554 MILL FINISH</t>
  </si>
  <si>
    <t>TUBE RD Ø6" OD X .500" WALL T-316 SS PER A554 MILL FINISH</t>
  </si>
  <si>
    <t>TUBE RD Ø4" OD X .500" WALL T-316 SS PER A554 MILL FINISH</t>
  </si>
  <si>
    <t>TUBE RD Ø3" OD X .500" WALL T-316 SS PER A554 MILL FINISH</t>
  </si>
  <si>
    <t>TUBE RD Ø2 1/2" OD X .500" WALL T-316 SS PER A554 MILL FINISH</t>
  </si>
  <si>
    <t>TUBE RD Ø2" OD X .500" WALL T-316 SS PER A554 MILL FINISH</t>
  </si>
  <si>
    <t>TUBE RD Ø1 3/4" OD X .500" WALL T-316 SS PER A554 MILL FINISH</t>
  </si>
  <si>
    <t>TUBE RD Ø1 1/2" OD X .500" WALL T-316 SS PER A554 MILL FINISH</t>
  </si>
  <si>
    <t>TUBE RD Ø1 1/4" OD X .500" WALL T-316 SS PER A554 MILL FINISH</t>
  </si>
  <si>
    <t>TUBE RD Ø1" OD X .500" WALL T-316 SS PER A554 MILL FINISH</t>
  </si>
  <si>
    <t>TUBE RD Ø3/4" OD X .500" WALL T-316 SS PER A554 MILL FINISH</t>
  </si>
  <si>
    <t>TUBE RD Ø1/2" OD X .500" WALL T-316 SS PER A554 MILL FINISH</t>
  </si>
  <si>
    <t>TUBE RD Ø10" OD X .500" WALL T-304L SS PER A554 MILL FINISH</t>
  </si>
  <si>
    <t>TUBE RD Ø8" OD X .500" WALL T-304L SS PER A554 MILL FINISH</t>
  </si>
  <si>
    <t>TUBE RD Ø7 1/2" OD X .500" WALL T-304L SS PER A554 MILL FINISH</t>
  </si>
  <si>
    <t>TUBE RD Ø7" OD X .500" WALL T-304L SS PER A554 MILL FINISH</t>
  </si>
  <si>
    <t>TUBE RD Ø6" OD X .500" WALL T-304L SS PER A554 MILL FINISH</t>
  </si>
  <si>
    <t>TUBE RD Ø4" OD X .500" WALL T-304L SS PER A554 MILL FINISH</t>
  </si>
  <si>
    <t>TUBE RD Ø3" OD X .500" WALL T-304L SS PER A554 MILL FINISH</t>
  </si>
  <si>
    <t>TUBE RD Ø2 1/2" OD X .500" WALL T-304L SS PER A554 MILL FINISH</t>
  </si>
  <si>
    <t>TUBE RD Ø2" OD X .500" WALL T-304L SS PER A554 MILL FINISH</t>
  </si>
  <si>
    <t>TUBE RD Ø1 3/4" OD X .500" WALL T-304L SS PER A554 MILL FINISH</t>
  </si>
  <si>
    <t>TUBE RD Ø1 1/2" OD X .500" WALL T-304L SS PER A554 MILL FINISH</t>
  </si>
  <si>
    <t>TUBE RD Ø1 1/4" OD X .500" WALL T-304L SS PER A554 MILL FINISH</t>
  </si>
  <si>
    <t>TUBE RD Ø1" OD X .500" WALL T-304L SS PER A554 MILL FINISH</t>
  </si>
  <si>
    <t>TUBE RD Ø3/4" OD X .500" WALL T-304L SS PER A554 MILL FINISH</t>
  </si>
  <si>
    <t>TUBE RD Ø1/2" OD X .500" WALL T-304L SS PER A554 MILL FINISH</t>
  </si>
  <si>
    <t>TUBE RD Ø10" OD X .500" WALL T-304 SS PER A554 MILL FINISH</t>
  </si>
  <si>
    <t>TUBE RD Ø8" OD X .500" WALL T-304 SS PER A554 MILL FINISH</t>
  </si>
  <si>
    <t>TUBE RD Ø7 1/2" OD X .500" WALL T-304 SS PER A554 MILL FINISH</t>
  </si>
  <si>
    <t>TUBE RD Ø7" OD X .500" WALL T-304 SS PER A554 MILL FINISH</t>
  </si>
  <si>
    <t>TUBE RD Ø6" OD X .500" WALL T-304 SS PER A554 MILL FINISH</t>
  </si>
  <si>
    <t>TUBE RD Ø4" OD X .500" WALL T-304 SS PER A554 MILL FINISH</t>
  </si>
  <si>
    <t>TUBE RD Ø3" OD X .500" WALL T-304 SS PER A554 MILL FINISH</t>
  </si>
  <si>
    <t>TUBE RD Ø2 1/2" OD X .500" WALL T-304 SS PER A554 MILL FINISH</t>
  </si>
  <si>
    <t>TUBE RD Ø2" OD X .500" WALL T-304 SS PER A554 MILL FINISH</t>
  </si>
  <si>
    <t>TUBE RD Ø1 3/4" OD X .500" WALL T-304 SS PER A554 MILL FINISH</t>
  </si>
  <si>
    <t>TUBE RD Ø1 1/2" OD X .500" WALL T-304 SS PER A554 MILL FINISH</t>
  </si>
  <si>
    <t>TUBE RD Ø1 1/4" OD X .500" WALL T-304 SS PER A554 MILL FINISH</t>
  </si>
  <si>
    <t>TUBE RD Ø1" OD X .500" WALL T-304 SS PER A554 MILL FINISH</t>
  </si>
  <si>
    <t>TUBE RD Ø3/4" OD X .500" WALL T-304 SS PER A554 MILL FINISH</t>
  </si>
  <si>
    <t>TUBE RD Ø1/2" OD X .500" WALL T-304 SS PER A554 MILL FINISH</t>
  </si>
  <si>
    <t>TUBE RD Ø10" OD X .250" WALL T-316L SS PER A554 MILL FINISH</t>
  </si>
  <si>
    <t>TUBE RD Ø8" OD X .250" WALL T-316L SS PER A554 MILL FINISH</t>
  </si>
  <si>
    <t>TUBE RD Ø7 1/2" OD X .250" WALL T-316L SS PER A554 MILL FINISH</t>
  </si>
  <si>
    <t>TUBE RD Ø7" OD X .250" WALL T-316L SS PER A554 MILL FINISH</t>
  </si>
  <si>
    <t>TUBE RD Ø6" OD X .250" WALL T-316L SS PER A554 MILL FINISH</t>
  </si>
  <si>
    <t>TUBE RD Ø4" OD X .250" WALL T-316L SS PER A554 MILL FINISH</t>
  </si>
  <si>
    <t>TUBE RD Ø3" OD X .250" WALL T-316L SS PER A554 MILL FINISH</t>
  </si>
  <si>
    <t>TUBE RD Ø2 1/2" OD X .250" WALL T-316L SS PER A554 MILL FINISH</t>
  </si>
  <si>
    <t>TUBE RD Ø2" OD X .250" WALL T-316L SS PER A554 MILL FINISH</t>
  </si>
  <si>
    <t>TUBE RD Ø1 3/4" OD X .250" WALL T-316L SS PER A554 MILL FINISH</t>
  </si>
  <si>
    <t>TUBE RD Ø1 1/2" OD X .250" WALL T-316L SS PER A554 MILL FINISH</t>
  </si>
  <si>
    <t>TUBE RD Ø1 1/4" OD X .250" WALL T-316L SS PER A554 MILL FINISH</t>
  </si>
  <si>
    <t>TUBE RD Ø1" OD X .250" WALL T-316L SS PER A554 MILL FINISH</t>
  </si>
  <si>
    <t>TUBE RD Ø3/4" OD X .250" WALL T-316L SS PER A554 MILL FINISH</t>
  </si>
  <si>
    <t>TUBE RD Ø1/2" OD X .250" WALL T-316L SS PER A554 MILL FINISH</t>
  </si>
  <si>
    <t>TUBE RD Ø10" OD X .250" WALL T-316 SS PER A554 MILL FINISH</t>
  </si>
  <si>
    <t>TUBE RD Ø8" OD X .250" WALL T-316 SS PER A554 MILL FINISH</t>
  </si>
  <si>
    <t>TUBE RD Ø7 1/2" OD X .250" WALL T-316 SS PER A554 MILL FINISH</t>
  </si>
  <si>
    <t>TUBE RD Ø7" OD X .250" WALL T-316 SS PER A554 MILL FINISH</t>
  </si>
  <si>
    <t>TUBE RD Ø6" OD X .250" WALL T-316 SS PER A554 MILL FINISH</t>
  </si>
  <si>
    <t>TUBE RD Ø4" OD X .250" WALL T-316 SS PER A554 MILL FINISH</t>
  </si>
  <si>
    <t>TUBE RD Ø3" OD X .250" WALL T-316 SS PER A554 MILL FINISH</t>
  </si>
  <si>
    <t>TUBE RD Ø2 1/2" OD X .250" WALL T-316 SS PER A554 MILL FINISH</t>
  </si>
  <si>
    <t>TUBE RD Ø2" OD X .250" WALL T-316 SS PER A554 MILL FINISH</t>
  </si>
  <si>
    <t>TUBE RD Ø1 3/4" OD X .250" WALL T-316 SS PER A554 MILL FINISH</t>
  </si>
  <si>
    <t>TUBE RD Ø1 1/2" OD X .250" WALL T-316 SS PER A554 MILL FINISH</t>
  </si>
  <si>
    <t>TUBE RD Ø1 1/4" OD X .250" WALL T-316 SS PER A554 MILL FINISH</t>
  </si>
  <si>
    <t>TUBE RD Ø1" OD X .250" WALL T-316 SS PER A554 MILL FINISH</t>
  </si>
  <si>
    <t>TUBE RD Ø3/4" OD X .250" WALL T-316 SS PER A554 MILL FINISH</t>
  </si>
  <si>
    <t>TUBE RD Ø1/2" OD X .250" WALL T-316 SS PER A554 MILL FINISH</t>
  </si>
  <si>
    <t>TUBE RD Ø10" OD X .250" WALL T-304L SS PER A554 MILL FINISH</t>
  </si>
  <si>
    <t>TUBE RD Ø8" OD X .250" WALL T-304L SS PER A554 MILL FINISH</t>
  </si>
  <si>
    <t>TUBE RD Ø7 1/2" OD X .250" WALL T-304L SS PER A554 MILL FINISH</t>
  </si>
  <si>
    <t>TUBE RD Ø7" OD X .250" WALL T-304L SS PER A554 MILL FINISH</t>
  </si>
  <si>
    <t>TUBE RD Ø6" OD X .250" WALL T-304L SS PER A554 MILL FINISH</t>
  </si>
  <si>
    <t>TUBE RD Ø4" OD X .250" WALL T-304L SS PER A554 MILL FINISH</t>
  </si>
  <si>
    <t>TUBE RD Ø3" OD X .250" WALL T-304L SS PER A554 MILL FINISH</t>
  </si>
  <si>
    <t>TUBE RD Ø2 1/2" OD X .250" WALL T-304L SS PER A554 MILL FINISH</t>
  </si>
  <si>
    <t>TUBE RD Ø2" OD X .250" WALL T-304L SS PER A554 MILL FINISH</t>
  </si>
  <si>
    <t>TUBE RD Ø1 3/4" OD X .250" WALL T-304L SS PER A554 MILL FINISH</t>
  </si>
  <si>
    <t>TUBE RD Ø1 1/2" OD X .250" WALL T-304L SS PER A554 MILL FINISH</t>
  </si>
  <si>
    <t>TUBE RD Ø1 1/4" OD X .250" WALL T-304L SS PER A554 MILL FINISH</t>
  </si>
  <si>
    <t>TUBE RD Ø1" OD X .250" WALL T-304L SS PER A554 MILL FINISH</t>
  </si>
  <si>
    <t>TUBE RD Ø3/4" OD X .250" WALL T-304L SS PER A554 MILL FINISH</t>
  </si>
  <si>
    <t>TUBE RD Ø1/2" OD X .250" WALL T-304L SS PER A554 MILL FINISH</t>
  </si>
  <si>
    <t>TUBE RD Ø10" OD X .250" WALL T-304 SS PER A554 MILL FINISH</t>
  </si>
  <si>
    <t>TUBE RD Ø8" OD X .250" WALL T-304 SS PER A554 MILL FINISH</t>
  </si>
  <si>
    <t>TUBE RD Ø7 1/2" OD X .250" WALL T-304 SS PER A554 MILL FINISH</t>
  </si>
  <si>
    <t>TUBE RD Ø7" OD X .250" WALL T-304 SS PER A554 MILL FINISH</t>
  </si>
  <si>
    <t>TUBE RD Ø6" OD X .250" WALL T-304 SS PER A554 MILL FINISH</t>
  </si>
  <si>
    <t>TUBE RD Ø4" OD X .250" WALL T-304 SS PER A554 MILL FINISH</t>
  </si>
  <si>
    <t>TUBE RD Ø3" OD X .250" WALL T-304 SS PER A554 MILL FINISH</t>
  </si>
  <si>
    <t>TUBE RD Ø2 1/2" OD X .250" WALL T-304 SS PER A554 MILL FINISH</t>
  </si>
  <si>
    <t>TUBE RD Ø2" OD X .250" WALL T-304 SS PER A554 MILL FINISH</t>
  </si>
  <si>
    <t>TUBE RD Ø1 3/4" OD X .250" WALL T-304 SS PER A554 MILL FINISH</t>
  </si>
  <si>
    <t>TUBE RD Ø1 1/2" OD X .250" WALL T-304 SS PER A554 MILL FINISH</t>
  </si>
  <si>
    <t>TUBE RD Ø1 1/4" OD X .250" WALL T-304 SS PER A554 MILL FINISH</t>
  </si>
  <si>
    <t>TUBE RD Ø1" OD X .250" WALL T-304 SS PER A554 MILL FINISH</t>
  </si>
  <si>
    <t>TUBE RD Ø3/4" OD X .250" WALL T-304 SS PER A554 MILL FINISH</t>
  </si>
  <si>
    <t>TUBE RD Ø1/2" OD X .250" WALL T-304 SS PER A554 MILL FINISH</t>
  </si>
  <si>
    <t>TUBE RD Ø10" OD X .187" WALL T-316L SS PER A554 MILL FINISH</t>
  </si>
  <si>
    <t>TUBE RD Ø8" OD X .187" WALL T-316L SS PER A554 MILL FINISH</t>
  </si>
  <si>
    <t>TUBE RD Ø7 1/2" OD X .187" WALL T-316L SS PER A554 MILL FINISH</t>
  </si>
  <si>
    <t>TUBE RD Ø7" OD X .187" WALL T-316L SS PER A554 MILL FINISH</t>
  </si>
  <si>
    <t>TUBE RD Ø6" OD X .187" WALL T-316L SS PER A554 MILL FINISH</t>
  </si>
  <si>
    <t>TUBE RD Ø4" OD X .187" WALL T-316L SS PER A554 MILL FINISH</t>
  </si>
  <si>
    <t>TUBE RD Ø3" OD X .187" WALL T-316L SS PER A554 MILL FINISH</t>
  </si>
  <si>
    <t>TUBE RD Ø2 1/2" OD X .187" WALL T-316L SS PER A554 MILL FINISH</t>
  </si>
  <si>
    <t>TUBE RD Ø2" OD X .187" WALL T-316L SS PER A554 MILL FINISH</t>
  </si>
  <si>
    <t>TUBE RD Ø1 3/4" OD X .187" WALL T-316L SS PER A554 MILL FINISH</t>
  </si>
  <si>
    <t>TUBE RD Ø1 1/2" OD X .187" WALL T-316L SS PER A554 MILL FINISH</t>
  </si>
  <si>
    <t>TUBE RD Ø1 1/4" OD X .187" WALL T-316L SS PER A554 MILL FINISH</t>
  </si>
  <si>
    <t>TUBE RD Ø1" OD X .187" WALL T-316L SS PER A554 MILL FINISH</t>
  </si>
  <si>
    <t>TUBE RD Ø3/4" OD X .187" WALL T-316L SS PER A554 MILL FINISH</t>
  </si>
  <si>
    <t>TUBE RD Ø1/2" OD X .187" WALL T-316L SS PER A554 MILL FINISH</t>
  </si>
  <si>
    <t>TUBE RD Ø10" OD X .187" WALL T-316 SS PER A554 MILL FINISH</t>
  </si>
  <si>
    <t>TUBE RD Ø8" OD X .187" WALL T-316 SS PER A554 MILL FINISH</t>
  </si>
  <si>
    <t>TUBE RD Ø7 1/2" OD X .187" WALL T-316 SS PER A554 MILL FINISH</t>
  </si>
  <si>
    <t>TUBE RD Ø7" OD X .187" WALL T-316 SS PER A554 MILL FINISH</t>
  </si>
  <si>
    <t>TUBE RD Ø6" OD X .187" WALL T-316 SS PER A554 MILL FINISH</t>
  </si>
  <si>
    <t>TUBE RD Ø4" OD X .187" WALL T-316 SS PER A554 MILL FINISH</t>
  </si>
  <si>
    <t>TUBE RD Ø3" OD X .187" WALL T-316 SS PER A554 MILL FINISH</t>
  </si>
  <si>
    <t>TUBE RD Ø2 1/2" OD X .187" WALL T-316 SS PER A554 MILL FINISH</t>
  </si>
  <si>
    <t>TUBE RD Ø2" OD X .187" WALL T-316 SS PER A554 MILL FINISH</t>
  </si>
  <si>
    <t>TUBE RD Ø1 3/4" OD X .187" WALL T-316 SS PER A554 MILL FINISH</t>
  </si>
  <si>
    <t>TUBE RD Ø1 1/2" OD X .187" WALL T-316 SS PER A554 MILL FINISH</t>
  </si>
  <si>
    <t>TUBE RD Ø1 1/4" OD X .187" WALL T-316 SS PER A554 MILL FINISH</t>
  </si>
  <si>
    <t>TUBE RD Ø1" OD X .187" WALL T-316 SS PER A554 MILL FINISH</t>
  </si>
  <si>
    <t>TUBE RD Ø3/4" OD X .187" WALL T-316 SS PER A554 MILL FINISH</t>
  </si>
  <si>
    <t>TUBE RD Ø1/2" OD X .187" WALL T-316 SS PER A554 MILL FINISH</t>
  </si>
  <si>
    <t>TUBE RD Ø10" OD X .187" WALL T-304L SS PER A554 MILL FINISH</t>
  </si>
  <si>
    <t>TUBE RD Ø8" OD X .187" WALL T-304L SS PER A554 MILL FINISH</t>
  </si>
  <si>
    <t>TUBE RD Ø7 1/2" OD X .187" WALL T-304L SS PER A554 MILL FINISH</t>
  </si>
  <si>
    <t>TUBE RD Ø7" OD X .187" WALL T-304L SS PER A554 MILL FINISH</t>
  </si>
  <si>
    <t>TUBE RD Ø6" OD X .187" WALL T-304L SS PER A554 MILL FINISH</t>
  </si>
  <si>
    <t>TUBE RD Ø4" OD X .187" WALL T-304L SS PER A554 MILL FINISH</t>
  </si>
  <si>
    <t>TUBE RD Ø3" OD X .187" WALL T-304L SS PER A554 MILL FINISH</t>
  </si>
  <si>
    <t>TUBE RD Ø2 1/2" OD X .187" WALL T-304L SS PER A554 MILL FINISH</t>
  </si>
  <si>
    <t>TUBE RD Ø2" OD X .187" WALL T-304L SS PER A554 MILL FINISH</t>
  </si>
  <si>
    <t>TUBE RD Ø1 3/4" OD X .187" WALL T-304L SS PER A554 MILL FINISH</t>
  </si>
  <si>
    <t>TUBE RD Ø1 1/2" OD X .187" WALL T-304L SS PER A554 MILL FINISH</t>
  </si>
  <si>
    <t>TUBE RD Ø1 1/4" OD X .187" WALL T-304L SS PER A554 MILL FINISH</t>
  </si>
  <si>
    <t>TUBE RD Ø1" OD X .187" WALL T-304L SS PER A554 MILL FINISH</t>
  </si>
  <si>
    <t>TUBE RD Ø3/4" OD X .187" WALL T-304L SS PER A554 MILL FINISH</t>
  </si>
  <si>
    <t>TUBE RD Ø1/2" OD X .187" WALL T-304L SS PER A554 MILL FINISH</t>
  </si>
  <si>
    <t>TUBE RD Ø10" OD X .187" WALL T-304 SS PER A554 MILL FINISH</t>
  </si>
  <si>
    <t>TUBE RD Ø8" OD X .187" WALL T-304 SS PER A554 MILL FINISH</t>
  </si>
  <si>
    <t>TUBE RD Ø7 1/2" OD X .187" WALL T-304 SS PER A554 MILL FINISH</t>
  </si>
  <si>
    <t>TUBE RD Ø7" OD X .187" WALL T-304 SS PER A554 MILL FINISH</t>
  </si>
  <si>
    <t>TUBE RD Ø6" OD X .187" WALL T-304 SS PER A554 MILL FINISH</t>
  </si>
  <si>
    <t>TUBE RD Ø4" OD X .187" WALL T-304 SS PER A554 MILL FINISH</t>
  </si>
  <si>
    <t>TUBE RD Ø3" OD X .187" WALL T-304 SS PER A554 MILL FINISH</t>
  </si>
  <si>
    <t>TUBE RD Ø2 1/2" OD X .187" WALL T-304 SS PER A554 MILL FINISH</t>
  </si>
  <si>
    <t>TUBE RD Ø2" OD X .187" WALL T-304 SS PER A554 MILL FINISH</t>
  </si>
  <si>
    <t>TUBE RD Ø1 3/4" OD X .187" WALL T-304 SS PER A554 MILL FINISH</t>
  </si>
  <si>
    <t>TUBE RD Ø1 1/2" OD X .187" WALL T-304 SS PER A554 MILL FINISH</t>
  </si>
  <si>
    <t>TUBE RD Ø1 1/4" OD X .187" WALL T-304 SS PER A554 MILL FINISH</t>
  </si>
  <si>
    <t>TUBE RD Ø1" OD X .187" WALL T-304 SS PER A554 MILL FINISH</t>
  </si>
  <si>
    <t>TUBE RD Ø3/4" OD X .187" WALL T-304 SS PER A554 MILL FINISH</t>
  </si>
  <si>
    <t>TUBE RD Ø1/2" OD X .187" WALL T-304 SS PER A554 MILL FINISH</t>
  </si>
  <si>
    <t>TUBE RD Ø10" OD X .125" WALL T-316L SS PER A554 MILL FINISH</t>
  </si>
  <si>
    <t>TUBE RD Ø8" OD X .125" WALL T-316L SS PER A554 MILL FINISH</t>
  </si>
  <si>
    <t>TUBE RD Ø7 1/2" OD X .125" WALL T-316L SS PER A554 MILL FINISH</t>
  </si>
  <si>
    <t>TUBE RD Ø7" OD X .125" WALL T-316L SS PER A554 MILL FINISH</t>
  </si>
  <si>
    <t>TUBE RD Ø6" OD X .125" WALL T-316L SS PER A554 MILL FINISH</t>
  </si>
  <si>
    <t>TUBE RD Ø4" OD X .125" WALL T-316L SS PER A554 MILL FINISH</t>
  </si>
  <si>
    <t>TUBE RD Ø3" OD X .125" WALL T-316L SS PER A554 MILL FINISH</t>
  </si>
  <si>
    <t>TUBE RD Ø2 1/2" OD X .125" WALL T-316L SS PER A554 MILL FINISH</t>
  </si>
  <si>
    <t>TUBE RD Ø2" OD X .125" WALL T-316L SS PER A554 MILL FINISH</t>
  </si>
  <si>
    <t>TUBE RD Ø1 3/4" OD X .125" WALL T-316L SS PER A554 MILL FINISH</t>
  </si>
  <si>
    <t>TUBE RD Ø1 1/2" OD X .125" WALL T-316L SS PER A554 MILL FINISH</t>
  </si>
  <si>
    <t>TUBE RD Ø1 1/4" OD X .125" WALL T-316L SS PER A554 MILL FINISH</t>
  </si>
  <si>
    <t>TUBE RD Ø1" OD X .125" WALL T-316L SS PER A554 MILL FINISH</t>
  </si>
  <si>
    <t>TUBE RD Ø3/4" OD X .125" WALL T-316L SS PER A554 MILL FINISH</t>
  </si>
  <si>
    <t>TUBE RD Ø1/2" OD X .125" WALL T-316L SS PER A554 MILL FINISH</t>
  </si>
  <si>
    <t>TUBE RD Ø10" OD X .125" WALL T-316 SS PER A554 MILL FINISH</t>
  </si>
  <si>
    <t>TUBE RD Ø8" OD X .125" WALL T-316 SS PER A554 MILL FINISH</t>
  </si>
  <si>
    <t>TUBE RD Ø7 1/2" OD X .125" WALL T-316 SS PER A554 MILL FINISH</t>
  </si>
  <si>
    <t>TUBE RD Ø7" OD X .125" WALL T-316 SS PER A554 MILL FINISH</t>
  </si>
  <si>
    <t>TUBE RD Ø6" OD X .125" WALL T-316 SS PER A554 MILL FINISH</t>
  </si>
  <si>
    <t>TUBE RD Ø4" OD X .125" WALL T-316 SS PER A554 MILL FINISH</t>
  </si>
  <si>
    <t>TUBE RD Ø3" OD X .125" WALL T-316 SS PER A554 MILL FINISH</t>
  </si>
  <si>
    <t>TUBE RD Ø2 1/2" OD X .125" WALL T-316 SS PER A554 MILL FINISH</t>
  </si>
  <si>
    <t>TUBE RD Ø2" OD X .125" WALL T-316 SS PER A554 MILL FINISH</t>
  </si>
  <si>
    <t>TUBE RD Ø1 3/4" OD X .125" WALL T-316 SS PER A554 MILL FINISH</t>
  </si>
  <si>
    <t>TUBE RD Ø1 1/2" OD X .125" WALL T-316 SS PER A554 MILL FINISH</t>
  </si>
  <si>
    <t>TUBE RD Ø1 1/4" OD X .125" WALL T-316 SS PER A554 MILL FINISH</t>
  </si>
  <si>
    <t>TUBE RD Ø1" OD X .125" WALL T-316 SS PER A554 MILL FINISH</t>
  </si>
  <si>
    <t>TUBE RD Ø3/4" OD X .125" WALL T-316 SS PER A554 MILL FINISH</t>
  </si>
  <si>
    <t>TUBE RD Ø1/2" OD X .125" WALL T-316 SS PER A554 MILL FINISH</t>
  </si>
  <si>
    <t>TUBE RD Ø10" OD X .125" WALL T-304L SS PER A554 MILL FINISH</t>
  </si>
  <si>
    <t>TUBE RD Ø8" OD X .125" WALL T-304L SS PER A554 MILL FINISH</t>
  </si>
  <si>
    <t>TUBE RD Ø7 1/2" OD X .125" WALL T-304L SS PER A554 MILL FINISH</t>
  </si>
  <si>
    <t>TUBE RD Ø7" OD X .125" WALL T-304L SS PER A554 MILL FINISH</t>
  </si>
  <si>
    <t>TUBE RD Ø6" OD X .125" WALL T-304L SS PER A554 MILL FINISH</t>
  </si>
  <si>
    <t>TUBE RD Ø4" OD X .125" WALL T-304L SS PER A554 MILL FINISH</t>
  </si>
  <si>
    <t>TUBE RD Ø3" OD X .125" WALL T-304L SS PER A554 MILL FINISH</t>
  </si>
  <si>
    <t>TUBE RD Ø2 1/2" OD X .125" WALL T-304L SS PER A554 MILL FINISH</t>
  </si>
  <si>
    <t>TUBE RD Ø2" OD X .125" WALL T-304L SS PER A554 MILL FINISH</t>
  </si>
  <si>
    <t>TUBE RD Ø1 3/4" OD X .125" WALL T-304L SS PER A554 MILL FINISH</t>
  </si>
  <si>
    <t>TUBE RD Ø1 1/2" OD X .125" WALL T-304L SS PER A554 MILL FINISH</t>
  </si>
  <si>
    <t>TUBE RD Ø1 1/4" OD X .125" WALL T-304L SS PER A554 MILL FINISH</t>
  </si>
  <si>
    <t>TUBE RD Ø1" OD X .125" WALL T-304L SS PER A554 MILL FINISH</t>
  </si>
  <si>
    <t>TUBE RD Ø3/4" OD X .125" WALL T-304L SS PER A554 MILL FINISH</t>
  </si>
  <si>
    <t>TUBE RD Ø1/2" OD X .125" WALL T-304L SS PER A554 MILL FINISH</t>
  </si>
  <si>
    <t>TUBE RD Ø10" OD X .125" WALL T-304 SS PER A554 MILL FINISH</t>
  </si>
  <si>
    <t>TUBE RD Ø8" OD X .125" WALL T-304 SS PER A554 MILL FINISH</t>
  </si>
  <si>
    <t>TUBE RD Ø7 1/2" OD X .125" WALL T-304 SS PER A554 MILL FINISH</t>
  </si>
  <si>
    <t>TUBE RD Ø7" OD X .125" WALL T-304 SS PER A554 MILL FINISH</t>
  </si>
  <si>
    <t>TUBE RD Ø6" OD X .125" WALL T-304 SS PER A554 MILL FINISH</t>
  </si>
  <si>
    <t>TUBE RD Ø4" OD X .125" WALL T-304 SS PER A554 MILL FINISH</t>
  </si>
  <si>
    <t>TUBE RD Ø3" OD X .125" WALL T-304 SS PER A554 MILL FINISH</t>
  </si>
  <si>
    <t>TUBE RD Ø2 1/2" OD X .125" WALL T-304 SS PER A554 MILL FINISH</t>
  </si>
  <si>
    <t>TUBE RD Ø2" OD X .125" WALL T-304 SS PER A554 MILL FINISH</t>
  </si>
  <si>
    <t>TUBE RD Ø1 3/4" OD X .125" WALL T-304 SS PER A554 MILL FINISH</t>
  </si>
  <si>
    <t>TUBE RD Ø1 1/2" OD X .125" WALL T-304 SS PER A554 MILL FINISH</t>
  </si>
  <si>
    <t>TUBE RD Ø1 1/4" OD X .125" WALL T-304 SS PER A554 MILL FINISH</t>
  </si>
  <si>
    <t>TUBE RD Ø1" OD X .125" WALL T-304 SS PER A554 MILL FINISH</t>
  </si>
  <si>
    <t>TUBE RD Ø3/4" OD X .125" WALL T-304 SS PER A554 MILL FINISH</t>
  </si>
  <si>
    <t>TUBE RD Ø1/2" OD X .125" WALL T-304 SS PER A554 MILL FINISH</t>
  </si>
  <si>
    <t>TUBE RD Ø10" OD X .065" WALL T-316L SS PER A554 MILL FINISH</t>
  </si>
  <si>
    <t>TUBE RD Ø8" OD X .065" WALL T-316L SS PER A554 MILL FINISH</t>
  </si>
  <si>
    <t>TUBE RD Ø7 1/2" OD X .065" WALL T-316L SS PER A554 MILL FINISH</t>
  </si>
  <si>
    <t>TUBE RD Ø7" OD X .065" WALL T-316L SS PER A554 MILL FINISH</t>
  </si>
  <si>
    <t>TUBE RD Ø6" OD X .065" WALL T-316L SS PER A554 MILL FINISH</t>
  </si>
  <si>
    <t>TUBE RD Ø4" OD X .065" WALL T-316L SS PER A554 MILL FINISH</t>
  </si>
  <si>
    <t>TUBE RD Ø3" OD X .065" WALL T-316L SS PER A554 MILL FINISH</t>
  </si>
  <si>
    <t>TUBE RD Ø2 1/2" OD X .065" WALL T-316L SS PER A554 MILL FINISH</t>
  </si>
  <si>
    <t>TUBE RD Ø2" OD X .065" WALL T-316L SS PER A554 MILL FINISH</t>
  </si>
  <si>
    <t>TUBE RD Ø1 3/4" OD X .065" WALL T-316L SS PER A554 MILL FINISH</t>
  </si>
  <si>
    <t>TUBE RD Ø1 1/2" OD X .065" WALL T-316L SS PER A554 MILL FINISH</t>
  </si>
  <si>
    <t>TUBE RD Ø1 1/4" OD X .065" WALL T-316L SS PER A554 MILL FINISH</t>
  </si>
  <si>
    <t>TUBE RD Ø1" OD X .065" WALL T-316L SS PER A554 MILL FINISH</t>
  </si>
  <si>
    <t>TUBE RD Ø3/4" OD X .065" WALL T-316L SS PER A554 MILL FINISH</t>
  </si>
  <si>
    <t>TUBE RD Ø1/2" OD X .065" WALL T-316L SS PER A554 MILL FINISH</t>
  </si>
  <si>
    <t>TUBE RD Ø10" OD X .065" WALL T-316 SS PER A554 MILL FINISH</t>
  </si>
  <si>
    <t>TUBE RD Ø8" OD X .065" WALL T-316 SS PER A554 MILL FINISH</t>
  </si>
  <si>
    <t>TUBE RD Ø7 1/2" OD X .065" WALL T-316 SS PER A554 MILL FINISH</t>
  </si>
  <si>
    <t>TUBE RD Ø7" OD X .065" WALL T-316 SS PER A554 MILL FINISH</t>
  </si>
  <si>
    <t>TUBE RD Ø6" OD X .065" WALL T-316 SS PER A554 MILL FINISH</t>
  </si>
  <si>
    <t>TUBE RD Ø4" OD X .065" WALL T-316 SS PER A554 MILL FINISH</t>
  </si>
  <si>
    <t>TUBE RD Ø3" OD X .065" WALL T-316 SS PER A554 MILL FINISH</t>
  </si>
  <si>
    <t>TUBE RD Ø2 1/2" OD X .065" WALL T-316 SS PER A554 MILL FINISH</t>
  </si>
  <si>
    <t>TUBE RD Ø2" OD X .065" WALL T-316 SS PER A554 MILL FINISH</t>
  </si>
  <si>
    <t>TUBE RD Ø1 3/4" OD X .065" WALL T-316 SS PER A554 MILL FINISH</t>
  </si>
  <si>
    <t>TUBE RD Ø1 1/2" OD X .065" WALL T-316 SS PER A554 MILL FINISH</t>
  </si>
  <si>
    <t>TUBE RD Ø1 1/4" OD X .065" WALL T-316 SS PER A554 MILL FINISH</t>
  </si>
  <si>
    <t>TUBE RD Ø1" OD X .065" WALL T-316 SS PER A554 MILL FINISH</t>
  </si>
  <si>
    <t>TUBE RD Ø3/4" OD X .065" WALL T-316 SS PER A554 MILL FINISH</t>
  </si>
  <si>
    <t>TUBE RD Ø1/2" OD X .065" WALL T-316 SS PER A554 MILL FINISH</t>
  </si>
  <si>
    <t>TUBE RD Ø10" OD X .065" WALL T-304L SS PER A554 MILL FINISH</t>
  </si>
  <si>
    <t>TUBE RD Ø8" OD X .065" WALL T-304L SS PER A554 MILL FINISH</t>
  </si>
  <si>
    <t>TUBE RD Ø7 1/2" OD X .065" WALL T-304L SS PER A554 MILL FINISH</t>
  </si>
  <si>
    <t>TUBE RD Ø7" OD X .065" WALL T-304L SS PER A554 MILL FINISH</t>
  </si>
  <si>
    <t>TUBE RD Ø6" OD X .065" WALL T-304L SS PER A554 MILL FINISH</t>
  </si>
  <si>
    <t>TUBE RD Ø4" OD X .065" WALL T-304L SS PER A554 MILL FINISH</t>
  </si>
  <si>
    <t>TUBE RD Ø3" OD X .065" WALL T-304L SS PER A554 MILL FINISH</t>
  </si>
  <si>
    <t>TUBE RD Ø2 1/2" OD X .065" WALL T-304L SS PER A554 MILL FINISH</t>
  </si>
  <si>
    <t>TUBE RD Ø2" OD X .065" WALL T-304L SS PER A554 MILL FINISH</t>
  </si>
  <si>
    <t>TUBE RD Ø1 3/4" OD X .065" WALL T-304L SS PER A554 MILL FINISH</t>
  </si>
  <si>
    <t>TUBE RD Ø1 1/2" OD X .065" WALL T-304L SS PER A554 MILL FINISH</t>
  </si>
  <si>
    <t>TUBE RD Ø1 1/4" OD X .065" WALL T-304L SS PER A554 MILL FINISH</t>
  </si>
  <si>
    <t>TUBE RD Ø1" OD X .065" WALL T-304L SS PER A554 MILL FINISH</t>
  </si>
  <si>
    <t>TUBE RD Ø3/4" OD X .065" WALL T-304L SS PER A554 MILL FINISH</t>
  </si>
  <si>
    <t>TUBE RD Ø1/2" OD X .065" WALL T-304L SS PER A554 MILL FINISH</t>
  </si>
  <si>
    <t>TUBE RD Ø10" OD X .065" WALL T-304 SS PER A554 MILL FINISH</t>
  </si>
  <si>
    <t>TUBE RD Ø8" OD X .065" WALL T-304 SS PER A554 MILL FINISH</t>
  </si>
  <si>
    <t>TUBE RD Ø7 1/2" OD X .065" WALL T-304 SS PER A554 MILL FINISH</t>
  </si>
  <si>
    <t>TUBE RD Ø7" OD X .065" WALL T-304 SS PER A554 MILL FINISH</t>
  </si>
  <si>
    <t>TUBE RD Ø6" OD X .065" WALL T-304 SS PER A554 MILL FINISH</t>
  </si>
  <si>
    <t>TUBE RD Ø4" OD X .065" WALL T-304 SS PER A554 MILL FINISH</t>
  </si>
  <si>
    <t>TUBE RD Ø3" OD X .065" WALL T-304 SS PER A554 MILL FINISH</t>
  </si>
  <si>
    <t>TUBE RD Ø2 1/2" OD X .065" WALL T-304 SS PER A554 MILL FINISH</t>
  </si>
  <si>
    <t>TUBE RD Ø2" OD X .065" WALL T-304 SS PER A554 MILL FINISH</t>
  </si>
  <si>
    <t>TUBE RD Ø1 3/4" OD X .065" WALL T-304 SS PER A554 MILL FINISH</t>
  </si>
  <si>
    <t>TUBE RD Ø1 1/2" OD X .065" WALL T-304 SS PER A554 MILL FINISH</t>
  </si>
  <si>
    <t>TUBE RD Ø1 1/4" OD X .065" WALL T-304 SS PER A554 MILL FINISH</t>
  </si>
  <si>
    <t>TUBE RD Ø1" OD X .065" WALL T-304 SS PER A554 MILL FINISH</t>
  </si>
  <si>
    <t>TUBE RD Ø3/4" OD X .065" WALL T-304 SS PER A554 MILL FINISH</t>
  </si>
  <si>
    <t>TUBE RD Ø1/2" OD X .065" WALL T-304 SS PER A554 MILL FINISH</t>
  </si>
  <si>
    <t>BEAM W8" X 24.00 X 0.245" WEB T-316L SS PER A276 MILL FINISH</t>
  </si>
  <si>
    <t>BEAM W8" X 13.00 X 0.230" WEB T-316L SS PER A276 MILL FINISH</t>
  </si>
  <si>
    <t>BEAM W6" X 15.00 X 0.230" WEB T-316L SS PER A276 MILL FINISH</t>
  </si>
  <si>
    <t>BEAM W6" X 12.00 X 0.230" WEB T-316L SS PER A276 MILL FINISH</t>
  </si>
  <si>
    <t>BEAM W4" X 13.00 X 0.280" WEB T-316L SS PER A276 MILL FINISH</t>
  </si>
  <si>
    <t>BEAM W8" X 24.00 X 0.245" WEB T-316 SS PER A276 MILL FINISH</t>
  </si>
  <si>
    <t>BEAM W8" X 13.00 X 0.230" WEB T-316 SS PER A276 MILL FINISH</t>
  </si>
  <si>
    <t>BEAM W6" X 15.00 X 0.230" WEB T-316 SS PER A276 MILL FINISH</t>
  </si>
  <si>
    <t>BEAM W6" X 12.00 X 0.230" WEB T-316 SS PER A276 MILL FINISH</t>
  </si>
  <si>
    <t>BEAM W4" X 13.00 X 0.280" WEB T-316 SS PER A276 MILL FINISH</t>
  </si>
  <si>
    <t>BEAM W8" X 24.00 X 0.245" WEB T-304L SS PER A276 MILL FINISH</t>
  </si>
  <si>
    <t>BEAM W8" X 13.00 X 0.230" WEB T-304L SS PER A276 MILL FINISH</t>
  </si>
  <si>
    <t>BEAM W6" X 15.00 X 0.230" WEB T-304L SS PER A276 MILL FINISH</t>
  </si>
  <si>
    <t>BEAM W6" X 12.00 X 0.230" WEB T-304L SS PER A276 MILL FINISH</t>
  </si>
  <si>
    <t>BEAM W4" X 13.00 X 0.280" WEB T-304L SS PER A276 MILL FINISH</t>
  </si>
  <si>
    <t>BEAM W8" X 24.00 X 0.245" WEB T-304 SS PER A276 MILL FINISH</t>
  </si>
  <si>
    <t>BEAM W8" X 13.00 X 0.230" WEB T-304 SS PER A276 MILL FINISH</t>
  </si>
  <si>
    <t>BEAM W6" X 15.00 X 0.230" WEB T-304 SS PER A276 MILL FINISH</t>
  </si>
  <si>
    <t>BEAM W6" X 12.00 X 0.230" WEB T-304 SS PER A276 MILL FINISH</t>
  </si>
  <si>
    <t>BEAM W4" X 13.00 X 0.280" WEB T-304 SS PER A276 MILL FINISH</t>
  </si>
  <si>
    <t>CHANNEL MC8" X 19.70 X 0.375" WEB T-316L SS PER A276 MILL FINISH</t>
  </si>
  <si>
    <t>CHANNEL MC8" X 13.70 X 0.250" WEB T-316L SS PER A276 MILL FINISH</t>
  </si>
  <si>
    <t>CHANNEL MC6" X 14.40 X 0.375" WEB T-316L SS PER A276 MILL FINISH</t>
  </si>
  <si>
    <t>CHANNEL C8" X 13.75 X 0.330" WEB T-316L SS PER A276 MILL FINISH</t>
  </si>
  <si>
    <t>CHANNEL C8" X 11.50 X 0.220" WEB T-316L SS PER A276 MILL FINISH</t>
  </si>
  <si>
    <t>CHANNEL C6" X 8.20 X 0.200" WEB T-316L SS PER A276 MILL FINISH</t>
  </si>
  <si>
    <t>CHANNEL C4" X 5.40 X 0.184" WEB T-316L SS PER A276 MILL FINISH</t>
  </si>
  <si>
    <t>CHANNEL MC8" X 19.70 X 0.375" WEB T-316 SS PER A276 MILL FINISH</t>
  </si>
  <si>
    <t>CHANNEL MC8" X 13.70 X 0.250" WEB T-316 SS PER A276 MILL FINISH</t>
  </si>
  <si>
    <t>CHANNEL MC6" X 14.40 X 0.375" WEB T-316 SS PER A276 MILL FINISH</t>
  </si>
  <si>
    <t>CHANNEL C8" X 13.75 X 0.330" WEB T-316 SS PER A276 MILL FINISH</t>
  </si>
  <si>
    <t>CHANNEL C8" X 11.50 X 0.220" WEB T-316 SS PER A276 MILL FINISH</t>
  </si>
  <si>
    <t>CHANNEL C6" X 8.20 X 0.200" WEB T-316 SS PER A276 MILL FINISH</t>
  </si>
  <si>
    <t>CHANNEL C4" X 5.40 X 0.184" WEB T-316 SS PER A276 MILL FINISH</t>
  </si>
  <si>
    <t>CHANNEL MC8" X 19.70 X 0.375" WEB T-304L SS PER A276 MILL FINISH</t>
  </si>
  <si>
    <t>CHANNEL MC8" X 13.70 X 0.250" WEB T-304L SS PER A276 MILL FINISH</t>
  </si>
  <si>
    <t>CHANNEL MC6" X 14.40 X 0.375" WEB T-304L SS PER A276 MILL FINISH</t>
  </si>
  <si>
    <t>CHANNEL C8" X 13.75 X 0.330" WEB T-304L SS PER A276 MILL FINISH</t>
  </si>
  <si>
    <t>CHANNEL C8" X 11.50 X 0.220" WEB T-304L SS PER A276 MILL FINISH</t>
  </si>
  <si>
    <t>CHANNEL C6" X 8.20 X 0.200" WEB T-304L SS PER A276 MILL FINISH</t>
  </si>
  <si>
    <t>CHANNEL C4" X 5.40 X 0.184" WEB T-304L SS PER A276 MILL FINISH</t>
  </si>
  <si>
    <t>CHANNEL MC8" X 19.70 X 0.375" WEB T-304 SS PER A276 MILL FINISH</t>
  </si>
  <si>
    <t>CHANNEL MC8" X 13.70 X 0.250" WEB T-304 SS PER A276 MILL FINISH</t>
  </si>
  <si>
    <t>CHANNEL MC6" X 14.40 X 0.375" WEB T-304 SS PER A276 MILL FINISH</t>
  </si>
  <si>
    <t>CHANNEL C8" X 13.75 X 0.330" WEB T-304 SS PER A276 MILL FINISH</t>
  </si>
  <si>
    <t>CHANNEL C8" X 11.50 X 0.220" WEB T-304 SS PER A276 MILL FINISH</t>
  </si>
  <si>
    <t>CHANNEL C6" X 8.20 X 0.200" WEB T-304 SS PER A276 MILL FINISH</t>
  </si>
  <si>
    <t>CHANNEL C4" X 5.40 X 0.184" WEB T-304 SS PER A276 MILL FINISH</t>
  </si>
  <si>
    <t>ANGLE L8" X 8" X 1/2" T-316L SS PER A276 MILL FINISH</t>
  </si>
  <si>
    <t>ANGLE L8" X 6" X 1/2" T-316L SS PER A276 MILL FINISH</t>
  </si>
  <si>
    <t>ANGLE L8" X 4" X 1/2" T-316L SS PER A276 MILL FINISH</t>
  </si>
  <si>
    <t>ANGLE L6" X 6" X 1/2" T-316L SS PER A276 MILL FINISH</t>
  </si>
  <si>
    <t>ANGLE L6" X 5" X 1/2" T-316L SS PER A276 MILL FINISH</t>
  </si>
  <si>
    <t>ANGLE L6" X 4" X 1/2" T-316L SS PER A276 MILL FINISH</t>
  </si>
  <si>
    <t>ANGLE L6" X 3" X 1/2" T-316L SS PER A276 MILL FINISH</t>
  </si>
  <si>
    <t>ANGLE L5" X 5" X 1/2" T-316L SS PER A276 MILL FINISH</t>
  </si>
  <si>
    <t>ANGLE L5" X 3" X 1/2" T-316L SS PER A276 MILL FINISH</t>
  </si>
  <si>
    <t>ANGLE L4" X 4" X 1/2" T-316L SS PER A276 MILL FINISH</t>
  </si>
  <si>
    <t>ANGLE L4" X 3" X 1/2" T-316L SS PER A276 MILL FINISH</t>
  </si>
  <si>
    <t>ANGLE L3 1/2" X 3 1/2" X 1/2" T-316L SS PER A276 MILL FINISH</t>
  </si>
  <si>
    <t>ANGLE L3" X 3" X 1/2" T-316L SS PER A276 MILL FINISH</t>
  </si>
  <si>
    <t>ANGLE L3" X 2" X 1/2" T-316L SS PER A276 MILL FINISH</t>
  </si>
  <si>
    <t>ANGLE L3" X 1 1/2" X 1/2" T-316L SS PER A276 MILL FINISH</t>
  </si>
  <si>
    <t>ANGLE L2 1/2" X 2 1/2" X 1/2" T-316L SS PER A276 MILL FINISH</t>
  </si>
  <si>
    <t>ANGLE L2" X 2" X 1/2" T-316L SS PER A276 MILL FINISH</t>
  </si>
  <si>
    <t>ANGLE L2" X 1" X 1/2" T-316L SS PER A276 MILL FINISH</t>
  </si>
  <si>
    <t>ANGLE L8" X 8" X 1/2" T-316 SS PER A276 MILL FINISH</t>
  </si>
  <si>
    <t>ANGLE L8" X 6" X 1/2" T-316 SS PER A276 MILL FINISH</t>
  </si>
  <si>
    <t>ANGLE L8" X 4" X 1/2" T-316 SS PER A276 MILL FINISH</t>
  </si>
  <si>
    <t>ANGLE L6" X 6" X 1/2" T-316 SS PER A276 MILL FINISH</t>
  </si>
  <si>
    <t>ANGLE L6" X 5" X 1/2" T-316 SS PER A276 MILL FINISH</t>
  </si>
  <si>
    <t>ANGLE L6" X 4" X 1/2" T-316 SS PER A276 MILL FINISH</t>
  </si>
  <si>
    <t>ANGLE L6" X 3" X 1/2" T-316 SS PER A276 MILL FINISH</t>
  </si>
  <si>
    <t>ANGLE L5" X 5" X 1/2" T-316 SS PER A276 MILL FINISH</t>
  </si>
  <si>
    <t>ANGLE L5" X 3" X 1/2" T-316 SS PER A276 MILL FINISH</t>
  </si>
  <si>
    <t>ANGLE L4" X 4" X 1/2" T-316 SS PER A276 MILL FINISH</t>
  </si>
  <si>
    <t>ANGLE L4" X 3" X 1/2" T-316 SS PER A276 MILL FINISH</t>
  </si>
  <si>
    <t>ANGLE L3 1/2" X 3 1/2" X 1/2" T-316 SS PER A276 MILL FINISH</t>
  </si>
  <si>
    <t>ANGLE L3" X 3" X 1/2" T-316 SS PER A276 MILL FINISH</t>
  </si>
  <si>
    <t>ANGLE L3" X 2" X 1/2" T-316 SS PER A276 MILL FINISH</t>
  </si>
  <si>
    <t>ANGLE L3" X 1 1/2" X 1/2" T-316 SS PER A276 MILL FINISH</t>
  </si>
  <si>
    <t>ANGLE L2 1/2" X 2 1/2" X 1/2" T-316 SS PER A276 MILL FINISH</t>
  </si>
  <si>
    <t>ANGLE L2" X 2" X 1/2" T-316 SS PER A276 MILL FINISH</t>
  </si>
  <si>
    <t>ANGLE L2" X 1" X 1/2" T-316 SS PER A276 MILL FINISH</t>
  </si>
  <si>
    <t>ANGLE L8" X 8" X 1/2" T-304L SS PER A276 MILL FINISH</t>
  </si>
  <si>
    <t>ANGLE L8" X 6" X 1/2" T-304L SS PER A276 MILL FINISH</t>
  </si>
  <si>
    <t>ANGLE L8" X 4" X 1/2" T-304L SS PER A276 MILL FINISH</t>
  </si>
  <si>
    <t>ANGLE L6" X 6" X 1/2" T-304L SS PER A276 MILL FINISH</t>
  </si>
  <si>
    <t>ANGLE L6" X 5" X 1/2" T-304L SS PER A276 MILL FINISH</t>
  </si>
  <si>
    <t>ANGLE L6" X 4" X 1/2" T-304L SS PER A276 MILL FINISH</t>
  </si>
  <si>
    <t>ANGLE L6" X 3" X 1/2" T-304L SS PER A276 MILL FINISH</t>
  </si>
  <si>
    <t>ANGLE L5" X 5" X 1/2" T-304L SS PER A276 MILL FINISH</t>
  </si>
  <si>
    <t>ANGLE L5" X 3" X 1/2" T-304L SS PER A276 MILL FINISH</t>
  </si>
  <si>
    <t>ANGLE L4" X 4" X 1/2" T-304L SS PER A276 MILL FINISH</t>
  </si>
  <si>
    <t>ANGLE L4" X 3" X 1/2" T-304L SS PER A276 MILL FINISH</t>
  </si>
  <si>
    <t>ANGLE L3 1/2" X 3 1/2" X 1/2" T-304L SS PER A276 MILL FINISH</t>
  </si>
  <si>
    <t>ANGLE L3" X 3" X 1/2" T-304L SS PER A276 MILL FINISH</t>
  </si>
  <si>
    <t>ANGLE L3" X 2" X 1/2" T-304L SS PER A276 MILL FINISH</t>
  </si>
  <si>
    <t>ANGLE L3" X 1 1/2" X 1/2" T-304L SS PER A276 MILL FINISH</t>
  </si>
  <si>
    <t>ANGLE L2 1/2" X 2 1/2" X 1/2" T-304L SS PER A276 MILL FINISH</t>
  </si>
  <si>
    <t>ANGLE L2" X 2" X 1/2" T-304L SS PER A276 MILL FINISH</t>
  </si>
  <si>
    <t>ANGLE L2" X 1" X 1/2" T-304L SS PER A276 MILL FINISH</t>
  </si>
  <si>
    <t>ANGLE L8" X 8" X 1/2" T-304 SS PER A276 MILL FINISH</t>
  </si>
  <si>
    <t>ANGLE L8" X 6" X 1/2" T-304 SS PER A276 MILL FINISH</t>
  </si>
  <si>
    <t>ANGLE L8" X 4" X 1/2" T-304 SS PER A276 MILL FINISH</t>
  </si>
  <si>
    <t>ANGLE L6" X 6" X 1/2" T-304 SS PER A276 MILL FINISH</t>
  </si>
  <si>
    <t>ANGLE L6" X 5" X 1/2" T-304 SS PER A276 MILL FINISH</t>
  </si>
  <si>
    <t>ANGLE L6" X 4" X 1/2" T-304 SS PER A276 MILL FINISH</t>
  </si>
  <si>
    <t>ANGLE L6" X 3" X 1/2" T-304 SS PER A276 MILL FINISH</t>
  </si>
  <si>
    <t>ANGLE L5" X 5" X 1/2" T-304 SS PER A276 MILL FINISH</t>
  </si>
  <si>
    <t>ANGLE L5" X 3" X 1/2" T-304 SS PER A276 MILL FINISH</t>
  </si>
  <si>
    <t>ANGLE L4" X 4" X 1/2" T-304 SS PER A276 MILL FINISH</t>
  </si>
  <si>
    <t>ANGLE L4" X 3" X 1/2" T-304 SS PER A276 MILL FINISH</t>
  </si>
  <si>
    <t>ANGLE L3 1/2" X 3 1/2" X 1/2" T-304 SS PER A276 MILL FINISH</t>
  </si>
  <si>
    <t>ANGLE L3" X 3" X 1/2" T-304 SS PER A276 MILL FINISH</t>
  </si>
  <si>
    <t>ANGLE L3" X 2" X 1/2" T-304 SS PER A276 MILL FINISH</t>
  </si>
  <si>
    <t>ANGLE L3" X 1 1/2" X 1/2" T-304 SS PER A276 MILL FINISH</t>
  </si>
  <si>
    <t>ANGLE L2 1/2" X 2 1/2" X 1/2" T-304 SS PER A276 MILL FINISH</t>
  </si>
  <si>
    <t>ANGLE L2" X 2" X 1/2" T-304 SS PER A276 MILL FINISH</t>
  </si>
  <si>
    <t>ANGLE L2" X 1" X 1/2" T-304 SS PER A276 MILL FINISH</t>
  </si>
  <si>
    <t>ANGLE L8" X 8" X 3/8" T-316L SS PER A276 MILL FINISH</t>
  </si>
  <si>
    <t>ANGLE L8" X 6" X 3/8" T-316L SS PER A276 MILL FINISH</t>
  </si>
  <si>
    <t>ANGLE L8" X 4" X 3/8" T-316L SS PER A276 MILL FINISH</t>
  </si>
  <si>
    <t>ANGLE L6" X 6" X 3/8" T-316L SS PER A276 MILL FINISH</t>
  </si>
  <si>
    <t>ANGLE L6" X 5" X 3/8" T-316L SS PER A276 MILL FINISH</t>
  </si>
  <si>
    <t>ANGLE L6" X 4" X 3/8" T-316L SS PER A276 MILL FINISH</t>
  </si>
  <si>
    <t>ANGLE L6" X 3" X 3/8" T-316L SS PER A276 MILL FINISH</t>
  </si>
  <si>
    <t>ANGLE L5" X 5" X 3/8" T-316L SS PER A276 MILL FINISH</t>
  </si>
  <si>
    <t>ANGLE L5" X 3" X 3/8" T-316L SS PER A276 MILL FINISH</t>
  </si>
  <si>
    <t>ANGLE L4" X 4" X 3/8" T-316L SS PER A276 MILL FINISH</t>
  </si>
  <si>
    <t>ANGLE L4" X 3" X 3/8" T-316L SS PER A276 MILL FINISH</t>
  </si>
  <si>
    <t>ANGLE L3 1/2" X 3 1/2" X 3/8" T-316L SS PER A276 MILL FINISH</t>
  </si>
  <si>
    <t>ANGLE L3" X 3" X 3/8" T-316L SS PER A276 MILL FINISH</t>
  </si>
  <si>
    <t>ANGLE L3" X 2" X 3/8" T-316L SS PER A276 MILL FINISH</t>
  </si>
  <si>
    <t>ANGLE L3" X 1 1/2" X 3/8" T-316L SS PER A276 MILL FINISH</t>
  </si>
  <si>
    <t>ANGLE L2 1/2" X 2 1/2" X 3/8" T-316L SS PER A276 MILL FINISH</t>
  </si>
  <si>
    <t>ANGLE L2" X 2" X 3/8" T-316L SS PER A276 MILL FINISH</t>
  </si>
  <si>
    <t>ANGLE L2" X 1" X 3/8" T-316L SS PER A276 MILL FINISH</t>
  </si>
  <si>
    <t>ANGLE L8" X 8" X 3/8" T-316 SS PER A276 MILL FINISH</t>
  </si>
  <si>
    <t>ANGLE L8" X 6" X 3/8" T-316 SS PER A276 MILL FINISH</t>
  </si>
  <si>
    <t>ANGLE L8" X 4" X 3/8" T-316 SS PER A276 MILL FINISH</t>
  </si>
  <si>
    <t>ANGLE L6" X 6" X 3/8" T-316 SS PER A276 MILL FINISH</t>
  </si>
  <si>
    <t>ANGLE L6" X 5" X 3/8" T-316 SS PER A276 MILL FINISH</t>
  </si>
  <si>
    <t>ANGLE L6" X 4" X 3/8" T-316 SS PER A276 MILL FINISH</t>
  </si>
  <si>
    <t>ANGLE L6" X 3" X 3/8" T-316 SS PER A276 MILL FINISH</t>
  </si>
  <si>
    <t>ANGLE L5" X 5" X 3/8" T-316 SS PER A276 MILL FINISH</t>
  </si>
  <si>
    <t>ANGLE L5" X 3" X 3/8" T-316 SS PER A276 MILL FINISH</t>
  </si>
  <si>
    <t>ANGLE L4" X 4" X 3/8" T-316 SS PER A276 MILL FINISH</t>
  </si>
  <si>
    <t>ANGLE L4" X 3" X 3/8" T-316 SS PER A276 MILL FINISH</t>
  </si>
  <si>
    <t>ANGLE L3 1/2" X 3 1/2" X 3/8" T-316 SS PER A276 MILL FINISH</t>
  </si>
  <si>
    <t>ANGLE L3" X 3" X 3/8" T-316 SS PER A276 MILL FINISH</t>
  </si>
  <si>
    <t>ANGLE L3" X 2" X 3/8" T-316 SS PER A276 MILL FINISH</t>
  </si>
  <si>
    <t>ANGLE L3" X 1 1/2" X 3/8" T-316 SS PER A276 MILL FINISH</t>
  </si>
  <si>
    <t>ANGLE L2 1/2" X 2 1/2" X 3/8" T-316 SS PER A276 MILL FINISH</t>
  </si>
  <si>
    <t>ANGLE L2" X 2" X 3/8" T-316 SS PER A276 MILL FINISH</t>
  </si>
  <si>
    <t>ANGLE L2" X 1" X 3/8" T-316 SS PER A276 MILL FINISH</t>
  </si>
  <si>
    <t>ANGLE L8" X 8" X 3/8" T-304L SS PER A276 MILL FINISH</t>
  </si>
  <si>
    <t>ANGLE L8" X 6" X 3/8" T-304L SS PER A276 MILL FINISH</t>
  </si>
  <si>
    <t>ANGLE L8" X 4" X 3/8" T-304L SS PER A276 MILL FINISH</t>
  </si>
  <si>
    <t>ANGLE L6" X 6" X 3/8" T-304L SS PER A276 MILL FINISH</t>
  </si>
  <si>
    <t>ANGLE L6" X 5" X 3/8" T-304L SS PER A276 MILL FINISH</t>
  </si>
  <si>
    <t>ANGLE L6" X 4" X 3/8" T-304L SS PER A276 MILL FINISH</t>
  </si>
  <si>
    <t>ANGLE L6" X 3" X 3/8" T-304L SS PER A276 MILL FINISH</t>
  </si>
  <si>
    <t>ANGLE L5" X 5" X 3/8" T-304L SS PER A276 MILL FINISH</t>
  </si>
  <si>
    <t>ANGLE L5" X 3" X 3/8" T-304L SS PER A276 MILL FINISH</t>
  </si>
  <si>
    <t>ANGLE L4" X 4" X 3/8" T-304L SS PER A276 MILL FINISH</t>
  </si>
  <si>
    <t>ANGLE L4" X 3" X 3/8" T-304L SS PER A276 MILL FINISH</t>
  </si>
  <si>
    <t>ANGLE L3 1/2" X 3 1/2" X 3/8" T-304L SS PER A276 MILL FINISH</t>
  </si>
  <si>
    <t>ANGLE L3" X 3" X 3/8" T-304L SS PER A276 MILL FINISH</t>
  </si>
  <si>
    <t>ANGLE L3" X 2" X 3/8" T-304L SS PER A276 MILL FINISH</t>
  </si>
  <si>
    <t>ANGLE L3" X 1 1/2" X 3/8" T-304L SS PER A276 MILL FINISH</t>
  </si>
  <si>
    <t>ANGLE L2 1/2" X 2 1/2" X 3/8" T-304L SS PER A276 MILL FINISH</t>
  </si>
  <si>
    <t>ANGLE L2" X 2" X 3/8" T-304L SS PER A276 MILL FINISH</t>
  </si>
  <si>
    <t>ANGLE L2" X 1" X 3/8" T-304L SS PER A276 MILL FINISH</t>
  </si>
  <si>
    <t>ANGLE L8" X 8" X 3/8" T-304 SS PER A276 MILL FINISH</t>
  </si>
  <si>
    <t>ANGLE L8" X 6" X 3/8" T-304 SS PER A276 MILL FINISH</t>
  </si>
  <si>
    <t>ANGLE L8" X 4" X 3/8" T-304 SS PER A276 MILL FINISH</t>
  </si>
  <si>
    <t>ANGLE L6" X 6" X 3/8" T-304 SS PER A276 MILL FINISH</t>
  </si>
  <si>
    <t>ANGLE L6" X 5" X 3/8" T-304 SS PER A276 MILL FINISH</t>
  </si>
  <si>
    <t>ANGLE L6" X 4" X 3/8" T-304 SS PER A276 MILL FINISH</t>
  </si>
  <si>
    <t>ANGLE L6" X 3" X 3/8" T-304 SS PER A276 MILL FINISH</t>
  </si>
  <si>
    <t>ANGLE L5" X 5" X 3/8" T-304 SS PER A276 MILL FINISH</t>
  </si>
  <si>
    <t>ANGLE L5" X 3" X 3/8" T-304 SS PER A276 MILL FINISH</t>
  </si>
  <si>
    <t>ANGLE L4" X 4" X 3/8" T-304 SS PER A276 MILL FINISH</t>
  </si>
  <si>
    <t>ANGLE L4" X 3" X 3/8" T-304 SS PER A276 MILL FINISH</t>
  </si>
  <si>
    <t>ANGLE L3 1/2" X 3 1/2" X 3/8" T-304 SS PER A276 MILL FINISH</t>
  </si>
  <si>
    <t>ANGLE L3" X 3" X 3/8" T-304 SS PER A276 MILL FINISH</t>
  </si>
  <si>
    <t>ANGLE L3" X 2" X 3/8" T-304 SS PER A276 MILL FINISH</t>
  </si>
  <si>
    <t>ANGLE L3" X 1 1/2" X 3/8" T-304 SS PER A276 MILL FINISH</t>
  </si>
  <si>
    <t>ANGLE L2 1/2" X 2 1/2" X 3/8" T-304 SS PER A276 MILL FINISH</t>
  </si>
  <si>
    <t>ANGLE L2" X 2" X 3/8" T-304 SS PER A276 MILL FINISH</t>
  </si>
  <si>
    <t>ANGLE L2" X 1" X 3/8" T-304 SS PER A276 MILL FINISH</t>
  </si>
  <si>
    <t>ANGLE L8" X 8" X 1/4" T-316L SS PER A276 MILL FINISH</t>
  </si>
  <si>
    <t>ANGLE L8" X 6" X 1/4" T-316L SS PER A276 MILL FINISH</t>
  </si>
  <si>
    <t>ANGLE L8" X 4" X 1/4" T-316L SS PER A276 MILL FINISH</t>
  </si>
  <si>
    <t>ANGLE L6" X 6" X 1/4" T-316L SS PER A276 MILL FINISH</t>
  </si>
  <si>
    <t>ANGLE L6" X 5" X 1/4" T-316L SS PER A276 MILL FINISH</t>
  </si>
  <si>
    <t>ANGLE L6" X 4" X 1/4" T-316L SS PER A276 MILL FINISH</t>
  </si>
  <si>
    <t>ANGLE L6" X 3" X 1/4" T-316L SS PER A276 MILL FINISH</t>
  </si>
  <si>
    <t>ANGLE L5" X 5" X 1/4" T-316L SS PER A276 MILL FINISH</t>
  </si>
  <si>
    <t>ANGLE L5" X 3" X 1/4" T-316L SS PER A276 MILL FINISH</t>
  </si>
  <si>
    <t>ANGLE L4" X 4" X 1/4" T-316L SS PER A276 MILL FINISH</t>
  </si>
  <si>
    <t>ANGLE L4" X 3" X 1/4" T-316L SS PER A276 MILL FINISH</t>
  </si>
  <si>
    <t>ANGLE L3 1/2" X 3 1/2" X 1/4" T-316L SS PER A276 MILL FINISH</t>
  </si>
  <si>
    <t>ANGLE L3" X 3" X 1/4" T-316L SS PER A276 MILL FINISH</t>
  </si>
  <si>
    <t>ANGLE L3" X 2" X 1/4" T-316L SS PER A276 MILL FINISH</t>
  </si>
  <si>
    <t>ANGLE L3" X 1 1/2" X 1/4" T-316L SS PER A276 MILL FINISH</t>
  </si>
  <si>
    <t>ANGLE L2" X 2" X 1/4" T-316L SS PER A276 MILL FINISH</t>
  </si>
  <si>
    <t>ANGLE L2" X 1" X 1/4" T-316L SS PER A276 MILL FINISH</t>
  </si>
  <si>
    <t>ANGLE L1 3/4" X 1 3/4" X 1/4" T-316L SS PER A276 MILL FINISH</t>
  </si>
  <si>
    <t>ANGLE L1 1/2" X 1 1/2" X 1/4" T-316L SS PER A276 MILL FINISH</t>
  </si>
  <si>
    <t>ANGLE L1 1/4" X 1 1/4" X 1/4" T-316L SS PER A276 MILL FINISH</t>
  </si>
  <si>
    <t>ANGLE L1" X 1" X 1/4" T-316L SS PER A276 MILL FINISH</t>
  </si>
  <si>
    <t>ANGLE L8" X 8" X 1/4" T-316 SS PER A276 MILL FINISH</t>
  </si>
  <si>
    <t>ANGLE L8" X 6" X 1/4" T-316 SS PER A276 MILL FINISH</t>
  </si>
  <si>
    <t>ANGLE L8" X 4" X 1/4" T-316 SS PER A276 MILL FINISH</t>
  </si>
  <si>
    <t>ANGLE L6" X 6" X 1/4" T-316 SS PER A276 MILL FINISH</t>
  </si>
  <si>
    <t>ANGLE L6" X 5" X 1/4" T-316 SS PER A276 MILL FINISH</t>
  </si>
  <si>
    <t>ANGLE L6" X 4" X 1/4" T-316 SS PER A276 MILL FINISH</t>
  </si>
  <si>
    <t>ANGLE L6" X 3" X 1/4" T-316 SS PER A276 MILL FINISH</t>
  </si>
  <si>
    <t>ANGLE L5" X 5" X 1/4" T-316 SS PER A276 MILL FINISH</t>
  </si>
  <si>
    <t>ANGLE L5" X 3" X 1/4" T-316 SS PER A276 MILL FINISH</t>
  </si>
  <si>
    <t>ANGLE L4" X 4" X 1/4" T-316 SS PER A276 MILL FINISH</t>
  </si>
  <si>
    <t>ANGLE L4" X 3" X 1/4" T-316 SS PER A276 MILL FINISH</t>
  </si>
  <si>
    <t>ANGLE L3 1/2" X 3 1/2" X 1/4" T-316 SS PER A276 MILL FINISH</t>
  </si>
  <si>
    <t>ANGLE L3" X 3" X 1/4" T-316 SS PER A276 MILL FINISH</t>
  </si>
  <si>
    <t>ANGLE L3" X 2" X 1/4" T-316 SS PER A276 MILL FINISH</t>
  </si>
  <si>
    <t>ANGLE L3" X 1 1/2" X 1/4" T-316 SS PER A276 MILL FINISH</t>
  </si>
  <si>
    <t>ANGLE L2 1/2" X 2 1/2" X 1/4" T-316 SS PER A276 MILL FINISH</t>
  </si>
  <si>
    <t>ANGLE L2" X 2" X 1/4" T-316 SS PER A276 MILL FINISH</t>
  </si>
  <si>
    <t>ANGLE L2" X 1" X 1/4" T-316 SS PER A276 MILL FINISH</t>
  </si>
  <si>
    <t>ANGLE L1 3/4" X 1 3/4" X 1/4" T-316 SS PER A276 MILL FINISH</t>
  </si>
  <si>
    <t>ANGLE L1 1/2" X 1 1/2" X 1/4" T-316 SS PER A276 MILL FINISH</t>
  </si>
  <si>
    <t>ANGLE L1 1/4" X 1 1/4" X 1/4" T-316 SS PER A276 MILL FINISH</t>
  </si>
  <si>
    <t>ANGLE L1" X 1" X 1/4" T-316 SS PER A276 MILL FINISH</t>
  </si>
  <si>
    <t>ANGLE L8" X 8" X 1/4" T-304L SS PER A276 MILL FINISH</t>
  </si>
  <si>
    <t>ANGLE L8" X 6" X 1/4" T-304L SS PER A276 MILL FINISH</t>
  </si>
  <si>
    <t>ANGLE L8" X 4" X 1/4" T-304L SS PER A276 MILL FINISH</t>
  </si>
  <si>
    <t>ANGLE L6" X 6" X 1/4" T-304L SS PER A276 MILL FINISH</t>
  </si>
  <si>
    <t>ANGLE L6" X 5" X 1/4" T-304L SS PER A276 MILL FINISH</t>
  </si>
  <si>
    <t>ANGLE L6" X 4" X 1/4" T-304L SS PER A276 MILL FINISH</t>
  </si>
  <si>
    <t>ANGLE L6" X 3" X 1/4" T-304L SS PER A276 MILL FINISH</t>
  </si>
  <si>
    <t>ANGLE L5" X 5" X 1/4" T-304L SS PER A276 MILL FINISH</t>
  </si>
  <si>
    <t>ANGLE L5" X 3" X 1/4" T-304L SS PER A276 MILL FINISH</t>
  </si>
  <si>
    <t>ANGLE L4" X 4" X 1/4" T-304L SS PER A276 MILL FINISH</t>
  </si>
  <si>
    <t>ANGLE L4" X 3" X 1/4" T-304L SS PER A276 MILL FINISH</t>
  </si>
  <si>
    <t>ANGLE L3 1/2" X 3 1/2" X 1/4" T-304L SS PER A276 MILL FINISH</t>
  </si>
  <si>
    <t>ANGLE L3" X 3" X 1/4" T-304L SS PER A276 MILL FINISH</t>
  </si>
  <si>
    <t>ANGLE L3" X 2" X 1/4" T-304L SS PER A276 MILL FINISH</t>
  </si>
  <si>
    <t>ANGLE L3" X 1 1/2" X 1/4" T-304L SS PER A276 MILL FINISH</t>
  </si>
  <si>
    <t>ANGLE L2" X 2" X 1/4" T-304L SS PER A276 MILL FINISH</t>
  </si>
  <si>
    <t>ANGLE L2" X 1" X 1/4" T-304L SS PER A276 MILL FINISH</t>
  </si>
  <si>
    <t>ANGLE L1 3/4" X 1 3/4" X 1/4" T-304L SS PER A276 MILL FINISH</t>
  </si>
  <si>
    <t>ANGLE L1 1/2" X 1 1/2" X 1/4" T-304L SS PER A276 MILL FINISH</t>
  </si>
  <si>
    <t>ANGLE L1 1/4" X 1 1/4" X 1/4" T-304L SS PER A276 MILL FINISH</t>
  </si>
  <si>
    <t>ANGLE L1" X 1" X 1/4" T-304L SS PER A276 MILL FINISH</t>
  </si>
  <si>
    <t>ANGLE L8" X 8" X 1/4" T-304 SS PER A276 MILL FINISH</t>
  </si>
  <si>
    <t>ANGLE L8" X 6" X 1/4" T-304 SS PER A276 MILL FINISH</t>
  </si>
  <si>
    <t>ANGLE L8" X 4" X 1/4" T-304 SS PER A276 MILL FINISH</t>
  </si>
  <si>
    <t>ANGLE L6" X 6" X 1/4" T-304 SS PER A276 MILL FINISH</t>
  </si>
  <si>
    <t>ANGLE L6" X 5" X 1/4" T-304 SS PER A276 MILL FINISH</t>
  </si>
  <si>
    <t>ANGLE L6" X 4" X 1/4" T-304 SS PER A276 MILL FINISH</t>
  </si>
  <si>
    <t>ANGLE L6" X 3" X 1/4" T-304 SS PER A276 MILL FINISH</t>
  </si>
  <si>
    <t>ANGLE L5" X 5" X 1/4" T-304 SS PER A276 MILL FINISH</t>
  </si>
  <si>
    <t>ANGLE L5" X 3" X 1/4" T-304 SS PER A276 MILL FINISH</t>
  </si>
  <si>
    <t>ANGLE L4" X 4" X 1/4" T-304 SS PER A276 MILL FINISH</t>
  </si>
  <si>
    <t>ANGLE L4" X 3" X 1/4" T-304 SS PER A276 MILL FINISH</t>
  </si>
  <si>
    <t>ANGLE L3 1/2" X 3 1/2" X 1/4" T-304 SS PER A276 MILL FINISH</t>
  </si>
  <si>
    <t>ANGLE L3" X 3" X 1/4" T-304 SS PER A276 MILL FINISH</t>
  </si>
  <si>
    <t>ANGLE L3" X 2" X 1/4" T-304 SS PER A276 MILL FINISH</t>
  </si>
  <si>
    <t>ANGLE L3" X 1 1/2" X 1/4" T-304 SS PER A276 MILL FINISH</t>
  </si>
  <si>
    <t>ANGLE L2" X 2" X 1/4" T-304 SS PER A276 MILL FINISH</t>
  </si>
  <si>
    <t>ANGLE L2" X 1" X 1/4" T-304 SS PER A276 MILL FINISH</t>
  </si>
  <si>
    <t>ANGLE L1 3/4" X 1 3/4" X 1/4" T-304 SS PER A276 MILL FINISH</t>
  </si>
  <si>
    <t>ANGLE L1 1/2" X 1 1/2" X 1/4" T-304 SS PER A276 MILL FINISH</t>
  </si>
  <si>
    <t>ANGLE L1 1/4" X 1 1/4" X 1/4" T-304 SS PER A276 MILL FINISH</t>
  </si>
  <si>
    <t>ANGLE L1" X 1" X 1/4" T-304 SS PER A276 MILL FINISH</t>
  </si>
  <si>
    <t>ANGLE L3 1/2" X 3 1/2" X 3/16" T-316L SS PER A276 MILL FINISH</t>
  </si>
  <si>
    <t>ANGLE L3" X 3" X 3/16" T-316L SS PER A276 MILL FINISH</t>
  </si>
  <si>
    <t>ANGLE L3" X 2" X 3/16" T-316L SS PER A276 MILL FINISH</t>
  </si>
  <si>
    <t>ANGLE L3" X 1 1/2" X 3/16" T-316L SS PER A276 MILL FINISH</t>
  </si>
  <si>
    <t>ANGLE L2 1/2" X 2 1/2" X 3/16" T-316L SS PER A276 MILL FINISH</t>
  </si>
  <si>
    <t>ANGLE L2" X 2" X 3/16" T-316L SS PER A276 MILL FINISH</t>
  </si>
  <si>
    <t>ANGLE L2" X 1" X 3/16" T-316L SS PER A276 MILL FINISH</t>
  </si>
  <si>
    <t>ANGLE L1 3/4" X 1 3/4" X 3/16" T-316L SS PER A276 MILL FINISH</t>
  </si>
  <si>
    <t>ANGLE L1 1/2" X 1 1/2" X 3/16" T-316L SS PER A276 MILL FINISH</t>
  </si>
  <si>
    <t>ANGLE L1 1/4" X 1 1/4" X 3/16" T-316L SS PER A276 MILL FINISH</t>
  </si>
  <si>
    <t>ANGLE L1" X 1" X 3/16" T-316L SS PER A276 MILL FINISH</t>
  </si>
  <si>
    <t>ANGLE L3/4" X 3/4" X 3/16" T-316L SS PER A276 MILL FINISH</t>
  </si>
  <si>
    <t>ANGLE L1/2" X 1/2" X 3/16" T-316L SS PER A276 MILL FINISH</t>
  </si>
  <si>
    <t>ANGLE L3 1/2" X 3 1/2" X 3/16" T-316 SS PER A276 MILL FINISH</t>
  </si>
  <si>
    <t>ANGLE L3" X 3" X 3/16" T-316 SS PER A276 MILL FINISH</t>
  </si>
  <si>
    <t>ANGLE L3" X 2" X 3/16" T-316 SS PER A276 MILL FINISH</t>
  </si>
  <si>
    <t>ANGLE L3" X 1 1/2" X 3/16" T-316 SS PER A276 MILL FINISH</t>
  </si>
  <si>
    <t>ANGLE L2 1/2" X 2 1/2" X 3/16" T-316 SS PER A276 MILL FINISH</t>
  </si>
  <si>
    <t>ANGLE L2" X 2" X 3/16" T-316 SS PER A276 MILL FINISH</t>
  </si>
  <si>
    <t>ANGLE L2" X 1" X 3/16" T-316 SS PER A276 MILL FINISH</t>
  </si>
  <si>
    <t>ANGLE L1 3/4" X 1 3/4" X 3/16" T-316 SS PER A276 MILL FINISH</t>
  </si>
  <si>
    <t>ANGLE L1 1/2" X 1 1/2" X 3/16" T-316 SS PER A276 MILL FINISH</t>
  </si>
  <si>
    <t>ANGLE L1 1/4" X 1 1/4" X 3/16" T-316 SS PER A276 MILL FINISH</t>
  </si>
  <si>
    <t>ANGLE L1" X 1" X 3/16" T-316 SS PER A276 MILL FINISH</t>
  </si>
  <si>
    <t>ANGLE L3/4" X 3/4" X 3/16" T-316 SS PER A276 MILL FINISH</t>
  </si>
  <si>
    <t>ANGLE L1/2" X 1/2" X 3/16" T-316 SS PER A276 MILL FINISH</t>
  </si>
  <si>
    <t>ANGLE L3 1/2" X 3 1/2" X 3/16" T-304L SS PER A276 MILL FINISH</t>
  </si>
  <si>
    <t>ANGLE L3" X 3" X 3/16" T-304L SS PER A276 MILL FINISH</t>
  </si>
  <si>
    <t>ANGLE L3" X 2" X 3/16" T-304L SS PER A276 MILL FINISH</t>
  </si>
  <si>
    <t>ANGLE L3" X 1 1/2" X 3/16" T-304L SS PER A276 MILL FINISH</t>
  </si>
  <si>
    <t>ANGLE L2 1/2" X 2 1/2" X 3/16" T-304L SS PER A276 MILL FINISH</t>
  </si>
  <si>
    <t>ANGLE L2" X 2" X 3/16" T-304L SS PER A276 MILL FINISH</t>
  </si>
  <si>
    <t>ANGLE L2" X 1" X 3/16" T-304L SS PER A276 MILL FINISH</t>
  </si>
  <si>
    <t>ANGLE L1 3/4" X 1 3/4" X 3/16" T-304L SS PER A276 MILL FINISH</t>
  </si>
  <si>
    <t>ANGLE L1 1/2" X 1 1/2" X 3/16" T-304L SS PER A276 MILL FINISH</t>
  </si>
  <si>
    <t>ANGLE L1 1/4" X 1 1/4" X 3/16" T-304L SS PER A276 MILL FINISH</t>
  </si>
  <si>
    <t>ANGLE L1" X 1" X 3/16" T-304L SS PER A276 MILL FINISH</t>
  </si>
  <si>
    <t>ANGLE L3/4" X 3/4" X 3/16" T-304L SS PER A276 MILL FINISH</t>
  </si>
  <si>
    <t>ANGLE L1/2" X 1/2" X 3/16" T-304L SS PER A276 MILL FINISH</t>
  </si>
  <si>
    <t>ANGLE L3 1/2" X 3 1/2" X 3/16" T-304 SS PER A276 MILL FINISH</t>
  </si>
  <si>
    <t>ANGLE L3" X 3" X 3/16" T-304 SS PER A276 MILL FINISH</t>
  </si>
  <si>
    <t>ANGLE L3" X 2" X 3/16" T-304 SS PER A276 MILL FINISH</t>
  </si>
  <si>
    <t>ANGLE L3" X 1 1/2" X 3/16" T-304 SS PER A276 MILL FINISH</t>
  </si>
  <si>
    <t>ANGLE L2 1/2" X 2 1/2" X 3/16" T-304 SS PER A276 MILL FINISH</t>
  </si>
  <si>
    <t>ANGLE L2" X 2" X 3/16" T-304 SS PER A276 MILL FINISH</t>
  </si>
  <si>
    <t>ANGLE L2" X 1" X 3/16" T-304 SS PER A276 MILL FINISH</t>
  </si>
  <si>
    <t>ANGLE L1 3/4" X 1 3/4" X 3/16" T-304 SS PER A276 MILL FINISH</t>
  </si>
  <si>
    <t>ANGLE L1 1/2" X 1 1/2" X 3/16" T-304 SS PER A276 MILL FINISH</t>
  </si>
  <si>
    <t>ANGLE L1 1/4" X 1 1/4" X 3/16" T-304 SS PER A276 MILL FINISH</t>
  </si>
  <si>
    <t>ANGLE L1" X 1" X 3/16" T-304 SS PER A276 MILL FINISH</t>
  </si>
  <si>
    <t>ANGLE L3/4" X 3/4" X 3/16" T-304 SS PER A276 MILL FINISH</t>
  </si>
  <si>
    <t>ANGLE L1/2" X 1/2" X 3/16" T-304 SS PER A276 MILL FINISH</t>
  </si>
  <si>
    <t>ANGLE L2 1/2" X 2 1/2" X 1/8" T-316L SS PER A276 MILL FINISH</t>
  </si>
  <si>
    <t>ANGLE L2" X 2" X 1/8" T-316L SS PER A276 MILL FINISH</t>
  </si>
  <si>
    <t>ANGLE L2" X 1" X 1/8" T-316L SS PER A276 MILL FINISH</t>
  </si>
  <si>
    <t>ANGLE L1 3/4" X 1 3/4" X 1/8" T-316L SS PER A276 MILL FINISH</t>
  </si>
  <si>
    <t>ANGLE L1 1/2" X 1 1/2" X 1/8" T-316L SS PER A276 MILL FINISH</t>
  </si>
  <si>
    <t>ANGLE L1 1/4" X 1 1/4" X 1/8" T-316L SS PER A276 MILL FINISH</t>
  </si>
  <si>
    <t>ANGLE L1" X 1" X 1/8" T-316L SS PER A276 MILL FINISH</t>
  </si>
  <si>
    <t>ANGLE L3/4" X 3/4" X 1/8" T-316L SS PER A276 MILL FINISH</t>
  </si>
  <si>
    <t>ANGLE L1/2" X 1/2" X 1/8" T-316L SS PER A276 MILL FINISH</t>
  </si>
  <si>
    <t>ANGLE L2 1/2" X 2 1/2" X 1/8" T-316 SS PER A276 MILL FINISH</t>
  </si>
  <si>
    <t>ANGLE L2" X 2" X 1/8" T-316 SS PER A276 MILL FINISH</t>
  </si>
  <si>
    <t>ANGLE L2" X 1" X 1/8" T-316 SS PER A276 MILL FINISH</t>
  </si>
  <si>
    <t>ANGLE L1 3/4" X 1 3/4" X 1/8" T-316 SS PER A276 MILL FINISH</t>
  </si>
  <si>
    <t>ANGLE L1 1/2" X 1 1/2" X 1/8" T-316 SS PER A276 MILL FINISH</t>
  </si>
  <si>
    <t>ANGLE L1 1/4" X 1 1/4" X 1/8" T-316 SS PER A276 MILL FINISH</t>
  </si>
  <si>
    <t>ANGLE L1" X 1" X 1/8" T-316 SS PER A276 MILL FINISH</t>
  </si>
  <si>
    <t>ANGLE L3/4" X 3/4" X 1/8" T-316 SS PER A276 MILL FINISH</t>
  </si>
  <si>
    <t>ANGLE L1/2" X 1/2" X 1/8" T-316 SS PER A276 MILL FINISH</t>
  </si>
  <si>
    <t>ANGLE L2 1/2" X 2 1/2" X 1/8" T-304L SS PER A276 MILL FINISH</t>
  </si>
  <si>
    <t>ANGLE L2" X 2" X 1/8" T-304L SS PER A276 MILL FINISH</t>
  </si>
  <si>
    <t>ANGLE L2" X 1" X 1/8" T-304L SS PER A276 MILL FINISH</t>
  </si>
  <si>
    <t>ANGLE L1 3/4" X 1 3/4" X 1/8" T-304L SS PER A276 MILL FINISH</t>
  </si>
  <si>
    <t>ANGLE L1 1/2" X 1 1/2" X 1/8" T-304L SS PER A276 MILL FINISH</t>
  </si>
  <si>
    <t>ANGLE L1 1/4" X 1 1/4" X 1/8" T-304L SS PER A276 MILL FINISH</t>
  </si>
  <si>
    <t>ANGLE L1" X 1" X 1/8" T-304L SS PER A276 MILL FINISH</t>
  </si>
  <si>
    <t>ANGLE L3/4" X 3/4" X 1/8" T-304L SS PER A276 MILL FINISH</t>
  </si>
  <si>
    <t>ANGLE L1/2" X 1/2" X 1/8" T-304L SS PER A276 MILL FINISH</t>
  </si>
  <si>
    <t>ANGLE L2 1/2" X 2 1/2" X 1/8" T-304 SS PER A276 MILL FINISH</t>
  </si>
  <si>
    <t>ANGLE L2" X 2" X 1/8" T-304 SS PER A276 MILL FINISH</t>
  </si>
  <si>
    <t>ANGLE L2" X 1" X 1/8" T-304 SS PER A276 MILL FINISH</t>
  </si>
  <si>
    <t>ANGLE L1 3/4" X 1 3/4" X 1/8" T-304 SS PER A276 MILL FINISH</t>
  </si>
  <si>
    <t>ANGLE L1 1/2" X 1 1/2" X 1/8" T-304 SS PER A276 MILL FINISH</t>
  </si>
  <si>
    <t>ANGLE L1 1/4" X 1 1/4" X 1/8" T-304 SS PER A276 MILL FINISH</t>
  </si>
  <si>
    <t>ANGLE L1" X 1" X 1/8" T-304 SS PER A276 MILL FINISH</t>
  </si>
  <si>
    <t>ANGLE L3/4" X 3/4" X 1/8" T-304 SS PER A276 MILL FINISH</t>
  </si>
  <si>
    <t>ANGLE L1/2" X 1/2" X 1/8" T-304 SS PER A276 MILL FINISH</t>
  </si>
  <si>
    <t>PLATE CHECKERED 3/8" CARBON STEEL PER A786 MILL FINISH</t>
  </si>
  <si>
    <t>OR EQUIVALENT TO: ASTM A786M. TAGGING INFO. SHALL BE CLEARLY LEGIBLE &amp; SHALL INCL. APPLICABLE DATA THAT FOLLOWS: SIZE, TYPE, GRADE, &amp; ASTM NO's. ENVR.</t>
  </si>
  <si>
    <t>PLATE CHECKERED 1/4" CARBON STEEL PER A786 MILL FINISH</t>
  </si>
  <si>
    <t>PLATE CHECKERED 3/16" CARBON STEEL PER A786 MILL FINISH</t>
  </si>
  <si>
    <t>PLATE CHECKERED 1/8" CARBON STEEL PER A786 MILL FINISH</t>
  </si>
  <si>
    <t>PLATE 1 1/8" HR CARBON STEEL PER A36 MILL FINISH</t>
  </si>
  <si>
    <t>TAGGING INFO. SHALL BE CLEARLY LEGIBLE &amp; SHALL INCL. APPLICABLE DATA THAT FOLLOWS: SIZE, TYPE (TYPE B), GRADE, &amp; ASTM NO's.</t>
  </si>
  <si>
    <t>SHEET 0.035" 20GA HR-1011 CARBON STEEL PER A1011 MILL FINISH</t>
  </si>
  <si>
    <t>OR EQUIVALENT TO: ASTM A1018. TAGGING INFO. SHALL BE CLEARLY LEGIBLE &amp; SHALL INCL. APPLICABLE DATA THAT FOLLOWS: SIZE, TYPE (TYPE B), GRADE, &amp; ASTM NO's.</t>
  </si>
  <si>
    <t>PLATE 2" HR CARBON STEEL PER A36 MILL FINISH</t>
  </si>
  <si>
    <t>SHEET 0.135" 10GA HR-1011 CARBON STEEL PER A1011 MILL FINISH</t>
  </si>
  <si>
    <t>SHEET 0.119" 11GA HR-1011 CARBON STEEL PER A1011 MILL FINISH</t>
  </si>
  <si>
    <t>SHEET 0.104" 12GA HR-1011 CARBON STEEL PER A1011 MILL FINISH</t>
  </si>
  <si>
    <t>SHEET 0.074" 14GA HR-1011 CARBON STEEL PER A1011 MILL FINISH</t>
  </si>
  <si>
    <t>SHEET 0.059" 16GA HR-1011 CARBON STEEL PER A1011 MILL FINISH</t>
  </si>
  <si>
    <t>SHEET 0.029" 22GA HR-1011 CARBON STEEL PER A1011 MILL FINISH</t>
  </si>
  <si>
    <t>PLATE 1" AR 500 CARBON STEEL PER A6 MILL FINISH</t>
  </si>
  <si>
    <t>OR EQUIVALENT TO: ASTM A514. TAGGING INFO. SHALL BE CLEARLY LEGIBLE &amp; SHALL INCL. APPLICABLE DATA THAT FOLLOWS: SIZE, TYPE, GRADE, &amp; ASTM NO's.</t>
  </si>
  <si>
    <t>PLATE 3/4" AR 500 CARBON STEEL PER A6 MILL FINISH</t>
  </si>
  <si>
    <t>PLATE 5/8" AR 500 CARBON STEEL PER A6 MILL FINISH</t>
  </si>
  <si>
    <t>PLATE 3/8" AR 500 CARBON STEEL PER A6 MILL FINISH</t>
  </si>
  <si>
    <t>PLATE 3" HR CARBON STEEL PER A36 MILL FINISH</t>
  </si>
  <si>
    <t>PLATE 2 1/2" HR CARBON STEEL PER A36 MILL FINISH</t>
  </si>
  <si>
    <t>PLATE 1 1/4" HR CARBON STEEL PER A36 MILL FINISH</t>
  </si>
  <si>
    <t>PLATE 1" HR CARBON STEEL PER A36 MILL FINISH</t>
  </si>
  <si>
    <t>PLATE 3/4" HR CARBON STEEL PER A36 MILL FINISH</t>
  </si>
  <si>
    <t>PLATE 5/8" HR CARBON STEEL PER A36 MILL FINISH</t>
  </si>
  <si>
    <t>PLATE 1/2" HR CARBON STEEL PER A36 MILL FINISH</t>
  </si>
  <si>
    <t>PLATE 3/8" HR CARBON STEEL PER A36 MILL FINISH</t>
  </si>
  <si>
    <t>PLATE 1/4" HR CARBON STEEL PER A36 MILL FINISH</t>
  </si>
  <si>
    <t>PLATE 3/16" HR CARBON STEEL PER A36 MILL FINISH</t>
  </si>
  <si>
    <t>PLATE 5/16" HR CARBON STEEL PER A36 MILL FINISH</t>
  </si>
  <si>
    <t>BAR FLAT 4" X 1" HR CARBON STEEL PER A36 MILL FINISH</t>
  </si>
  <si>
    <t>TAGGING INFO. SHALL BE CLEARLY LEGIBLE &amp; SHALL INCL. APPLICABLE DATA THAT FOLLOWS: SIZE, TYPE, GRADE, &amp; ASTM NO's.</t>
  </si>
  <si>
    <t>BAR FLAT 3" X 1" HR CARBON STEEL PER A36 MILL FINISH</t>
  </si>
  <si>
    <t>BAR FLAT 2 1/2" X 1" HR CARBON STEEL PER A36 MILL FINISH</t>
  </si>
  <si>
    <t>BAR FLAT 2" X 1" HR CARBON STEEL PER A36 MILL FINISH</t>
  </si>
  <si>
    <t>BAR FLAT 8" X 3/4" HR CARBON STEEL PER A36 MILL FINISH</t>
  </si>
  <si>
    <t>BAR FLAT 6" X 3/4" HR CARBON STEEL PER A36 MILL FINISH</t>
  </si>
  <si>
    <t>BAR FLAT 4" X 3/4" HR CARBON STEEL PER A36 MILL FINISH</t>
  </si>
  <si>
    <t>BAR FLAT 8" X 1/2" HR CARBON STEEL PER A36 MILL FINISH</t>
  </si>
  <si>
    <t>BAR FLAT 7" X 1/2" HR CARBON STEEL PER A36 MILL FINISH</t>
  </si>
  <si>
    <t>BAR FLAT 6" X 1/2" HR CARBON STEEL PER A36 MILL FINISH</t>
  </si>
  <si>
    <t>BAR FLAT 5" X 1/2" HR CARBON STEEL PER A36 MILL FINISH</t>
  </si>
  <si>
    <t>BAR FLAT 4" X 1/2" HR CARBON STEEL PER A36 MILL FINISH</t>
  </si>
  <si>
    <t>BAR FLAT 3 1/2" X 1/2" HR CARBON STEEL PER A36 MILL FINISH</t>
  </si>
  <si>
    <t>BAR FLAT 3" X 1/2" HR CARBON STEEL PER A36 MILL FINISH</t>
  </si>
  <si>
    <t>BAR FLAT 2" X 1/2" HR CARBON STEEL PER A36 MILL FINISH</t>
  </si>
  <si>
    <t>BAR FLAT 1" X 1/2" HR CARBON STEEL PER A36 MILL FINISH</t>
  </si>
  <si>
    <t>BAR FLAT 8" X 3/8" HR CARBON STEEL PER A36 MILL FINISH</t>
  </si>
  <si>
    <t>BAR FLAT 7" X 3/8" HR CARBON STEEL PER A36 MILL FINISH</t>
  </si>
  <si>
    <t>BAR FLAT 6" X 3/8" HR CARBON STEEL PER A36 MILL FINISH</t>
  </si>
  <si>
    <t>BAR FLAT 5" X 3/8" HR CARBON STEEL PER A36 MILL FINISH</t>
  </si>
  <si>
    <t>BAR FLAT 4" X 3/8" HR CARBON STEEL PER A36 MILL FINISH</t>
  </si>
  <si>
    <t>BAR FLAT 3 1/2" X 3/8" HR CARBON STEEL PER A36 MILL FINISH</t>
  </si>
  <si>
    <t>BAR FLAT 3" X 3/8" HR CARBON STEEL PER A36 MILL FINISH</t>
  </si>
  <si>
    <t>BAR FLAT 2 1/2" X 3/8" HR CARBON STEEL PER A36 MILL FINISH</t>
  </si>
  <si>
    <t>BAR FLAT 2" X 3/8" HR CARBON STEEL PER A36 MILL FINISH</t>
  </si>
  <si>
    <t>BAR FLAT 1 1/2" X 3/8" HR CARBON STEEL PER A36 MILL FINISH</t>
  </si>
  <si>
    <t>BAR FLAT 1" X 3/8" HR CARBON STEEL PER A36 MILL FINISH</t>
  </si>
  <si>
    <t>BAR FLAT 6" X 1/4" HR CARBON STEEL PER A36 MILL FINISH</t>
  </si>
  <si>
    <t>BAR FLAT 5" X 1/4" HR CARBON STEEL PER A36 MILL FINISH</t>
  </si>
  <si>
    <t>BAR FLAT 4" X 1/4" HR CARBON STEEL PER A36 MILL FINISH</t>
  </si>
  <si>
    <t>BAR FLAT 3 1/2" X 1/4" HR CARBON STEEL PER A36 MILL FINISH</t>
  </si>
  <si>
    <t>BAR FLAT 3" X 1/4" HR CARBON STEEL PER A36 MILL FINISH</t>
  </si>
  <si>
    <t>BAR FLAT 2 1/2" X 1/4" HR CARBON STEEL PER A36 MILL FINISH</t>
  </si>
  <si>
    <t>BAR FLAT 2" X 1/4" HR CARBON STEEL PER A36 MILL FINISH</t>
  </si>
  <si>
    <t>BAR FLAT 1 1/2" X 1/4" HR CARBON STEEL PER A36 MILL FINISH</t>
  </si>
  <si>
    <t>BAR FLAT 1" X 1/4" HR CARBON STEEL PER A36 MILL FINISH</t>
  </si>
  <si>
    <t>BAR FLAT 2" X 3/16" HR CARBON STEEL PER A36 MILL FINISH</t>
  </si>
  <si>
    <t>BAR FLAT 1 1/2" X 3/16" HR CARBON STEEL PER A36 MILL FINISH</t>
  </si>
  <si>
    <t>BAR FLAT 1" X 3/16" HR CARBON STEEL PER A36 MILL FINISH</t>
  </si>
  <si>
    <t>BAR FLAT 3/4" X 3/16" HR CARBON STEEL PER A36 MILL FINISH</t>
  </si>
  <si>
    <t>BAR FLAT 2" X 1/8" HR CARBON STEEL PER A36 MILL FINISH</t>
  </si>
  <si>
    <t>BAR SQ 1 1/4" CF-1018 CARBON STEEL PER A108 MILL FINISH</t>
  </si>
  <si>
    <t>BAR SQ 1" CF-1018 CARBON STEEL PER A108 MILL FINISH</t>
  </si>
  <si>
    <t>BAR SQ 7/8" CF-1018 CARBON STEEL PER A108 MILL FINISH</t>
  </si>
  <si>
    <t>BAR SQ 3/4" CF-1018 CARBON STEEL PER A108 MILL FINISH</t>
  </si>
  <si>
    <t>BAR SQ 5/8" CF-1018 CARBON STEEL PER A108 MILL FINISH</t>
  </si>
  <si>
    <t>BAR SQ 1/2" CF-1018 CARBON STEEL PER A108 MILL FINISH</t>
  </si>
  <si>
    <t>BAR SQ 3/8" CF-1018 CARBON STEEL PER A108 MILL FINISH</t>
  </si>
  <si>
    <t>BAR SQ 5/16" CF-1018 CARBON STEEL PER A108 MILL FINISH</t>
  </si>
  <si>
    <t>BAR SQ 1/4" CF-1018 CARBON STEEL PER A108 MILL FINISH</t>
  </si>
  <si>
    <t>BAR SQ 3/16" CF-1018 CARBON STEEL PER A108 MILL FINISH</t>
  </si>
  <si>
    <t>BAR SQ 1 1/4" HR-1045 CARBON STEEL PER A36 MILL FINISH</t>
  </si>
  <si>
    <t>BAR SQ 1" HR-1045 CARBON STEEL PER A36 MILL FINISH</t>
  </si>
  <si>
    <t>BAR SQ 7/8" HR-1045 CARBON STEEL PER A36 MILL FINISH</t>
  </si>
  <si>
    <t>BAR SQ 3/4" HR-1045 CARBON STEEL PER A36 MILL FINISH</t>
  </si>
  <si>
    <t>BAR SQ 5/8" HR-1045 CARBON STEEL PER A36 MILL FINISH</t>
  </si>
  <si>
    <t>BAR SQ 1/2" HR-1045 CARBON STEEL PER A36 MILL FINISH</t>
  </si>
  <si>
    <t>BAR SQ 3/8" HR-1045 CARBON STEEL PER A36 MILL FINISH</t>
  </si>
  <si>
    <t>BAR SQ 5/16" HR-1045 CARBON STEEL PER A36 MILL FINISH</t>
  </si>
  <si>
    <t>BAR SQ 1/4" HR-1045 CARBON STEEL PER A36 MILL FINISH</t>
  </si>
  <si>
    <t>BAR SQ 3/16" HR-1045 CARBON STEEL PER A36 MILL FINISH</t>
  </si>
  <si>
    <t>BAR RD Ø6 7/16" OD CF-1045 CARBON STEEL PER A108 MILL FINISH</t>
  </si>
  <si>
    <t>ROUGH TURNED, TAGGING INFO. SHALL BE CLEARLY LEGIBLE &amp; SHALL INCL. APPLICABLE DATA THAT FOLLOWS: SIZE, TYPE, GRADE, &amp; ASTM NO's.</t>
  </si>
  <si>
    <t>BAR RD Ø6 7/16" OD HR-1045 CARBON STEEL PER A576 MILL FINISH</t>
  </si>
  <si>
    <t>BAR RD Ø6 7/16" OD CF-1018 CARBON STEEL PER A108 MILL FINISH</t>
  </si>
  <si>
    <t>BAR RD Ø6 7/16" OD HR-1018 CARBON STEEL PER A576 MILL FINISH</t>
  </si>
  <si>
    <t>BAR RD Ø8 3/4" OD CF-1045 CARBON STEEL PER A108 MILL FINISH</t>
  </si>
  <si>
    <t>BAR RD Ø8 1/2" OD CF-1045 CARBON STEEL PER A108 MILL FINISH</t>
  </si>
  <si>
    <t>BAR RD Ø8 1/4" OD CF-1045 CARBON STEEL PER A108 MILL FINISH</t>
  </si>
  <si>
    <t>BAR RD Ø8" OD CF-1045 CARBON STEEL PER A108 MILL FINISH</t>
  </si>
  <si>
    <t>BAR RD Ø8 3/4" OD HR-1045 CARBON STEEL PER A576 MILL FINISH</t>
  </si>
  <si>
    <t>BAR RD Ø8 1/2" OD HR-1045 CARBON STEEL PER A576 MILL FINISH</t>
  </si>
  <si>
    <t>BAR RD Ø8 1/4" OD HR-1045 CARBON STEEL PER A576 MILL FINISH</t>
  </si>
  <si>
    <t>BAR RD Ø8" OD HR-1045 CARBON STEEL PER A576 MILL FINISH</t>
  </si>
  <si>
    <t>BAR RD Ø8 3/4" OD CF-1018 CARBON STEEL PER A108 MILL FINISH</t>
  </si>
  <si>
    <t>BAR RD Ø8 1/2" OD CF-1018 CARBON STEEL PER A108 MILL FINISH</t>
  </si>
  <si>
    <t>BAR RD Ø8 1/4" OD CF-1018 CARBON STEEL PER A108 MILL FINISH</t>
  </si>
  <si>
    <t>BAR RD Ø8" OD CF-1018 CARBON STEEL PER A108 MILL FINISH</t>
  </si>
  <si>
    <t>BAR RD Ø8 3/4" OD HR-1018 CARBON STEEL PER A576 MILL FINISH</t>
  </si>
  <si>
    <t>BAR RD Ø8 1/2" OD HR-1018 CARBON STEEL PER A576 MILL FINISH</t>
  </si>
  <si>
    <t>BAR RD Ø8 1/4" OD HR-1018 CARBON STEEL PER A576 MILL FINISH</t>
  </si>
  <si>
    <t>BAR RD Ø8" OD HR-1018 CARBON STEEL PER A576 MILL FINISH</t>
  </si>
  <si>
    <t>BAR RD Ø7 3/4" OD CF-1045 CARBON STEEL PER A108 MILL FINISH</t>
  </si>
  <si>
    <t>BAR RD Ø7 1/2" OD CF-1045 CARBON STEEL PER A108 MILL FINISH</t>
  </si>
  <si>
    <t>BAR RD Ø7 1/4" OD CF-1045 CARBON STEEL PER A108 MILL FINISH</t>
  </si>
  <si>
    <t>BAR RD Ø7" OD CF-1045 CARBON STEEL PER A108 MILL FINISH</t>
  </si>
  <si>
    <t>BAR RD Ø7 3/4" OD HR-1045 CARBON STEEL PER A576 MILL FINISH</t>
  </si>
  <si>
    <t>BAR RD Ø7 1/2" OD HR-1045 CARBON STEEL PER A576 MILL FINISH</t>
  </si>
  <si>
    <t>BAR RD Ø7 1/4" OD HR-1045 CARBON STEEL PER A576 MILL FINISH</t>
  </si>
  <si>
    <t>BAR RD Ø7" OD HR-1045 CARBON STEEL PER A576 MILL FINISH</t>
  </si>
  <si>
    <t>BAR RD Ø7 3/4" OD CF-1018 CARBON STEEL PER A108 MILL FINISH</t>
  </si>
  <si>
    <t>BAR RD Ø7 1/2" OD CF-1018 CARBON STEEL PER A108 MILL FINISH</t>
  </si>
  <si>
    <t>BAR RD Ø7 1/4" OD CF-1018 CARBON STEEL PER A108 MILL FINISH</t>
  </si>
  <si>
    <t>BAR RD Ø7" OD CF-1018 CARBON STEEL PER A108 MILL FINISH</t>
  </si>
  <si>
    <t>PENNSYLVANIA STEEL COMPANY INC</t>
  </si>
  <si>
    <t>BAR RD Ø7 3/4" OD HR-1018 CARBON STEEL PER A576 MILL FINISH</t>
  </si>
  <si>
    <t>BAR RD Ø7 1/2" OD HR-1018 CARBON STEEL PER A576 MILL FINISH</t>
  </si>
  <si>
    <t>BAR RD Ø7 1/4" OD HR-1018 CARBON STEEL PER A576 MILL FINISH</t>
  </si>
  <si>
    <t>BAR RD Ø7" OD HR-1018 CARBON STEEL PER A576 MILL FINISH</t>
  </si>
  <si>
    <t>BAR RD Ø6 3/4" OD CF-1045 CARBON STEEL PER A108 MILL FINISH</t>
  </si>
  <si>
    <t>BAR RD Ø6 1/2" OD CF-1045 CARBON STEEL PER A108 MILL FINISH</t>
  </si>
  <si>
    <t>BAR RD Ø6 1/4" OD CF-1045 CARBON STEEL PER A108 MILL FINISH</t>
  </si>
  <si>
    <t>BAR RD Ø6" OD CF-1045 CARBON STEEL PER A108 MILL FINISH</t>
  </si>
  <si>
    <t>BAR RD Ø6 3/4" OD HR-1045 CARBON STEEL PER A576 MILL FINISH</t>
  </si>
  <si>
    <t>BAR RD Ø6 1/2" OD HR-1045 CARBON STEEL PER A576 MILL FINISH</t>
  </si>
  <si>
    <t>BAR RD Ø6 1/4" OD HR-1045 CARBON STEEL PER A576 MILL FINISH</t>
  </si>
  <si>
    <t>BAR RD Ø6" OD HR-1045 CARBON STEEL PER A576 MILL FINISH</t>
  </si>
  <si>
    <t>BAR RD Ø6 3/4" OD CF-1018 CARBON STEEL PER A108 MILL FINISH</t>
  </si>
  <si>
    <t>BAR RD Ø6 1/2" OD CF-1018 CARBON STEEL PER A108 MILL FINISH</t>
  </si>
  <si>
    <t>BAR RD Ø6 1/4" OD CF-1018 CARBON STEEL PER A108 MILL FINISH</t>
  </si>
  <si>
    <t>BAR RD Ø6" OD CF-1018 CARBON STEEL PER A108 MILL FINISH</t>
  </si>
  <si>
    <t>BAR RD Ø6 3/4" OD HR-1018 CARBON STEEL PER A576 MILL FINISH</t>
  </si>
  <si>
    <t>BAR RD Ø6 1/2" OD HR-1018 CARBON STEEL PER A576 MILL FINISH</t>
  </si>
  <si>
    <t>BAR RD Ø6 1/4" OD HR-1018 CARBON STEEL PER A576 MILL FINISH</t>
  </si>
  <si>
    <t>BAR RD Ø6" OD HR-1018 CARBON STEEL PER A576 MILL FINISH</t>
  </si>
  <si>
    <t>BAR RD Ø5 3/4" OD CF-1045 CARBON STEEL PER A108 MILL FINISH</t>
  </si>
  <si>
    <t>BAR RD Ø5 1/2" OD CF-1045 CARBON STEEL PER A108 MILL FINISH</t>
  </si>
  <si>
    <t>BAR RD Ø5 1/4" OD CF-1045 CARBON STEEL PER A108 MILL FINISH</t>
  </si>
  <si>
    <t>BAR RD Ø5" OD CF-1045 CARBON STEEL PER A108 MILL FINISH</t>
  </si>
  <si>
    <t>BAR RD Ø5 3/4" OD HR-1045 CARBON STEEL PER A576 MILL FINISH</t>
  </si>
  <si>
    <t>BAR RD Ø5 1/2" OD HR-1045 CARBON STEEL PER A576 MILL FINISH</t>
  </si>
  <si>
    <t>BAR RD Ø5 1/4" OD HR-1045 CARBON STEEL PER A576 MILL FINISH</t>
  </si>
  <si>
    <t>BAR RD Ø5" OD HR-1045 CARBON STEEL PER A576 MILL FINISH</t>
  </si>
  <si>
    <t>BAR RD Ø5 3/4" OD CF-1018 CARBON STEEL PER A108 MILL FINISH</t>
  </si>
  <si>
    <t>BAR RD Ø5 1/2" OD CF-1018 CARBON STEEL PER A108 MILL FINISH</t>
  </si>
  <si>
    <t>BAR RD Ø5 1/4" OD CF-1018 CARBON STEEL PER A108 MILL FINISH</t>
  </si>
  <si>
    <t>BAR RD Ø5" OD CF-1018 CARBON STEEL PER A108 MILL FINISH</t>
  </si>
  <si>
    <t>BAR RD Ø5 3/4" OD HR-1018 CARBON STEEL PER A576 MILL FINISH</t>
  </si>
  <si>
    <t>BAR RD Ø5 1/2" OD HR-1018 CARBON STEEL PER A576 MILL FINISH</t>
  </si>
  <si>
    <t>BAR RD Ø5 1/4" OD HR-1018 CARBON STEEL PER A576 MILL FINISH</t>
  </si>
  <si>
    <t>BAR RD Ø5" OD HR-1018 CARBON STEEL PER A576 MILL FINISH</t>
  </si>
  <si>
    <t>BAR RD Ø4 15/16" OD CF-1045 CARBON STEEL PER A108 MILL FINISH</t>
  </si>
  <si>
    <t>BAR RD Ø4 3/4" OD CF-1045 CARBON STEEL PER A108 MILL FINISH</t>
  </si>
  <si>
    <t>BAR RD Ø4 5/8" OD CF-1045 CARBON STEEL PER A108 MILL FINISH</t>
  </si>
  <si>
    <t>BAR RD Ø4 1/2" OD CF-1045 CARBON STEEL PER A108 MILL FINISH</t>
  </si>
  <si>
    <t>BAR RD Ø4 7/16" OD CF-1045 CARBON STEEL PER A108 MILL FINISH</t>
  </si>
  <si>
    <t>BAR RD Ø4 5/16" OD CF-1045 CARBON STEEL PER A108 MILL FINISH</t>
  </si>
  <si>
    <t>BAR RD Ø4 3/8" OD CF-1045 CARBON STEEL PER A108 MILL FINISH</t>
  </si>
  <si>
    <t>BAR RD Ø4 1/4" OD CF-1045 CARBON STEEL PER A108 MILL FINISH</t>
  </si>
  <si>
    <t>BAR RD Ø4 1/8" OD CF-1045 CARBON STEEL PER A108 MILL FINISH</t>
  </si>
  <si>
    <t>BAR RD Ø4" OD CF-1045 CARBON STEEL PER A108 MILL FINISH</t>
  </si>
  <si>
    <t>BAR RD Ø4 15/16" OD HR-1045 CARBON STEEL PER A576 MILL FINISH</t>
  </si>
  <si>
    <t>BAR RD Ø4 3/4" OD HR-1045 CARBON STEEL PER A576 MILL FINISH</t>
  </si>
  <si>
    <t>BAR RD Ø4 5/8" OD HR-1045 CARBON STEEL PER A576 MILL FINISH</t>
  </si>
  <si>
    <t>BAR RD Ø4 1/2" OD HR-1045 CARBON STEEL PER A576 MILL FINISH</t>
  </si>
  <si>
    <t>BAR RD Ø4 7/16" OD HR-1045 CARBON STEEL PER A576 MILL FINISH</t>
  </si>
  <si>
    <t>BAR RD Ø4 5/16" OD HR-1045 CARBON STEEL PER A576 MILL FINISH</t>
  </si>
  <si>
    <t>BAR RD Ø4 3/8" OD HR-1045 CARBON STEEL PER A576 MILL FINISH</t>
  </si>
  <si>
    <t>BAR RD Ø4 1/4" OD HR-1045 CARBON STEEL PER A576 MILL FINISH</t>
  </si>
  <si>
    <t>BAR RD Ø4 1/8" OD HR-1045 CARBON STEEL PER A576 MILL FINISH</t>
  </si>
  <si>
    <t>BAR RD Ø4" OD HR-1045 CARBON STEEL PER A576 MILL FINISH</t>
  </si>
  <si>
    <t>BAR RD Ø4 15/16" OD CF-1018 CARBON STEEL PER A108 MILL FINISH</t>
  </si>
  <si>
    <t>BAR RD Ø4 3/4" OD CF-1018 CARBON STEEL PER A108 MILL FINISH</t>
  </si>
  <si>
    <t>BAR RD Ø4 5/8" OD CF-1018 CARBON STEEL PER A108 MILL FINISH</t>
  </si>
  <si>
    <t>BAR RD Ø4 1/2" OD CF-1018 CARBON STEEL PER A108 MILL FINISH</t>
  </si>
  <si>
    <t>BAR RD Ø4 7/16" OD CF-1018 CARBON STEEL PER A108 MILL FINISH</t>
  </si>
  <si>
    <t>BAR RD Ø4 5/16" OD CF-1018 CARBON STEEL PER A108 MILL FINISH</t>
  </si>
  <si>
    <t>BAR RD Ø4 3/8" OD CF-1018 CARBON STEEL PER A108 MILL FINISH</t>
  </si>
  <si>
    <t>BAR RD Ø4 1/4" OD CF-1018 CARBON STEEL PER A108 MILL FINISH</t>
  </si>
  <si>
    <t>BAR RD Ø4 1/8" OD CF-1018 CARBON STEEL PER A108 MILL FINISH</t>
  </si>
  <si>
    <t>BAR RD Ø4" OD CF-1018 CARBON STEEL PER A108 MILL FINISH</t>
  </si>
  <si>
    <t>BAR RD Ø4 15/16" OD HR-1018 CARBON STEEL PER A576 MILL FINISH</t>
  </si>
  <si>
    <t>BAR RD Ø4 3/4" OD HR-1018 CARBON STEEL PER A576 MILL FINISH</t>
  </si>
  <si>
    <t>BAR RD Ø4 5/8" OD HR-1018 CARBON STEEL PER A576 MILL FINISH</t>
  </si>
  <si>
    <t>BAR RD Ø4 1/2" OD HR-1018 CARBON STEEL PER A576 MILL FINISH</t>
  </si>
  <si>
    <t>BAR RD Ø4 7/16" OD HR-1018 CARBON STEEL PER A576 MILL FINISH</t>
  </si>
  <si>
    <t>BAR RD Ø4 5/16" OD HR-1018 CARBON STEEL PER A576 MILL FINISH</t>
  </si>
  <si>
    <t>BAR RD Ø4 3/8" OD HR-1018 CARBON STEEL PER A576 MILL FINISH</t>
  </si>
  <si>
    <t>BAR RD Ø4 1/4" OD HR-1018 CARBON STEEL PER A576 MILL FINISH</t>
  </si>
  <si>
    <t>BAR RD Ø4 1/8" OD HR-1018 CARBON STEEL PER A576 MILL FINISH</t>
  </si>
  <si>
    <t>BAR RD Ø4" OD HR-1018 CARBON STEEL PER A576 MILL FINISH</t>
  </si>
  <si>
    <t>BAR RD Ø3 15/16" OD CF-1045 CARBON STEEL PER A108 MILL FINISH</t>
  </si>
  <si>
    <t>BAR RD Ø3 3/4" OD CF-1045 CARBON STEEL PER A108 MILL FINISH</t>
  </si>
  <si>
    <t>BAR RD Ø3 5/8" OD CF-1045 CARBON STEEL PER A108 MILL FINISH</t>
  </si>
  <si>
    <t>BAR RD Ø3 1/2" OD CF-1045 CARBON STEEL PER A108 MILL FINISH</t>
  </si>
  <si>
    <t>BAR RD Ø3 7/16" OD CF-1045 CARBON STEEL PER A108 MILL FINISH</t>
  </si>
  <si>
    <t>BAR RD Ø3 5/16" OD CF-1045 CARBON STEEL PER A108 MILL FINISH</t>
  </si>
  <si>
    <t>BAR RD Ø3 3/8" OD CF-1045 CARBON STEEL PER A108 MILL FINISH</t>
  </si>
  <si>
    <t>BAR RD Ø3 1/4" OD CF-1045 CARBON STEEL PER A108 MILL FINISH</t>
  </si>
  <si>
    <t>BAR RD Ø3 1/8" OD CF-1045 CARBON STEEL PER A108 MILL FINISH</t>
  </si>
  <si>
    <t>BAR RD Ø3" OD CF-1045 CARBON STEEL PER A108 MILL FINISH</t>
  </si>
  <si>
    <t>BAR RD Ø3 15/16" OD HR-1045 CARBON STEEL PER A576 MILL FINISH</t>
  </si>
  <si>
    <t>BAR RD Ø3 3/4" OD HR-1045 CARBON STEEL PER A576 MILL FINISH</t>
  </si>
  <si>
    <t>BAR RD Ø3 5/8" OD HR-1045 CARBON STEEL PER A576 MILL FINISH</t>
  </si>
  <si>
    <t>BAR RD Ø3 1/2" OD HR-1045 CARBON STEEL PER A576 MILL FINISH</t>
  </si>
  <si>
    <t>BAR RD Ø3 7/16" OD HR-1045 CARBON STEEL PER A576 MILL FINISH</t>
  </si>
  <si>
    <t>BAR RD Ø3 5/16" OD HR-1045 CARBON STEEL PER A576 MILL FINISH</t>
  </si>
  <si>
    <t>BAR RD Ø3 3/8" OD HR-1045 CARBON STEEL PER A576 MILL FINISH</t>
  </si>
  <si>
    <t>BAR RD Ø3 1/4" OD HR-1045 CARBON STEEL PER A576 MILL FINISH</t>
  </si>
  <si>
    <t>BAR RD Ø3 1/8" OD HR-1045 CARBON STEEL PER A576 MILL FINISH</t>
  </si>
  <si>
    <t>BAR RD Ø3" OD HR-1045 CARBON STEEL PER A576 MILL FINISH</t>
  </si>
  <si>
    <t>BAR RD Ø3 15/16" OD CF-1018 CARBON STEEL PER A108 MILL FINISH</t>
  </si>
  <si>
    <t>BAR RD Ø3 3/4" OD CF-1018 CARBON STEEL PER A108 MILL FINISH</t>
  </si>
  <si>
    <t>BAR RD Ø3 5/8" OD CF-1018 CARBON STEEL PER A108 MILL FINISH</t>
  </si>
  <si>
    <t>BAR RD Ø3 1/2" OD CF-1018 CARBON STEEL PER A108 MILL FINISH</t>
  </si>
  <si>
    <t>BAR RD Ø3 7/16" OD CF-1018 CARBON STEEL PER A108 MILL FINISH</t>
  </si>
  <si>
    <t>BAR RD Ø3 5/16" OD CF-1018 CARBON STEEL PER A108 MILL FINISH</t>
  </si>
  <si>
    <t>BAR RD Ø3 3/8" OD CF-1018 CARBON STEEL PER A108 MILL FINISH</t>
  </si>
  <si>
    <t>BAR RD Ø3 1/4" OD CF-1018 CARBON STEEL PER A108 MILL FINISH</t>
  </si>
  <si>
    <t>BAR RD Ø3 1/8" OD CF-1018 CARBON STEEL PER A108 MILL FINISH</t>
  </si>
  <si>
    <t>BAR RD Ø3" OD CF-1018 CARBON STEEL PER A108 MILL FINISH</t>
  </si>
  <si>
    <t>BAR RD Ø3 15/16" OD HR-1018 CARBON STEEL PER A576 MILL FINISH</t>
  </si>
  <si>
    <t>BAR RD Ø3 3/4" OD HR-1018 CARBON STEEL PER A576 MILL FINISH</t>
  </si>
  <si>
    <t>BAR RD Ø3 5/8" OD HR-1018 CARBON STEEL PER A576 MILL FINISH</t>
  </si>
  <si>
    <t>BAR RD Ø3 1/2" OD HR-1018 CARBON STEEL PER A576 MILL FINISH</t>
  </si>
  <si>
    <t>BAR RD Ø3 7/16" OD HR-1018 CARBON STEEL PER A576 MILL FINISH</t>
  </si>
  <si>
    <t>BAR RD Ø3 5/16" OD HR-1018 CARBON STEEL PER A576 MILL FINISH</t>
  </si>
  <si>
    <t>BAR RD Ø3 3/8" OD HR-1018 CARBON STEEL PER A576 MILL FINISH</t>
  </si>
  <si>
    <t>BAR RD Ø3 1/4" OD HR-1018 CARBON STEEL PER A576 MILL FINISH</t>
  </si>
  <si>
    <t>BAR RD Ø3 1/8" OD HR-1018 CARBON STEEL PER A576 MILL FINISH</t>
  </si>
  <si>
    <t>BAR RD Ø3" OD HR-1018 CARBON STEEL PER A576 MILL FINISH</t>
  </si>
  <si>
    <t>BAR RD Ø2 15/16" OD CF-1045 CARBON STEEL PER A108 MILL FINISH</t>
  </si>
  <si>
    <t>BAR RD Ø2 3/4" OD CF-1045 CARBON STEEL PER A108 MILL FINISH</t>
  </si>
  <si>
    <t>BAR RD Ø2 5/8" OD CF-1045 CARBON STEEL PER A108 MILL FINISH</t>
  </si>
  <si>
    <t>BAR RD Ø2 1/2" OD CF-1045 CARBON STEEL PER A108 MILL FINISH</t>
  </si>
  <si>
    <t>BAR RD Ø2 7/16" OD CF-1045 CARBON STEEL PER A108 MILL FINISH</t>
  </si>
  <si>
    <t>BAR RD Ø2 5/16" OD CF-1045 CARBON STEEL PER A108 MILL FINISH</t>
  </si>
  <si>
    <t>BAR RD Ø2 3/8" OD CF-1045 CARBON STEEL PER A108 MILL FINISH</t>
  </si>
  <si>
    <t>BAR RD Ø2 1/4" OD CF-1045 CARBON STEEL PER A108 MILL FINISH</t>
  </si>
  <si>
    <t>BAR RD Ø2 1/8" OD CF-1045 CARBON STEEL PER A108 MILL FINISH</t>
  </si>
  <si>
    <t>BAR RD Ø2" OD CF-1045 CARBON STEEL PER A108 MILL FINISH</t>
  </si>
  <si>
    <t>BAR RD Ø2 15/16" OD HR-1045 CARBON STEEL PER A576 MILL FINISH</t>
  </si>
  <si>
    <t>BAR RD Ø2 3/4" OD HR-1045 CARBON STEEL PER A576 MILL FINISH</t>
  </si>
  <si>
    <t>BAR RD Ø2 5/8" OD HR-1045 CARBON STEEL PER A576 MILL FINISH</t>
  </si>
  <si>
    <t>BAR RD Ø2 1/2" OD HR-1045 CARBON STEEL PER A576 MILL FINISH</t>
  </si>
  <si>
    <t>BAR RD Ø2 7/16" OD HR-1045 CARBON STEEL PER A576 MILL FINISH</t>
  </si>
  <si>
    <t>BAR RD Ø2 5/16" OD HR-1045 CARBON STEEL PER A576 MILL FINISH</t>
  </si>
  <si>
    <t>BAR RD Ø2 3/8" OD HR-1045 CARBON STEEL PER A576 MILL FINISH</t>
  </si>
  <si>
    <t>BAR RD Ø2 1/4" OD HR-1045 CARBON STEEL PER A576 MILL FINISH</t>
  </si>
  <si>
    <t>BAR RD Ø2 1/8" OD HR-1045 CARBON STEEL PER A576 MILL FINISH</t>
  </si>
  <si>
    <t>BAR RD Ø2" OD HR-1045 CARBON STEEL PER A576 MILL FINISH</t>
  </si>
  <si>
    <t>BAR RD Ø2 15/16" OD CF-1018 CARBON STEEL PER A108 MILL FINISH</t>
  </si>
  <si>
    <t>BAR RD Ø2 3/4" OD CF-1018 CARBON STEEL PER A108 MILL FINISH</t>
  </si>
  <si>
    <t>BAR RD Ø2 5/8" OD CF-1018 CARBON STEEL PER A108 MILL FINISH</t>
  </si>
  <si>
    <t>BAR RD Ø2 1/2" OD CF-1018 CARBON STEEL PER A108 MILL FINISH</t>
  </si>
  <si>
    <t>BAR RD Ø2 7/16" OD CF-1018 CARBON STEEL PER A108 MILL FINISH</t>
  </si>
  <si>
    <t>BAR RD Ø2 5/16" OD CF-1018 CARBON STEEL PER A108 MILL FINISH</t>
  </si>
  <si>
    <t>BAR RD Ø2 3/8" OD CF-1018 CARBON STEEL PER A108 MILL FINISH</t>
  </si>
  <si>
    <t>BAR RD Ø2 1/4" OD CF-1018 CARBON STEEL PER A108 MILL FINISH</t>
  </si>
  <si>
    <t>BAR RD Ø2 1/8" OD CF-1018 CARBON STEEL PER A108 MILL FINISH</t>
  </si>
  <si>
    <t>BAR RD Ø2" OD CF-1018 CARBON STEEL PER A108 MILL FINISH</t>
  </si>
  <si>
    <t>BAR RD Ø2 15/16" OD HR-1018 CARBON STEEL PER A576 MILL FINISH</t>
  </si>
  <si>
    <t>BAR RD Ø2 3/4" OD HR-1018 CARBON STEEL PER A576 MILL FINISH</t>
  </si>
  <si>
    <t>BAR RD Ø2 5/8" OD HR-1018 CARBON STEEL PER A576 MILL FINISH</t>
  </si>
  <si>
    <t>BAR RD Ø2 1/2" OD HR-1018 CARBON STEEL PER A576 MILL FINISH</t>
  </si>
  <si>
    <t>BAR RD Ø2 7/16" OD HR-1018 CARBON STEEL PER A576 MILL FINISH</t>
  </si>
  <si>
    <t>BAR RD Ø2 5/16" OD HR-1018 CARBON STEEL PER A576 MILL FINISH</t>
  </si>
  <si>
    <t>BAR RD Ø2 3/8" OD HR-1018 CARBON STEEL PER A576 MILL FINISH</t>
  </si>
  <si>
    <t>BAR RD Ø2 1/4" OD HR-1018 CARBON STEEL PER A576 MILL FINISH</t>
  </si>
  <si>
    <t>BAR RD Ø2 1/8" OD HR-1018 CARBON STEEL PER A576 MILL FINISH</t>
  </si>
  <si>
    <t>BAR RD Ø2" OD HR-1018 CARBON STEEL PER A576 MILL FINISH</t>
  </si>
  <si>
    <t>BAR RD Ø1 15/16" OD CF-1045 CARBON STEEL PER A108 MILL FINISH</t>
  </si>
  <si>
    <t>BAR RD Ø1 3/4" OD CF-1045 CARBON STEEL PER A108 MILL FINISH</t>
  </si>
  <si>
    <t>BAR RD Ø1 5/8" OD CF-1045 CARBON STEEL PER A108 MILL FINISH</t>
  </si>
  <si>
    <t>BAR RD Ø1 1/2" OD CF-1045 CARBON STEEL PER A108 MILL FINISH</t>
  </si>
  <si>
    <t>BAR RD Ø1 7/16" OD CF-1045 CARBON STEEL PER A108 MILL FINISH</t>
  </si>
  <si>
    <t>BAR RD Ø1 5/16" OD CF-1045 CARBON STEEL PER A108 MILL FINISH</t>
  </si>
  <si>
    <t>BAR RD Ø1 3/8" OD CF-1045 CARBON STEEL PER A108 MILL FINISH</t>
  </si>
  <si>
    <t>BAR RD Ø1 1/4" OD CF-1045 CARBON STEEL PER A108 MILL FINISH</t>
  </si>
  <si>
    <t>BAR RD Ø1 1/8" OD CF-1045 CARBON STEEL PER A108 MILL FINISH</t>
  </si>
  <si>
    <t>BAR RD Ø1" OD CF-1045 CARBON STEEL PER A108 MILL FINISH</t>
  </si>
  <si>
    <t>BAR RD Ø3/4" OD CF-1045 CARBON STEEL PER A108 MILL FINISH</t>
  </si>
  <si>
    <t>BAR RD Ø1/2" OD CF-1045 CARBON STEEL PER A108 MILL FINISH</t>
  </si>
  <si>
    <t>BAR RD Ø3/8" OD CF-1045 CARBON STEEL PER A108 MILL FINISH</t>
  </si>
  <si>
    <t>BAR RD Ø1/4" OD CF-1045 CARBON STEEL PER A108 MILL FINISH</t>
  </si>
  <si>
    <t>BAR RD Ø1 15/16" OD HR-1045 CARBON STEEL PER A576 MILL FINISH</t>
  </si>
  <si>
    <t>BAR RD Ø1 3/4" OD HR-1045 CARBON STEEL PER A576 MILL FINISH</t>
  </si>
  <si>
    <t>BAR RD Ø1 5/8" OD HR-1045 CARBON STEEL PER A576 MILL FINISH</t>
  </si>
  <si>
    <t>BAR RD Ø1 1/2" OD HR-1045 CARBON STEEL PER A576 MILL FINISH</t>
  </si>
  <si>
    <t>BAR RD Ø1 7/16" OD HR-1045 CARBON STEEL PER A576 MILL FINISH</t>
  </si>
  <si>
    <t>BAR RD Ø1 5/16" OD HR-1045 CARBON STEEL PER A576 MILL FINISH</t>
  </si>
  <si>
    <t>BAR RD Ø1 3/8" OD HR-1045 CARBON STEEL PER A576 MILL FINISH</t>
  </si>
  <si>
    <t>BAR RD Ø1 1/4" OD HR-1045 CARBON STEEL PER A576 MILL FINISH</t>
  </si>
  <si>
    <t>BAR RD Ø1 1/8" OD HR-1045 CARBON STEEL PER A576 MILL FINISH</t>
  </si>
  <si>
    <t>BAR RD Ø1" OD HR-1045 CARBON STEEL PER A576 MILL FINISH</t>
  </si>
  <si>
    <t>BAR RD Ø3/4" OD HR-1045 CARBON STEEL PER A576 MILL FINISH</t>
  </si>
  <si>
    <t>BAR RD Ø1/2" OD HR-1045 CARBON STEEL PER A576 MILL FINISH</t>
  </si>
  <si>
    <t>BAR RD Ø3/8" OD HR-1045 CARBON STEEL PER A576 MILL FINISH</t>
  </si>
  <si>
    <t>BAR RD Ø1/4" OD HR-1045 CARBON STEEL PER A576 MILL FINISH</t>
  </si>
  <si>
    <t>BAR RD Ø1 15/16" OD CF-1018 CARBON STEEL PER A108 MILL FINISH</t>
  </si>
  <si>
    <t>BAR RD Ø1 3/4" OD CF-1018 CARBON STEEL PER A108 MILL FINISH</t>
  </si>
  <si>
    <t>BAR RD Ø1 5/8" OD CF-1018 CARBON STEEL PER A108 MILL FINISH</t>
  </si>
  <si>
    <t>BAR RD Ø1 1/2" OD CF-1018 CARBON STEEL PER A108 MILL FINISH</t>
  </si>
  <si>
    <t>BAR RD Ø1 7/16" OD CF-1018 CARBON STEEL PER A108 MILL FINISH</t>
  </si>
  <si>
    <t>BAR RD Ø1 5/16" OD CF-1018 CARBON STEEL PER A108 MILL FINISH</t>
  </si>
  <si>
    <t>BAR RD Ø1 3/8" OD CF-1018 CARBON STEEL PER A108 MILL FINISH</t>
  </si>
  <si>
    <t>BAR RD Ø1 1/4" OD CF-1018 CARBON STEEL PER A108 MILL FINISH</t>
  </si>
  <si>
    <t>BAR RD Ø1 1/8" OD CF-1018 CARBON STEEL PER A108 MILL FINISH</t>
  </si>
  <si>
    <t>BAR RD Ø1" OD CF-1018 CARBON STEEL PER A108 MILL FINISH</t>
  </si>
  <si>
    <t>BAR RD Ø3/4" OD CF-1018 CARBON STEEL PER A108 MILL FINISH</t>
  </si>
  <si>
    <t>BAR RD Ø1/2" OD CF-1018 CARBON STEEL PER A108 MILL FINISH</t>
  </si>
  <si>
    <t>BAR RD Ø3/8" OD CF-1018 CARBON STEEL PER A108 MILL FINISH</t>
  </si>
  <si>
    <t>BAR RD Ø1/4" OD CF-1018 CARBON STEEL PER A108 MILL FINISH</t>
  </si>
  <si>
    <t>BAR RD Ø1 15/16" OD HR-1018 CARBON STEEL PER A576 MILL FINISH</t>
  </si>
  <si>
    <t>BAR RD Ø1 3/4" OD HR-1018 CARBON STEEL PER A576 MILL FINISH</t>
  </si>
  <si>
    <t>BAR RD Ø1 5/8" OD HR-1018 CARBON STEEL PER A576 MILL FINISH</t>
  </si>
  <si>
    <t>BAR RD Ø1 1/2" OD HR-1018 CARBON STEEL PER A576 MILL FINISH</t>
  </si>
  <si>
    <t>BAR RD Ø1 7/16" OD HR-1018 CARBON STEEL PER A576 MILL FINISH</t>
  </si>
  <si>
    <t>BAR RD Ø1 5/16" OD HR-1018 CARBON STEEL PER A576 MILL FINISH</t>
  </si>
  <si>
    <t>BAR RD Ø1 3/8" OD HR-1018 CARBON STEEL PER A576 MILL FINISH</t>
  </si>
  <si>
    <t>BAR RD Ø1 1/4" OD HR-1018 CARBON STEEL PER A576 MILL FINISH</t>
  </si>
  <si>
    <t>BAR RD Ø1 1/8" OD HR-1018 CARBON STEEL PER A576 MILL FINISH</t>
  </si>
  <si>
    <t>BAR RD Ø1" OD HR-1018 CARBON STEEL PER A576 MILL FINISH</t>
  </si>
  <si>
    <t>BAR RD Ø3/4" OD HR-1018 CARBON STEEL PER A576 MILL FINISH</t>
  </si>
  <si>
    <t>BAR RD Ø1/2" OD HR-1018 CARBON STEEL PER A576 MILL FINISH</t>
  </si>
  <si>
    <t>BAR RD Ø3/8" OD HR-1018 CARBON STEEL PER A576 MILL FINISH</t>
  </si>
  <si>
    <t>BAR RD Ø1/4" OD HR-1018 CARBON STEEL PER A576 MILL FINISH</t>
  </si>
  <si>
    <t>PIPE Ø24" NOM X .250" WALL SCH 10 CARBON STEEL PER A500 MILL FINISH</t>
  </si>
  <si>
    <t>WELDED. TAGGING INFO. SHALL BE CLEARLY LEGIBLE &amp; SHALL INCL. APPLICABLE DATA THAT FOLLOWS: SIZE, TYPE, GRADE, &amp; ASTM NO's. ENVR. ELEMENTS OR HNDLG, CARBON STL. BANDING MUST NOT CONTACT SS MAT'LS.</t>
  </si>
  <si>
    <t>PIPE Ø1 1/2" NOM X .145" SCH 40 CARBON STEEL PER A500 MILL FINISH</t>
  </si>
  <si>
    <t>PIPE Ø1 1/4" NOM X .140" SCH 40 CARBON STEEL PER A500 MILL FINISH</t>
  </si>
  <si>
    <t>PIPE Ø14" NOM X .375" WALL SCH STD CARBON STEEL PER A500 MILL FINISH</t>
  </si>
  <si>
    <t>PIPE Ø5" NOM X .250" WALL CARBON STEEL PER A500 MILL FINISH</t>
  </si>
  <si>
    <t>WELDED. TAGGING INFO. SHALL BE CLEARLY LEGIBLE &amp; SHALL INCL. APPLICABLE DATA THAT FOLLOWS: SIZE, TYPE, GRADE (GR. B), &amp; ASTM NO's. ENVR.</t>
  </si>
  <si>
    <t>PIPE Ø5" NOM X .375" WALL SCH 80 CARBON STEEL PER A500 MILL FINISH</t>
  </si>
  <si>
    <t>PIPE Ø5" NOM X .258" WALL SCH 40 CARBON STEEL PER A500 MILL FINISH</t>
  </si>
  <si>
    <t>PIPE Ø5" NOM X .134" WALL SCH 10 CARBON STEEL PER A500 MILL FINISH</t>
  </si>
  <si>
    <t>PIPE Ø4" NOM X .250" WALL CARBON STEEL PER A500 MILL FINISH</t>
  </si>
  <si>
    <t>PIPE Ø4" NOM X .337" WALL SCH 80 CARBON STEEL PER A500 MILL FINISH</t>
  </si>
  <si>
    <t>PIPE Ø4" NOM X .237" WALL SCH 40 CARBON STEEL PER A500 MILL FINISH</t>
  </si>
  <si>
    <t>PIPE Ø4" NOM X .120" WALL SCH 10 CARBON STEEL PER A500 MILL FINISH</t>
  </si>
  <si>
    <t>PIPE Ø3" NOM X .250" WALL CARBON STEEL PER A500 MILL FINISH</t>
  </si>
  <si>
    <t>PIPE Ø3" NOM X .300" WALL SCH 80 CARBON STEEL PER A500 MILL FINISH</t>
  </si>
  <si>
    <t>PIPE Ø3" NOM X .216" WALL SCH 40 CARBON STEEL PER A500 MILL FINISH</t>
  </si>
  <si>
    <t>PIPE Ø3" NOM X .120" WALL SCH 10 CARBON STEEL PER A500 MILL FINISH</t>
  </si>
  <si>
    <t>PIPE Ø2" NOM X .250" WALL SCH 20 CARBON STEEL PER A500 MILL FINISH</t>
  </si>
  <si>
    <t>PIPE Ø2" NOM X .218" WALL SCH 80 CARBON STEEL PER A500 MILL FINISH</t>
  </si>
  <si>
    <t>PIPE Ø2" NOM X .154" WALL SCH 40 CARBON STEEL PER A500 MILL FINISH</t>
  </si>
  <si>
    <t>PIPE Ø2" NOM X .109" WALL SCH 10 CARBON STEEL PER A500 MILL FINISH</t>
  </si>
  <si>
    <t>PIPE Ø10" NOM X .250" WALL CARBON STEEL PER A500 MILL FINISH</t>
  </si>
  <si>
    <t>PIPE Ø10" NOM X .500" WALL SCH XS CARBON STEEL PER A500 MILL FINISH</t>
  </si>
  <si>
    <t>PIPE Ø10" NOM X .365" WALL SCH STD CARBON STEEL PER A500 MILL FINISH</t>
  </si>
  <si>
    <t>PIPE Ø10" NOM X .165" WALL SCH 10S CARBON STEEL PER A500 MILL FINISH</t>
  </si>
  <si>
    <t>PIPE Ø8" NOM X .250" WALL CARBON STEEL PER A500 MILL FINISH</t>
  </si>
  <si>
    <t>PIPE Ø8" NOM X .500" WALL SCH 80 CARBON STEEL PER A500 MILL FINISH</t>
  </si>
  <si>
    <t>PIPE Ø8" NOM X .322" WALL SCH 40 CARBON STEEL PER A500 MILL FINISH</t>
  </si>
  <si>
    <t>PIPE Ø8" NOM X .148" WALL SCH 10 CARBON STEEL PER A500 MILL FINISH</t>
  </si>
  <si>
    <t>PIPE Ø6" NOM X .250" WALL CARBON STEEL PER A500 MILL FINISH</t>
  </si>
  <si>
    <t>PIPE Ø6" NOM X .432" WALL SCH 80 CARBON STEEL PER A500 MILL FINISH</t>
  </si>
  <si>
    <t>PIPE Ø6" NOM X .280" WALL SCH 40 CARBON STEEL PER A500 MILL FINISH</t>
  </si>
  <si>
    <t>PIPE Ø6" NOM X .134" WALL SCH 10 CARBON STEEL PER A500 MILL FINISH</t>
  </si>
  <si>
    <t>PIPE Ø5" NOM X .250" WALL CARBON STEEL PER A53 MILL FINISH</t>
  </si>
  <si>
    <t>WELDED. TAGGING INFO. SHALL BE CLEARLY LEGIBLE &amp; SHALL INCL. APPLICABLE DATA THAT FOLLOWS: SIZE, TYPE (TYPE F), GRADE (GR. B), &amp; ASTM NO's. ENVR.</t>
  </si>
  <si>
    <t>PIPE Ø5" NOM X .375" WALL SCH 80 CARBON STEEL PER A53 MILL FINISH</t>
  </si>
  <si>
    <t>PIPE Ø5" NOM X .258" WALL SCH 40 CARBON STEEL PER A53 MILL FINISH</t>
  </si>
  <si>
    <t>PIPE Ø5" NOM X .134" WALL SCH 10 CARBON STEEL PER A53 MILL FINISH</t>
  </si>
  <si>
    <t>PIPE Ø4" NOM X .250" WALL CARBON STEEL PER A53 MILL FINISH</t>
  </si>
  <si>
    <t>PIPE Ø4" NOM X .337" WALL SCH 80 CARBON STEEL PER A53 MILL FINISH</t>
  </si>
  <si>
    <t>PIPE Ø4" NOM X .237" WALL SCH 40 CARBON STEEL PER A53 MILL FINISH</t>
  </si>
  <si>
    <t>PIPE Ø4" NOM X .120" WALL SCH 10 CARBON STEEL PER A53 MILL FINISH</t>
  </si>
  <si>
    <t>PIPE Ø3" NOM X .250" WALL CARBON STEEL PER A53 MILL FINISH</t>
  </si>
  <si>
    <t>PIPE Ø3" NOM X .300" WALL SCH 80 CARBON STEEL PER A53 MILL FINISH</t>
  </si>
  <si>
    <t>PIPE Ø3" NOM X .216" WALL SCH 40 CARBON STEEL PER A53 MILL FINISH</t>
  </si>
  <si>
    <t>PIPE Ø3" NOM X .120" WALL SCH 10 CARBON STEEL PER A53 MILL FINISH</t>
  </si>
  <si>
    <t>PIPE Ø2" NOM X .250" WALL SCH 20 CARBON STEEL PER A53 MILL FINISH</t>
  </si>
  <si>
    <t>PIPE Ø2" NOM X .218" WALL SCH 80 CARBON STEEL PER A53 MILL FINISH</t>
  </si>
  <si>
    <t>PIPE Ø2" NOM X .154" WALL SCH 40 CARBON STEEL PER A53 MILL FINISH</t>
  </si>
  <si>
    <t>PIPE Ø2" NOM X .109" WALL SCH 10 CARBON STEEL PER A53 MILL FINISH</t>
  </si>
  <si>
    <t>PIPE Ø10" NOM X .250" WALL CARBON STEEL PER A53 MILL FINISH</t>
  </si>
  <si>
    <t>PIPE Ø10" NOM X .500" WALL SCH XS CARBON STEEL PER A53 MILL FINISH</t>
  </si>
  <si>
    <t>PIPE Ø10" NOM X .365" WALL SCH STD CARBON STEEL PER A53 MILL FINISH</t>
  </si>
  <si>
    <t>PIPE Ø10" NOM X .165" WALL SCH 10S CARBON STEEL PER A53 MILL FINISH</t>
  </si>
  <si>
    <t>PIPE Ø8" NOM X .250" WALL CARBON STEEL PER A53 MILL FINISH</t>
  </si>
  <si>
    <t>PIPE Ø8" NOM X .500" WALL SCH 80 CARBON STEEL PER A53 MILL FINISH</t>
  </si>
  <si>
    <t>PIPE Ø8" NOM X .322" WALL SCH 40 CARBON STEEL PER A53 MILL FINISH</t>
  </si>
  <si>
    <t>PIPE Ø8" NOM X .148" WALL SCH 10 CARBON STEEL PER A53 MILL FINISH</t>
  </si>
  <si>
    <t>PIPE Ø6" NOM X .250" WALL CARBON STEEL PER A53 MILL FINISH</t>
  </si>
  <si>
    <t>PIPE Ø6" NOM X .432" WALL SCH 80 CARBON STEEL PER A53 MILL FINISH</t>
  </si>
  <si>
    <t>PIPE Ø6" NOM X .280" WALL SCH 40 CARBON STEEL PER A53 MILL FINISH</t>
  </si>
  <si>
    <t>PIPE Ø6" NOM X .134" WALL SCH 10 CARBON STEEL PER A53 MILL FINISH</t>
  </si>
  <si>
    <t>PIPE Ø3" NOM X .216" WALL SCH 40, BOTH ENDS THREAED, COUPLING INLCUDED, CARBON STEEL PER A500 MILL FINISH</t>
  </si>
  <si>
    <t>PIPE Ø4" NOM X .237" WALL SCH 40, BOTH ENDS THREAED, COUPLING INLCUDED, CARBON STEEL PER A500 MILL FINISH</t>
  </si>
  <si>
    <t>PIPE Ø5" NOM X .258" WALL SCH 40, BOTH ENDS THREAED, COUPLING INLCUDED, CARBON STEEL PER A500 MILL FINISH</t>
  </si>
  <si>
    <t>PIPE Ø6" NOM X .280" WALL SCH 40, BOTH ENDS THREAED, COUPLING INLCUDED, CARBON STEEL PER A500 MILL FINISH</t>
  </si>
  <si>
    <t>TUBE T4" X 4" X 3/16" CARBON STEEL PER A500 MILL FINISH</t>
  </si>
  <si>
    <t>TAGGING INFO. SHALL BE CLEARLY LEGIBLE &amp; SHALL INCL. APPLICABLE DATA THAT FOLLOWS: SIZE, TYPE, GRADE (GR. B), &amp; ASTM NO's. ENVR.</t>
  </si>
  <si>
    <t>TUBE T6" X 4" X 1/4" CARBON STEEL PER A500 MILL FINISH</t>
  </si>
  <si>
    <t>TUBE T10" X 10" X 1/2" CARBON STEEL PER A500 MILL FINISH</t>
  </si>
  <si>
    <t>TUBE T8" X 8" X 1/2" CARBON STEEL PER A500 MILL FINISH</t>
  </si>
  <si>
    <t>TUBE T7" X 7" X 1/2" CARBON STEEL PER A500 MILL FINISH</t>
  </si>
  <si>
    <t>TUBE T6" X 6" X 1/2" CARBON STEEL PER A500 MILL FINISH</t>
  </si>
  <si>
    <t>TUBE T5" X 5" X 1/2" CARBON STEEL PER A500 MILL FINISH</t>
  </si>
  <si>
    <t>TUBE T4" X 4" X 1/2" CARBON STEEL PER A500 MILL FINISH</t>
  </si>
  <si>
    <t>TUBE T3" X 3" X 1/2" CARBON STEEL PER A500 MILL FINISH</t>
  </si>
  <si>
    <t>TUBE T10" X 10" X 3/8" CARBON STEEL PER A500 MILL FINISH</t>
  </si>
  <si>
    <t>TUBE T8" X 8" X 3/8" CARBON STEEL PER A500 MILL FINISH</t>
  </si>
  <si>
    <t>TUBE T7" X 7" X 3/8" CARBON STEEL PER A500 MILL FINISH</t>
  </si>
  <si>
    <t>TUBE T6" X 6" X 3/8" CARBON STEEL PER A500 MILL FINISH</t>
  </si>
  <si>
    <t>TUBE T5" X 5" X 3/8" CARBON STEEL PER A500 MILL FINISH</t>
  </si>
  <si>
    <t>TUBE T4" X 4" X 3/8" CARBON STEEL PER A500 MILL FINISH</t>
  </si>
  <si>
    <t>TUBE T3" X 3" X 3/8" CARBON STEEL PER A500 MILL FINISH</t>
  </si>
  <si>
    <t>TUBE T10" X 10" X 1/4" CARBON STEEL PER A500 MILL FINISH</t>
  </si>
  <si>
    <t>TUBE T8" X 8" X 1/4" CARBON STEEL PER A500 MILL FINISH</t>
  </si>
  <si>
    <t>TUBE T7" X 7" X 1/4" CARBON STEEL PER A500 MILL FINISH</t>
  </si>
  <si>
    <t>TUBE T5" X 5" X 1/4" CARBON STEEL PER A500 MILL FINISH</t>
  </si>
  <si>
    <t>TUBE T5" X 3" X 1/4" CARBON STEEL PER A500 MILL FINISH</t>
  </si>
  <si>
    <t>TUBE T4" X 2" X 1/4" CARBON STEEL PER A500 MILL FINISH</t>
  </si>
  <si>
    <t>TUBE T3" X 2" X 1/4" CARBON STEEL PER A500 MILL FINISH</t>
  </si>
  <si>
    <t>TUBE T6" X 6" X 1/4" CARBON STEEL PER A500 MILL FINISH</t>
  </si>
  <si>
    <t>TUBE T4" X 4" X 1/4" CARBON STEEL PER A500 MILL FINISH</t>
  </si>
  <si>
    <t>TUBE T3" X 3" X 1/4" CARBON STEEL PER A500 MILL FINISH</t>
  </si>
  <si>
    <t>TUBE T2 1/2" X 2 1/2" X 1/4" CARBON STEEL PER A500 MILL FINISH</t>
  </si>
  <si>
    <t>TUBE T2" X 2" X 1/4" CARBON STEEL PER A500 MILL FINISH</t>
  </si>
  <si>
    <t>TUBE T5" X 3" X .120" 11GA CARBON STEEL PER A500 MILL FINISH</t>
  </si>
  <si>
    <t>TUBE T4" X 2" X .120" 11GA CARBON STEEL PER A500 MILL FINISH</t>
  </si>
  <si>
    <t>TUBE T2" X 1" X .120" 11GA CARBON STEEL PER A500 MILL FINISH</t>
  </si>
  <si>
    <t>TUBE T4" X 4" X .120" 11GA CARBON STEEL PER A500 MILL FINISH</t>
  </si>
  <si>
    <t>TUBE T3" X 3" X .120" 11GA CARBON STEEL PER A500 MILL FINISH</t>
  </si>
  <si>
    <t>TUBE T2 1/2" X 2 1/2" X .120" 11GA CARBON STEEL PER A500 MILL FINISH</t>
  </si>
  <si>
    <t>TUBE T2" X 2" X .120" 11GA CARBON STEEL PER A500 MILL FINISH</t>
  </si>
  <si>
    <t>TUBE T1 1/2" X 1 1/2" X .120" 11GA CARBON STEEL PER A500 MILL FINISH</t>
  </si>
  <si>
    <t>BEAM W10" X 30.00 X 0.300" WEB CARBON STEEL PER A36 MILL FINISH</t>
  </si>
  <si>
    <t>OR EQUIVALENT TO: ASTM's A572 &amp; A992. TAGGING INFO. SHALL BE CLEARLY LEGIBLE &amp; SHALL INCL. APPLICABLE DATA THAT FOLLOWS: SIZE, TYPE, GRADE (GR. 50), &amp; ASTM NO's.</t>
  </si>
  <si>
    <t>BEAM W6" X 16.00 X 0.405" WEB CARBON STEEL PER A36 MILL FINISH</t>
  </si>
  <si>
    <t>OR EQUIVALENT TO: ASTM A572. TAGGING INFO. SHALL BE CLEARLY LEGIBLE &amp; SHALL INCL. APPLICABLE DATA THAT FOLLOWS: SIZE, TYPE, GRADE (GR. 50), &amp; ASTM NO's.</t>
  </si>
  <si>
    <t>BEAM W10" X 33.00 X 0.290" WEB CARBON STEEL PER A36 MILL FINISH</t>
  </si>
  <si>
    <t>BEAM W24" X 76.00 X 0.440" WEB CARBON STEEL PER A36 MILL FINISH</t>
  </si>
  <si>
    <t>BEAM W8" X 13.00 X 0.230" WEB CARBON STEEL PER A36 MILL FINISH</t>
  </si>
  <si>
    <t>BEAM W12" X 50.00 X 0.370" WEB CARBON STEEL PER A36 MILL FINISH</t>
  </si>
  <si>
    <t>BEAM W12" X 40.00 X 0.295" WEB CARBON STEEL PER A36 MILL FINISH</t>
  </si>
  <si>
    <t>BEAM W12" X 35.00 X 0.300" WEB CARBON STEEL PER A36 MILL FINISH</t>
  </si>
  <si>
    <t>BEAM W12" X 30.00 X 0.260" WEB CARBON STEEL PER A36 MILL FINISH</t>
  </si>
  <si>
    <t>BEAM W12" X 26.00 X 0.230" WEB CARBON STEEL PER A36 MILL FINISH</t>
  </si>
  <si>
    <t>BEAM W12" X 22.00 X 0.260" WEB CARBON STEEL PER A36 MILL FINISH</t>
  </si>
  <si>
    <t>BEAM W12" X 16.00 X 0.220" WEB CARBON STEEL PER A36 MILL FINISH</t>
  </si>
  <si>
    <t>BEAM W10" X 54.00 X 0.370" WEB CARBON STEEL PER A36 MILL FINISH</t>
  </si>
  <si>
    <t>BEAM W10" X 45.00 X 0.350" WEB CARBON STEEL PER A36 MILL FINISH</t>
  </si>
  <si>
    <t>BEAM W10" X 26.00 X 0.260" WEB CARBON STEEL PER A36 MILL FINISH</t>
  </si>
  <si>
    <t>BEAM W10" X 22.00 X 0.240" WEB CARBON STEEL PER A36 MILL FINISH</t>
  </si>
  <si>
    <t>BEAM W8" X 35.00 X 0.310" WEB CARBON STEEL PER A36 MILL FINISH</t>
  </si>
  <si>
    <t>BEAM W8" X 31.00 X 0.285" WEB CARBON STEEL PER A36 MILL FINISH</t>
  </si>
  <si>
    <t>BEAM W8" X 28.00 X 0.285" WEB CARBON STEEL PER A36 MILL FINISH</t>
  </si>
  <si>
    <t>BEAM W8" X 24.00 X 0.245" WEB CARBON STEEL PER A36 MILL FINISH</t>
  </si>
  <si>
    <t>BEAM W8" X 21.00 X 0.250" WEB CARBON STEEL PER A36 MILL FINISH</t>
  </si>
  <si>
    <t>BEAM W8" X 18.00 X 0.230" WEB CARBON STEEL PER A36 MILL FINISH</t>
  </si>
  <si>
    <t>BEAM W8" X 15.00 X 0.245" WEB CARBON STEEL PER A36 MILL FINISH</t>
  </si>
  <si>
    <t>BEAM W8" X 10.00 X 0.170" WEB CARBON STEEL PER A36 MILL FINISH</t>
  </si>
  <si>
    <t>BEAM W6" X 25.00 X 0.320" WEB CARBON STEEL PER A36 MILL FINISH</t>
  </si>
  <si>
    <t>BEAM W6" X 20.00 X 0.260" WEB CARBON STEEL PER A36 MILL FINISH</t>
  </si>
  <si>
    <t>BEAM W6" X 15.00 X 0.230" WEB CARBON STEEL PER A36 MILL FINISH</t>
  </si>
  <si>
    <t>BEAM W6" X 12.00 X 0.230" WEB CARBON STEEL PER A36 MILL FINISH</t>
  </si>
  <si>
    <t>BEAM W4" X 13.00 X 0.280" WEB CARBON STEEL PER A36 MILL FINISH</t>
  </si>
  <si>
    <t>CHANNEL C8" X 18.75 X 0.487" WEB CARBON STEEL PER A36 MILL FINISH</t>
  </si>
  <si>
    <t>CHANNEL MC18" X 42.70 X 0.450" WEB CARBON STEEL PER A36 MILL FINISH</t>
  </si>
  <si>
    <t>CHANNEL MC12" X 31.0 X 0.370" WEB CARBON STEEL PER A36 MILL FINISH</t>
  </si>
  <si>
    <t>CHANNEL MC10" X 25.0 X 0.380" WEB CARBON STEEL PER A36 MILL FINISH</t>
  </si>
  <si>
    <t>CHANNEL MC8" X 21.40 X 0.375" WEB CARBON STEEL PER A36 MILL FINISH</t>
  </si>
  <si>
    <t>CHANNEL MC6" X 16.30 X 0.375" WEB CARBON STEEL PER A36 MILL FINISH</t>
  </si>
  <si>
    <t>CHANNEL C15" X 33.90 X 0.400" WEB CARBON STEEL PER A36 MILL FINISH</t>
  </si>
  <si>
    <t>CHANNEL C12" X 25.00 X 0.387" WEB CARBON STEEL PER A36 MILL FINISH</t>
  </si>
  <si>
    <t>CHANNEL C12" X 20.70 X 0.282" WEB CARBON STEEL PER A36 MILL FINISH</t>
  </si>
  <si>
    <t>CHANNEL C10" X 15.30 X 0.240" WEB CARBON STEEL PER A36 MILL FINISH</t>
  </si>
  <si>
    <t>CHANNEL C9" X 15.00 X 0.285" WEB CARBON STEEL PER A36 MILL FINISH</t>
  </si>
  <si>
    <t>CHANNEL C9" X 13.40 X 0.233" WEB CARBON STEEL PER A36 MILL FINISH</t>
  </si>
  <si>
    <t>CHANNEL C8" X 13.75 X 0.303" WEB CARBON STEEL PER A36 MILL FINISH</t>
  </si>
  <si>
    <t>CHANNEL C8" X 11.50 X 0.220" WEB CARBON STEEL PER A36 MILL FINISH</t>
  </si>
  <si>
    <t>CHANNEL C7" X 9.80 X 0.210" WEB CARBON STEEL PER A36 MILL FINISH</t>
  </si>
  <si>
    <t>CHANNEL C6" X 13.00 X 0.437" WEB CARBON STEEL PER A36 MILL FINISH</t>
  </si>
  <si>
    <t>CHANNEL C6" X 10.50 X 0.314" WEB CARBON STEEL PER A36 MILL FINISH</t>
  </si>
  <si>
    <t>CHANNEL C6" X 8.20 X 0.200" WEB CARBON STEEL PER A36 MILL FINISH</t>
  </si>
  <si>
    <t>CHANNEL C5" X 9.00 X 0.325" WEB CARBON STEEL PER A36 MILL FINISH</t>
  </si>
  <si>
    <t>CHANNEL C5" X 6.70 X 0.190" WEB CARBON STEEL PER A36 MILL FINISH</t>
  </si>
  <si>
    <t>CHANNEL C4" X 7.25 X 0.321" WEB CARBON STEEL PER A36 MILL FINISH</t>
  </si>
  <si>
    <t>CHANNEL C4" X 5.40 X 0.184" WEB CARBON STEEL PER A36 MILL FINISH</t>
  </si>
  <si>
    <t>CHANNEL C3" X 5.00 X 0.258" WEB CARBON STEEL PER A36 MILL FINISH</t>
  </si>
  <si>
    <t>CHANNEL C3" X 4.10 X 0.170" WEB CARBON STEEL PER A36 MILL FINISH</t>
  </si>
  <si>
    <t>ANGLE L8" X 8" X 1/2" CARBON STEEL PER A36 MILL FINISH</t>
  </si>
  <si>
    <t>TAGGING INFO. SHALL BE CLEARLY LEGIBLE &amp; SHALL INCL. APPLICABLE DATA THAT FOLLOWS: SIZE, TYPE, GRADE, &amp; ASTM NO's. ENVR.</t>
  </si>
  <si>
    <t>ANGLE L8" X 6" X 1/2" CARBON STEEL PER A36 MILL FINISH</t>
  </si>
  <si>
    <t>ANGLE L8" X 4" X 1/2" CARBON STEEL PER A36 MILL FINISH</t>
  </si>
  <si>
    <t>ANGLE L6" X 6" X 1/2" CARBON STEEL PER A36 MILL FINISH</t>
  </si>
  <si>
    <t>ANGLE L6" X 5" X 1/2" CARBON STEEL PER A36 MILL FINISH</t>
  </si>
  <si>
    <t>ANGLE L6" X 4" X 1/2" CARBON STEEL PER A36 MILL FINISH</t>
  </si>
  <si>
    <t>ANGLE L6" X 3" X 1/2" CARBON STEEL PER A36 MILL FINISH</t>
  </si>
  <si>
    <t>ANGLE L5" X 5" X 1/2" CARBON STEEL PER A36 MILL FINISH</t>
  </si>
  <si>
    <t>ANGLE L5" X 3" X 1/2" CARBON STEEL PER A36 MILL FINISH</t>
  </si>
  <si>
    <t>ANGLE L4" X 4" X 1/2" CARBON STEEL PER A36 MILL FINISH</t>
  </si>
  <si>
    <t>ANGLE L4" X 3" X 1/2" CARBON STEEL PER A36 MILL FINISH</t>
  </si>
  <si>
    <t>ANGLE L3 1/2" X 3 1/2" X 1/2" CARBON STEEL PER A36 MILL FINISH</t>
  </si>
  <si>
    <t>ANGLE L3" X 3" X 1/2" CARBON STEEL PER A36 MILL FINISH</t>
  </si>
  <si>
    <t>ANGLE L3" X 2" X 1/2" CARBON STEEL PER A36 MILL FINISH</t>
  </si>
  <si>
    <t>ANGLE L3" X 1 1/2" X 1/2" CARBON STEEL PER A36 MILL FINISH</t>
  </si>
  <si>
    <t>ANGLE L2 1/2" X 2 1/2" X 1/2" CARBON STEEL PER A36 MILL FINISH</t>
  </si>
  <si>
    <t>ANGLE L2" X 2" X 1/2" CARBON STEEL PER A36 MILL FINISH</t>
  </si>
  <si>
    <t>ANGLE L2" X 1" X 1/2" CARBON STEEL PER A36 MILL FINISH</t>
  </si>
  <si>
    <t>ANGLE L8" X 8" X 3/8" CARBON STEEL PER A36 MILL FINISH</t>
  </si>
  <si>
    <t>ANGLE L8" X 6" X 3/8" CARBON STEEL PER A36 MILL FINISH</t>
  </si>
  <si>
    <t>ANGLE L8" X 4" X 3/8" CARBON STEEL PER A36 MILL FINISH</t>
  </si>
  <si>
    <t>ANGLE L6" X 6" X 3/8" CARBON STEEL PER A36 MILL FINISH</t>
  </si>
  <si>
    <t>ANGLE L6" X 5" X 3/8" CARBON STEEL PER A36 MILL FINISH</t>
  </si>
  <si>
    <t>ANGLE L6" X 4" X 3/8" CARBON STEEL PER A36 MILL FINISH</t>
  </si>
  <si>
    <t>ANGLE L6" X 3" X 3/8" CARBON STEEL PER A36 MILL FINISH</t>
  </si>
  <si>
    <t>ANGLE L5" X 5" X 3/8" CARBON STEEL PER A36 MILL FINISH</t>
  </si>
  <si>
    <t>ANGLE L5" X 3" X 3/8" CARBON STEEL PER A36 MILL FINISH</t>
  </si>
  <si>
    <t>ANGLE L4" X 4" X 3/8" CARBON STEEL PER A36 MILL FINISH</t>
  </si>
  <si>
    <t>ANGLE L4" X 3" X 3/8" CARBON STEEL PER A36 MILL FINISH</t>
  </si>
  <si>
    <t>ANGLE L3 1/2" X 3 1/2" X 3/8" CARBON STEEL PER A36 MILL FINISH</t>
  </si>
  <si>
    <t>ANGLE L3" X 3" X 3/8" CARBON STEEL PER A36 MILL FINISH</t>
  </si>
  <si>
    <t>ANGLE L3" X 2" X 3/8" CARBON STEEL PER A36 MILL FINISH</t>
  </si>
  <si>
    <t>ANGLE L3" X 1 1/2" X 3/8" CARBON STEEL PER A36 MILL FINISH</t>
  </si>
  <si>
    <t>ANGLE L2 1/2" X 2 1/2" X 3/8" CARBON STEEL PER A36 MILL FINISH</t>
  </si>
  <si>
    <t>ANGLE L2" X 2" X 3/8" CARBON STEEL PER A36 MILL FINISH</t>
  </si>
  <si>
    <t>ANGLE L2" X 1" X 3/8" CARBON STEEL PER A36 MILL FINISH</t>
  </si>
  <si>
    <t>ANGLE L8" X 8" X 1/4" CARBON STEEL PER A36 MILL FINISH</t>
  </si>
  <si>
    <t>ANGLE L8" X 6" X 1/4" CARBON STEEL PER A36 MILL FINISH</t>
  </si>
  <si>
    <t>ANGLE L8" X 4" X 1/4" CARBON STEEL PER A36 MILL FINISH</t>
  </si>
  <si>
    <t>ANGLE L6" X 6" X 1/4" CARBON STEEL PER A36 MILL FINISH</t>
  </si>
  <si>
    <t>ANGLE L6" X 5" X 1/4" CARBON STEEL PER A36 MILL FINISH</t>
  </si>
  <si>
    <t>ANGLE L6" X 4" X 1/4" CARBON STEEL PER A36 MILL FINISH</t>
  </si>
  <si>
    <t>ANGLE L6" X 3" X 1/4" CARBON STEEL PER A36 MILL FINISH</t>
  </si>
  <si>
    <t>ANGLE L5" X 5" X 1/4" CARBON STEEL PER A36 MILL FINISH</t>
  </si>
  <si>
    <t>ANGLE L5" X 3" X 1/4" CARBON STEEL PER A36 MILL FINISH</t>
  </si>
  <si>
    <t>ANGLE L4" X 4" X 1/4" CARBON STEEL PER A36 MILL FINISH</t>
  </si>
  <si>
    <t>ANGLE L4" X 3" X 1/4" CARBON STEEL PER A36 MILL FINISH</t>
  </si>
  <si>
    <t>ANGLE L3 1/2" X 3 1/2" X 1/4" CARBON STEEL PER A36 MILL FINISH</t>
  </si>
  <si>
    <t>ANGLE L3" X 3" X 1/4" CARBON STEEL PER A36 MILL FINISH</t>
  </si>
  <si>
    <t>ANGLE L3" X 2" X 1/4" CARBON STEEL PER A36 MILL FINISH</t>
  </si>
  <si>
    <t>ANGLE L3" X 1 1/2" X 1/4" CARBON STEEL PER A36 MILL FINISH</t>
  </si>
  <si>
    <t>ANGLE L2 1/2" X 2 1/2" X 1/4" CARBON STEEL PER A36 MILL FINISH</t>
  </si>
  <si>
    <t>ANGLE L2" X 2" X 1/4" CARBON STEEL PER A36 MILL FINISH</t>
  </si>
  <si>
    <t>ANGLE L2" X 1" X 1/4" CARBON STEEL PER A36 MILL FINISH</t>
  </si>
  <si>
    <t>ANGLE L1 3/4" X 1 3/4" X 1/4" CARBON STEEL PER A36 MILL FINISH</t>
  </si>
  <si>
    <t>ANGLE L1 1/2" X 1 1/2" X 1/4" CARBON STEEL PER A36 MILL FINISH</t>
  </si>
  <si>
    <t>ANGLE L1 1/4" X 1 1/4" X 1/4" CARBON STEEL PER A36 MILL FINISH</t>
  </si>
  <si>
    <t>ANGLE L1" X 1" X 1/4" CARBON STEEL PER A36 MILL FINISH</t>
  </si>
  <si>
    <t>ANGLE L3 1/2" X 3 1/2" X 3/16" CARBON STEEL PER A36 MILL FINISH</t>
  </si>
  <si>
    <t>ANGLE L3" X 3" X 3/16" CARBON STEEL PER A36 MILL FINISH</t>
  </si>
  <si>
    <t>ANGLE L3" X 2" X 3/16" CARBON STEEL PER A36 MILL FINISH</t>
  </si>
  <si>
    <t>ANGLE L3" X 1 1/2" X 3/16" CARBON STEEL PER A36 MILL FINISH</t>
  </si>
  <si>
    <t>ANGLE L2 1/2" X 2 1/2" X 3/16" CARBON STEEL PER A36 MILL FINISH</t>
  </si>
  <si>
    <t>ANGLE L2" X 2" X 3/16" CARBON STEEL PER A36 MILL FINISH</t>
  </si>
  <si>
    <t>ANGLE L2" X 1" X 3/16" CARBON STEEL PER A36 MILL FINISH</t>
  </si>
  <si>
    <t>ANGLE L1 3/4" X 1 3/4" X 3/16" CARBON STEEL PER A36 MILL FINISH</t>
  </si>
  <si>
    <t>ANGLE L1 1/2" X 1 1/2" X 3/16" CARBON STEEL PER A36 MILL FINISH</t>
  </si>
  <si>
    <t>ANGLE L1 1/4" X 1 1/4" X 3/16" CARBON STEEL PER A36 MILL FINISH</t>
  </si>
  <si>
    <t>ANGLE L1" X 1" X 3/16" CARBON STEEL PER A36 MILL FINISH</t>
  </si>
  <si>
    <t>ANGLE L3/4" X 3/4" X 3/16" CARBON STEEL PER A36 MILL FINISH</t>
  </si>
  <si>
    <t>ANGLE L1/2" X 1/2" X 3/16" CARBON STEEL PER A36 MILL FINISH</t>
  </si>
  <si>
    <t>ANGLE L2 1/2" X 2 1/2" X 1/8" CARBON STEEL PER A36 MILL FINISH</t>
  </si>
  <si>
    <t>ANGLE L2" X 2" X 1/8" CARBON STEEL PER A36 MILL FINISH</t>
  </si>
  <si>
    <t>ANGLE L2" X 1" X 1/8" CARBON STEEL PER A36 MILL FINISH</t>
  </si>
  <si>
    <t>ANGLE L1 3/4" X 1 3/4" X 1/8" CARBON STEEL PER A36 MILL FINISH</t>
  </si>
  <si>
    <t>ANGLE L1 1/2" X 1 1/2" X 1/8" CARBON STEEL PER A36 MILL FINISH</t>
  </si>
  <si>
    <t>ANGLE L1 1/4" X 1 1/4" X 1/8" CARBON STEEL PER A36 MILL FINISH</t>
  </si>
  <si>
    <t>ANGLE L1" X 1" X 1/8" CARBON STEEL PER A36 MILL FINISH</t>
  </si>
  <si>
    <t>ANGLE L3/4" X 3/4" X 1/8" CARBON STEEL PER A36 MILL FINISH</t>
  </si>
  <si>
    <t>ANGLE L1/2" X 1/2" X 1/8" CARBON STEEL PER A36 MILL FINISH</t>
  </si>
  <si>
    <t>FLANGE BLIND 12" X Ø19" OD CARBON STEEL 150# RFSO BLIND PER A105</t>
  </si>
  <si>
    <t>ANSI/ASME B16.5. TAGGING INFO. SHALL BE CLEARLY LEGIBLE &amp; SHALL INCL. APPLICABLE DATA THAT FOLLOWS: SIZE, TYPE, GRADE, &amp; ASTM NO's. ENVR. ELEMENTS OR HNDLG, CARBON STL. BANDING MUST NOT CONTACT SS MAT'LS.</t>
  </si>
  <si>
    <t>FLANGE BLIND 10" X Ø16" OD CARBON STEEL 150# RFSO BLIND PER A105</t>
  </si>
  <si>
    <t>FLANGE BLIND 8" X Ø13 1/2" OD CARBON STEEL 150# RFSO BLIND PER A105</t>
  </si>
  <si>
    <t>FLANGE BLIND 6" X Ø11" OD CARBON STEEL 150# RFSO BLIND PER A105</t>
  </si>
  <si>
    <t>FLANGE BLIND 5" X Ø10" OD CARBON STEEL 150# RFSO BLIND PER A105</t>
  </si>
  <si>
    <t>FLANGE BLIND 4" X Ø9" OD CARBON STEEL 150# RFSO BLIND PER A105</t>
  </si>
  <si>
    <t>FLANGE BLIND 3 1/2" X Ø8 1/2" OD CARBON STEEL 150# RFSO BLIND PER A105</t>
  </si>
  <si>
    <t>FLANGE BLIND 3" X Ø7 1/2" OD CARBON STEEL 150# RFSO BLIND PER A105</t>
  </si>
  <si>
    <t>FLANGE BLIND 2 1/2" X Ø7" OD CARBON STEEL 150# RFSO BLIND PER A105</t>
  </si>
  <si>
    <t>FLANGE BLIND 2" X Ø6" OD CARBON STEEL 150# RFSO BLIND PER A105</t>
  </si>
  <si>
    <t>FLANGE BLIND 1 1/2" X Ø5" OD CARBON STEEL 150# RFSO BLIND PER A105</t>
  </si>
  <si>
    <t>FLANGE BLIND 1 1/4" X Ø4 5/8" OD CARBON STEEL 150# RFSO BLIND PER A105</t>
  </si>
  <si>
    <t>FLANGE BLIND 1" X Ø4 1/4" OD CARBON STEEL 150# RFSO BLIND PER A105</t>
  </si>
  <si>
    <t>FLANGE BLIND 3/4" X Ø3 7/8" OD CARBON STEEL 150# RFSO BLIND PER A105</t>
  </si>
  <si>
    <t>FLANGE BLIND 1/2" X Ø3 1/2" OD CARBON STEEL 150# RFSO BLIND PER A105</t>
  </si>
  <si>
    <t>EXP METAL FLAT 3/4" #.125F X 66% O/A ALUMINUM PER 3003-H14 MILL FINISH</t>
  </si>
  <si>
    <t>FLATTENED BONDED DIAMOND SHAPE. TAGGING INFO. SHALL BE CLEARLY LEGIBLE &amp; SHALL INCL. APPLICABLE DATA THAT FOLLOWS: SIZE, TYPE, GRADE, &amp; ASTM NO's. ENVR. ELEMENTS OR HNDLG, CARBON STL. BANDING MUST NOT CONTACT ALUM MAT'LS.</t>
  </si>
  <si>
    <t>EXP METAL FLAT 3/4" #.081F (HEAVY) X 61% O/A ALUMINUM PER 3003-H14 MILL FINISH</t>
  </si>
  <si>
    <t>EXP METAL FLAT 3/4" #.081F (LIGHT) X 74% O/A ALUMINUM PER 3003-H14 MILL FINISH</t>
  </si>
  <si>
    <t>EXP METAL FLAT 3/4" #.051F X 80% O/A ALUMINUM PER 3003-H14 MILL FINISH</t>
  </si>
  <si>
    <t>EXP METAL FLAT 1 1/2" #.125F X 74% O/A ALUMINUM PER 3003-H14 MILL FINISH</t>
  </si>
  <si>
    <t>EXP METAL FLAT 1 1/2" #.081F X 79% O/A ALUMINUM PER 3003-H14 MILL FINISH</t>
  </si>
  <si>
    <t>EXP METAL FLAT 1/2" #.081F X 61% O/A ALUMINUM PER 3003-H14 MILL FINISH</t>
  </si>
  <si>
    <t>EXP METAL FLAT 1/2" #.051F X 66% O/A ALUMINUM PER 3003-H14 MILL FINISH</t>
  </si>
  <si>
    <t>PLATE CHECKERED 3/8" 6061-T6 ALUMINUM PER B209 MILL FINISH</t>
  </si>
  <si>
    <t>TAGGING INFO. SHALL BE CLEARLY LEGIBLE &amp; SHALL INCL. APPLICABLE DATA THAT FOLLOWS: SIZE, TYPE, GRADE, &amp; ASTM NO's. ENVR. ELEMENTS OR HNDLG, CARBON STL. BANDING MUST NOT CONTACT ALUM. MAT'LS.</t>
  </si>
  <si>
    <t>PLATE CHECKERED 0.100" 6061-T6 ALUMINUM PER B209 MILL FINISH</t>
  </si>
  <si>
    <t>PLATE CHECKERED 0.080" 6061-T6 ALUMINUM PER B209 MILL FINISH</t>
  </si>
  <si>
    <t>PLATE CHECKERED 0.063" 6061-T6 ALUMINUM PER B209 MILL FINISH</t>
  </si>
  <si>
    <t>PLATE CHECKERED 0.045" 6061-T6 ALUMINUM PER B209 MILL FINISH</t>
  </si>
  <si>
    <t>PLATE CHECKERED 0.100" 3003-H22 ALUMINUM PER B209 MILL FINISH</t>
  </si>
  <si>
    <t>PLATE CHECKERED 0.080" 3003-H22 ALUMINUM PER B209 MILL FINISH</t>
  </si>
  <si>
    <t>PLATE CHECKERED 0.063" 3003-H22 ALUMINUM PER B209 MILL FINISH</t>
  </si>
  <si>
    <t>PLATE CHECKERED 0.045" 3003-H22 ALUMINUM PER B209 MILL FINISH</t>
  </si>
  <si>
    <t>SHEET 0.050" 18GA 6061-T6 ALUMINUM PER B209 MILL FINISH</t>
  </si>
  <si>
    <t>SHEET 0.050" 18GA 5052-H32 ALUMINUM PER B209 MILL FINISH</t>
  </si>
  <si>
    <t>SHEET 0.050" 18GA 3003-H14 ALUMINUM PER B209 MILL FINISH</t>
  </si>
  <si>
    <t>PLATE 1/2" 5086-H32 ALUMINUM PER B209 MILL FINISH</t>
  </si>
  <si>
    <t>PLATE 3/8" 5086-H32 ALUMINUM PER B209 MILL FINISH</t>
  </si>
  <si>
    <t>PLATE 1/4" 5086-H32 ALUMINUM PER B209 MILL FINISH</t>
  </si>
  <si>
    <t>PLATE 1/2" 5083-H32 ALUMINUM PER B209 MILL FINISH</t>
  </si>
  <si>
    <t>PLATE 3/8" 5083-H32 ALUMINUM PER B209 MILL FINISH</t>
  </si>
  <si>
    <t>PLATE 1/4" 5083-H32 ALUMINUM PER B209 MILL FINISH</t>
  </si>
  <si>
    <t>SHEET 0.119" 11GA 6061-T6 ALUMINUM PER B209 MILL FINISH</t>
  </si>
  <si>
    <t>SHEET 0.090" 12GA 6061-T6 ALUMINUM PER B209 MILL FINISH</t>
  </si>
  <si>
    <t>SHEET 0.080" 14GA 6061-T6 ALUMINUM PER B209 MILL FINISH</t>
  </si>
  <si>
    <t>SHEET 0.063" 16GA 6061-T6 ALUMINUM PER B209 MILL FINISH</t>
  </si>
  <si>
    <t>PLATE 1/2" 6061-T6 ALUMINUM PER B209 MILL FINISH</t>
  </si>
  <si>
    <t>PLATE 3/8" 6061-T6 ALUMINUM PER B209 MILL FINISH</t>
  </si>
  <si>
    <t>PLATE 1/4" 6061-T6 ALUMINUM PER B209 MILL FINISH</t>
  </si>
  <si>
    <t>PLATE 3/16" 6061-T6 ALUMINUM PER B209 MILL FINISH</t>
  </si>
  <si>
    <t>PLATE 1/8" 6061-T6 ALUMINUM PER B209 MILL FINISH</t>
  </si>
  <si>
    <t>SHEET 0.119" 11GA 5052-H32 ALUMINUM PER B209 MILL FINISH</t>
  </si>
  <si>
    <t>SHEET 0.090" 12GA 5052-H32 ALUMINUM PER B209 MILL FINISH</t>
  </si>
  <si>
    <t>SHEET 0.080" 14GA 5052-H32 ALUMINUM PER B209 MILL FINISH</t>
  </si>
  <si>
    <t>SHEET 0.063" 16GA 5052-H32 ALUMINUM PER B209 MILL FINISH</t>
  </si>
  <si>
    <t>PLATE 1/2" 5052-H32 ALUMINUM PER B209 MILL FINISH</t>
  </si>
  <si>
    <t>PLATE 3/8" 5052-H32 ALUMINUM PER B209 MILL FINISH</t>
  </si>
  <si>
    <t>PLATE 1/4" 5052-H32 ALUMINUM PER B209 MILL FINISH</t>
  </si>
  <si>
    <t>PLATE 3/16" 5052-H32 ALUMINUM PER B209 MILL FINISH</t>
  </si>
  <si>
    <t>PLATE 1/8" 5052-H32 ALUMINUM PER B209 MILL FINISH</t>
  </si>
  <si>
    <t>SHEET 0.119" 11GA 3003-H14 ALUMINUM PER B209 MILL FINISH</t>
  </si>
  <si>
    <t>SHEET 0.090" 12GA 3003-H14 ALUMINUM PER B209 MILL FINISH</t>
  </si>
  <si>
    <t>SHEET 0.080" 14GA 3003-H14 ALUMINUM PER B209 MILL FINISH</t>
  </si>
  <si>
    <t>SHEET 0.063" 3003-H14 ALUMINUM PER B209 MILL FINISH</t>
  </si>
  <si>
    <t>PLATE 1/2" 3003-H14 ALUMINUM PER B209 MILL FINISH</t>
  </si>
  <si>
    <t>PLATE 3/8" 3003-H14 ALUMINUM PER B209 MILL FINISH</t>
  </si>
  <si>
    <t>PLATE 1/4" 3003-H14 ALUMINUM PER B209 MILL FINISH</t>
  </si>
  <si>
    <t>PLATE 3/16" 3003-H14 ALUMINUM PER B209 MILL FINISH</t>
  </si>
  <si>
    <t>PLATE 1/8" 3003-H14 ALUMINUM PER B209 MILL FINISH</t>
  </si>
  <si>
    <t>BAR FLAT 4" X 1/2" 6063-T5 ALUMINUM PER B221 MILL FINISH</t>
  </si>
  <si>
    <t>BAR FLAT 1" X 1/2" 6063-T5 ALUMINUM PER B221 MILL FINISH</t>
  </si>
  <si>
    <t>BAR FLAT 6" X 3/8" 6063-T5 ALUMINUM PER B221 MILL FINISH</t>
  </si>
  <si>
    <t>BAR FLAT 3" X 3/8" 6063-T5 ALUMINUM PER B221 MILL FINISH</t>
  </si>
  <si>
    <t>BAR FLAT 2 1/2" X 3/8" 6063-T5 ALUMINUM PER B221 MILL FINISH</t>
  </si>
  <si>
    <t>BAR FLAT 2" X 3/8" 6063-T5 ALUMINUM PER B221 MILL FINISH</t>
  </si>
  <si>
    <t>BAR FLAT 4" X 1/4" 6063-T5 ALUMINUM PER B221 MILL FINISH</t>
  </si>
  <si>
    <t>BAR FLAT 3" X 1/4" 6063-T5 ALUMINUM PER B221 MILL FINISH</t>
  </si>
  <si>
    <t>BAR FLAT 2" X 1/4" 6063-T5 ALUMINUM PER B221 MILL FINISH</t>
  </si>
  <si>
    <t>BAR FLAT 1 1/2" X 1/4" 6063-T5 ALUMINUM PER B221 MILL FINISH</t>
  </si>
  <si>
    <t>BAR FLAT 2" X 1/8" 6063-T5 ALUMINUM PER B221 MILL FINISH</t>
  </si>
  <si>
    <t>BAR FLAT 1 1/2" X 1/8" 6063-T5 ALUMINUM PER B221 MILL FINISH</t>
  </si>
  <si>
    <t>BAR FLAT 4" X 1/2" 6061-T6 ALUMINUM PER B221 MILL FINISH</t>
  </si>
  <si>
    <t>BAR FLAT 1" X 1/2" 6061-T6 ALUMINUM PER B221 MILL FINISH</t>
  </si>
  <si>
    <t>BAR FLAT 6" X 3/8" 6061-T6 ALUMINUM PER B221 MILL FINISH</t>
  </si>
  <si>
    <t>BAR FLAT 3" X 3/8" 6061-T6 ALUMINUM PER B221 MILL FINISH</t>
  </si>
  <si>
    <t>BAR FLAT 2 1/2" X 3/8" 6061-T6 ALUMINUM PER B221 MILL FINISH</t>
  </si>
  <si>
    <t>BAR FLAT 2" X 3/8" 6061-T6 ALUMINUM PER B221 MILL FINISH</t>
  </si>
  <si>
    <t>BAR FLAT 4" X 1/4" 6061-T6 ALUMINUM PER B221 MILL FINISH</t>
  </si>
  <si>
    <t>BAR FLAT 3" X 1/4" 6061-T6 ALUMINUM PER B221 MILL FINISH</t>
  </si>
  <si>
    <t>BAR FLAT 2" X 1/4" 6061-T6 ALUMINUM PER B221 MILL FINISH</t>
  </si>
  <si>
    <t>BAR FLAT 1 1/2" X 1/4" 6061-T6 ALUMINUM PER B221 MILL FINISH</t>
  </si>
  <si>
    <t>BAR FLAT 2" X 1/8" 6061-T6 ALUMINUM PER B221 MILL FINISH</t>
  </si>
  <si>
    <t>BAR FLAT 1 1/2" X 1/8" 6061-T6 ALUMINUM PER B221 MILL FINISH</t>
  </si>
  <si>
    <t>BAR FLAT 1 1/2" X 3/4" 6061-T6 ALUMINUM PER B221 MILL FINISH</t>
  </si>
  <si>
    <t>BAR SQ 2" CF 2024-T3 ALUMINUM PER B211 MILL FINISH</t>
  </si>
  <si>
    <t>BAR SQ 1 1/2" CF 2024-T3 ALUMINUM PER B211 MILL FINISH</t>
  </si>
  <si>
    <t>BAR SQ 1 1/4" CF 2024-T3 ALUMINUM PER B211 MILL FINISH</t>
  </si>
  <si>
    <t>BAR SQ 1" CF 2024-T3 ALUMINUM PER B211 MILL FINISH</t>
  </si>
  <si>
    <t>BAR SQ 7/8" CF 2024-T3 ALUMINUM PER B211 MILL FINISH</t>
  </si>
  <si>
    <t>BAR SQ 3/4" CF 2024-T3 ALUMINUM PER B211 MILL FINISH</t>
  </si>
  <si>
    <t>BAR SQ 5/8" CF 2024-T3 ALUMINUM PER B211 MILL FINISH</t>
  </si>
  <si>
    <t>BAR SQ 1/2" CF 2024-T3 ALUMINUM PER B211 MILL FINISH</t>
  </si>
  <si>
    <t>BAR SQ 3/8" CF 2024-T3 ALUMINUM PER B211 MILL FINISH</t>
  </si>
  <si>
    <t>BAR SQ 5/16" CF 2024-T3 ALUMINUM PER B211 MILL FINISH</t>
  </si>
  <si>
    <t>BAR SQ 1/4" CF 2024-T3 ALUMINUM PER B211 MILL FINISH</t>
  </si>
  <si>
    <t>BAR SQ 3/16" CF 2024-T3 ALUMINUM PER B211 MILL FINISH</t>
  </si>
  <si>
    <t>BAR SQ 2" 6063-T5 ALUMINUM PER B221 MILL FINISH</t>
  </si>
  <si>
    <t>BAR SQ 1 1/2" 6063-T5 ALUMINUM PER B221 MILL FINISH</t>
  </si>
  <si>
    <t>BAR SQ 1 1/4" 6063-T5 ALUMINUM PER B221 MILL FINISH</t>
  </si>
  <si>
    <t>BAR SQ 1" 6063-T5 ALUMINUM PER B221 MILL FINISH</t>
  </si>
  <si>
    <t>BAR SQ 7/8" 6063-T5 ALUMINUM PER B221 MILL FINISH</t>
  </si>
  <si>
    <t>BAR SQ 3/4" 6063-T5 ALUMINUM PER B221 MILL FINISH</t>
  </si>
  <si>
    <t>BAR SQ 5/8" 6063-T5 ALUMINUM PER B221 MILL FINISH</t>
  </si>
  <si>
    <t>BAR SQ 1/2" 6063-T5 ALUMINUM PER B221 MILL FINISH</t>
  </si>
  <si>
    <t>BAR SQ 3/8" 6063-T5 ALUMINUM PER B221 MILL FINISH</t>
  </si>
  <si>
    <t>BAR SQ 5/16" 6063-T5 ALUMINUM PER B221 MILL FINISH</t>
  </si>
  <si>
    <t>BAR SQ 1/4" 6063-T5 ALUMINUM PER B221 MILL FINISH</t>
  </si>
  <si>
    <t>BAR SQ 3/16" 6063-T5 ALUMINUM PER B221 MILL FINISH</t>
  </si>
  <si>
    <t>BAR SQ 2" 6061-T6 ALUMINUM PER B221 MILL FINISH</t>
  </si>
  <si>
    <t>BAR SQ 1 1/2" 6061-T6 ALUMINUM PER B221 MILL FINISH</t>
  </si>
  <si>
    <t>BAR SQ 1 1/4" 6061-T6 ALUMINUM PER B221 MILL FINISH</t>
  </si>
  <si>
    <t>BAR SQ 1" 6061-T6 ALUMINUM PER B221 MILL FINISH</t>
  </si>
  <si>
    <t>BAR SQ 7/8" 6061-T6 ALUMINUM PER B221 MILL FINISH</t>
  </si>
  <si>
    <t>BAR SQ 3/4" 6061-T6 ALUMINUM PER B221 MILL FINISH</t>
  </si>
  <si>
    <t>BAR SQ 5/8" 6061-T6 ALUMINUM PER B221 MILL FINISH</t>
  </si>
  <si>
    <t>BAR SQ 1/2" 6061-T6 ALUMINUM PER B221 MILL FINISH</t>
  </si>
  <si>
    <t>BAR SQ 3/8" 6061-T6 ALUMINUM PER B221 MILL FINISH</t>
  </si>
  <si>
    <t>BAR SQ 5/16" 6061-T6 ALUMINUM PER B221 MILL FINISH</t>
  </si>
  <si>
    <t>BAR SQ 1/4" 6061-T6 ALUMINUM PER B221 MILL FINISH</t>
  </si>
  <si>
    <t>BAR SQ 3/16" 6061-T6 ALUMINUM PER B221 MILL FINISH</t>
  </si>
  <si>
    <t>PIPE RD Ø8" NOM X .500" WALL SCH 80 6063-T6 ALUMINUM PER B241 MILL FINISH</t>
  </si>
  <si>
    <t>SEAMLESS. TAGGING INFO. SHALL BE CLEARLY LEGIBLE &amp; SHALL INCL. APPLICABLE DATA THAT FOLLOWS: SIZE, TYPE, GRADE, &amp; ASTM NO's. ENVR. ELEMENTS OR HNDLG, CARBON STL. BANDING MUST NOT CONTACT ALUM. MAT'LS.</t>
  </si>
  <si>
    <t>PIPE RD Ø8" NOM X .322" WALL SCH 40 6063-T6 ALUMINUM PER B241 MILL FINISH</t>
  </si>
  <si>
    <t>PIPE RD Ø8" NOM X .148" WALL SCH 10 6063-T6 ALUMINUM PER B241 MILL FINISH</t>
  </si>
  <si>
    <t>PIPE RD Ø6" NOM X .432" WALL SCH 80 6063-T6 ALUMINUM PER B241 MILL FINISH</t>
  </si>
  <si>
    <t>PIPE RD Ø6" NOM X .280" WALL SCH 40 6063-T6 ALUMINUM PER B241 MILL FINISH</t>
  </si>
  <si>
    <t>PIPE RD Ø6" NOM X .134" WALL SCH 10 6063-T6 ALUMINUM PER B241 MILL FINISH</t>
  </si>
  <si>
    <t>PIPE RD Ø5" NOM X .375" WALL SCH 80 6063-T6 ALUMINUM PER B241 MILL FINISH</t>
  </si>
  <si>
    <t>PIPE RD Ø5" NOM X .258" WALL SCH 40 6063-T6 ALUMINUM PER B241 MILL FINISH</t>
  </si>
  <si>
    <t>PIPE RD Ø5" NOM X .134" WALL SCH 10 6063-T6 ALUMINUM PER B241 MILL FINISH</t>
  </si>
  <si>
    <t>PIPE RD Ø4" NOM X .337" WALL SCH 80 6063-T6 ALUMINUM PER B241 MILL FINISH</t>
  </si>
  <si>
    <t>PIPE RD Ø4" NOM X .237" WALL SCH 40 6063-T6 ALUMINUM PER B241 MILL FINISH</t>
  </si>
  <si>
    <t>PIPE RD Ø4" NOM X .120" WALL SCH 10 6063-T6 ALUMINUM PER B241 MILL FINISH</t>
  </si>
  <si>
    <t>PIPE RD Ø3" NOM X .300" WALL SCH 80 6063-T6 ALUMINUM PER B241 MILL FINISH</t>
  </si>
  <si>
    <t>PIPE RD Ø3" NOM X .216" WALL SCH 40 6063-T6 ALUMINUM PER B241 MILL FINISH</t>
  </si>
  <si>
    <t>PIPE RD Ø3" NOM X .120" WALL SCH 10 6063-T6 ALUMINUM PER B241 MILL FINISH</t>
  </si>
  <si>
    <t>PIPE RD Ø2" NOM X .218" WALL SCH 80 6063-T6 ALUMINUM PER B241 MILL FINISH</t>
  </si>
  <si>
    <t>PIPE RD Ø2" NOM X .154" WALL SCH 40 6063-T6 ALUMINUM PER B241 MILL FINISH</t>
  </si>
  <si>
    <t>CAPITAL ELECTRIC</t>
  </si>
  <si>
    <t>PIPE RD Ø2" NOM X .109" WALL SCH 10 6063-T6 ALUMINUM PER B241 MILL FINISH</t>
  </si>
  <si>
    <t>PIPE RD Ø1 1/2" NOM X .200" WALL SCH 80 6063-T6 ALUMINUM PER B241 MILL FINISH</t>
  </si>
  <si>
    <t>PIPE RD Ø1 1/2" NOM X .145" WALL SCH 40 6063-T6 ALUMINUM PER B241 MILL FINISH</t>
  </si>
  <si>
    <t>PIPE RD Ø1 1/2" NOM X .109" WALL SCH 10 6063-T6 ALUMINUM PER B241 MILL FINISH</t>
  </si>
  <si>
    <t>PIPE RD Ø1 1/4" NOM X .191" WALL SCH 80 6063-T6 ALUMINUM PER B241 MILL FINISH</t>
  </si>
  <si>
    <t>PIPE RD Ø1 1/4" NOM X .140" WALL SCH 40 6063-T6 ALUMINUM PER B241 MILL FINISH</t>
  </si>
  <si>
    <t>PIPE RD Ø1 1/4" NOM X .109" WALL SCH 10 6063-T6 ALUMINUM PER B241 MILL FINISH</t>
  </si>
  <si>
    <t>PIPE RD Ø8" NOM X .500" WALL SCH 80 6061-T6 ALUMINUM PER B241 MILL FINISH</t>
  </si>
  <si>
    <t>PIPE RD Ø8" NOM X .322" WALL SCH 40 6061-T6 ALUMINUM PER B241 MILL FINISH</t>
  </si>
  <si>
    <t>PIPE RD Ø8" NOM X .148" WALL SCH 10 6061-T6 ALUMINUM PER B241 MILL FINISH</t>
  </si>
  <si>
    <t>PIPE RD Ø6" NOM X .432" WALL SCH 80 6061-T6 ALUMINUM PER B241 MILL FINISH</t>
  </si>
  <si>
    <t>PIPE RD Ø6" NOM X .280" WALL SCH 40 6061-T6 ALUMINUM PER B241 MILL FINISH</t>
  </si>
  <si>
    <t>PIPE RD Ø6" NOM X .134" WALL SCH 10 6061-T6 ALUMINUM PER B241 MILL FINISH</t>
  </si>
  <si>
    <t>PIPE RD Ø5" NOM X .375" WALL SCH 80 6061-T6 ALUMINUM PER B241 MILL FINISH</t>
  </si>
  <si>
    <t>PIPE RD Ø5" NOM X .258" WALL SCH 40 6061-T6 ALUMINUM PER B241 MILL FINISH</t>
  </si>
  <si>
    <t>PIPE RD Ø5" NOM X .134" WALL SCH 10 6061-T6 ALUMINUM PER B241 MILL FINISH</t>
  </si>
  <si>
    <t>PIPE RD Ø4" NOM X .337" WALL SCH 80 6061-T6 ALUMINUM PER B241 MILL FINISH</t>
  </si>
  <si>
    <t>PIPE RD Ø4" NOM X .237" WALL SCH 40 6061-T6 ALUMINUM PER B241 MILL FINISH</t>
  </si>
  <si>
    <t>PIPE RD Ø4" NOM X .120" WALL SCH 10 6061-T6 ALUMINUM PER B241 MILL FINISH</t>
  </si>
  <si>
    <t>PIPE RD Ø3" NOM X .300" WALL SCH 80 6061-T6 ALUMINUM PER B241 MILL FINISH</t>
  </si>
  <si>
    <t>PIPE RD Ø3" NOM X .216" WALL SCH 40 6061-T6 ALUMINUM PER B241 MILL FINISH</t>
  </si>
  <si>
    <t>PIPE RD Ø3" NOM X .120" WALL SCH 10 6061-T6 ALUMINUM PER B241 MILL FINISH</t>
  </si>
  <si>
    <t>PIPE RD Ø2" NOM X .218" WALL SCH 80 6061-T6 ALUMINUM PER B241 MILL FINISH</t>
  </si>
  <si>
    <t>PIPE RD Ø2" NOM X .154" WALL SCH 40 6061-T6 ALUMINUM PER B241 MILL FINISH</t>
  </si>
  <si>
    <t>PIPE RD Ø2" NOM X .109" WALL SCH 10 6061-T6 ALUMINUM PER B241 MILL FINISH</t>
  </si>
  <si>
    <t>PIPE RD Ø1 1/2" NOM X .200" WALL SCH 80 6061-T6 ALUMINUM PER B241 MILL FINISH</t>
  </si>
  <si>
    <t>PIPE RD Ø1 1/2" NOM X .145" WALL SCH 40 6061-T6 ALUMINUM PER B241 MILL FINISH</t>
  </si>
  <si>
    <t>PIPE RD Ø1 1/2" NOM X .109" WALL SCH 10 6061-T6 ALUMINUM PER B241 MILL FINISH</t>
  </si>
  <si>
    <t>PIPE RD Ø1 1/4" NOM X .191" WALL SCH 80 6061-T6 ALUMINUM PER B241 MILL FINISH</t>
  </si>
  <si>
    <t>PIPE RD Ø1 1/4" NOM X .140" WALL SCH 40 6061-T6 ALUMINUM PER B241 MILL FINISH</t>
  </si>
  <si>
    <t>PIPE RD Ø1 1/4" NOM X .109" WALL SCH 10 6061-T6 ALUMINUM PER B241 MILL FINISH</t>
  </si>
  <si>
    <t>BEAM I 8" X 6.18 X 0.230" WEB 6061-T6 ALUMINUM PER B308 MILL FINISH</t>
  </si>
  <si>
    <t>BEAM I 8" X 7.02 X 0.250" WEB 6061-T6 ALUMINUM PER B308 MILL FINISH</t>
  </si>
  <si>
    <t>CHANNEL C14" X 13.9 X 0.320" WEB 6061-T6 ALUMINUM PER B308 MILL FINISH</t>
  </si>
  <si>
    <t>CHANNEL C9" X 6.97 X 0.290" WEB 6061-T6 ALUMINUM PER B308 MILL FINISH</t>
  </si>
  <si>
    <t>CHANNEL C9" X 4.98 X 0.230" WEB 6061-T6 ALUMINUM PER B308 MILL FINISH</t>
  </si>
  <si>
    <t>CHANNEL C7" X 4.72 X 0.210" WEB 6061-T6 ALUMINUM PER B308 MILL FINISH</t>
  </si>
  <si>
    <t>CHANNEL C7" X 3.21 X 0.170" WEB 6061-T6 ALUMINUM PER B308 MILL FINISH</t>
  </si>
  <si>
    <t>CHANNEL C5" X 3.09 X 0.190" WEB 6061-T6 ALUMINUM PER B308 MILL FINISH</t>
  </si>
  <si>
    <t>CHANNEL C5" X 2.21 X 0.150" WEB 6061-T6 ALUMINUM PER B308 MILL FINISH</t>
  </si>
  <si>
    <t>CHANNEL C2" X 1.07 X 0.170" WEB 6061-T6 ALUMINUM PER B308 MILL FINISH</t>
  </si>
  <si>
    <t>CHANNEL C2" X 0.58 X 0.130" WEB 6061-T6 ALUMINUM PER B308 MILL FINISH</t>
  </si>
  <si>
    <t>CHANNEL C12" X 8.27 X 0.290" WEB 6063-T6 ALUMINUM PER B308 MILL FINISH</t>
  </si>
  <si>
    <t>CHANNEL C10" X 8.36 X 0.310" WEB 6063-T6 ALUMINUM PER B308 MILL FINISH</t>
  </si>
  <si>
    <t>CHANNEL C12" X 11.82 X 0.350" WEB 6061-T6 ALUMINUM PER B308 MILL FINISH</t>
  </si>
  <si>
    <t>CHANNEL C12" X 8.27 X 0.290" WEB 6061-T6 ALUMINUM PER B308 MILL FINISH</t>
  </si>
  <si>
    <t>CHANNEL C10" X 8.36 X 0.310" WEB 6061-T6 ALUMINUM PER B308 MILL FINISH</t>
  </si>
  <si>
    <t>CHANNEL C10" X 6.14 X 0.250" WEB 6061-T6 ALUMINUM PER B308 MILL FINISH</t>
  </si>
  <si>
    <t>CHANNEL C8" X 5.79 X 0.250" WEB 6061-T6 ALUMINUM PER B308 MILL FINISH</t>
  </si>
  <si>
    <t>CHANNEL C8" X 4.15 X 0.190" WEB 6061-T6 ALUMINUM PER B308 MILL FINISH</t>
  </si>
  <si>
    <t>CHANNEL C6" X 4.03 X 0.210" WEB 6061-T6 ALUMINUM PER B308 MILL FINISH</t>
  </si>
  <si>
    <t>CHANNEL C6" X 2.83 X 0.170" WEB 6061-T6 ALUMINUM PER B308 MILL FINISH</t>
  </si>
  <si>
    <t>CHANNEL C4" X 2.33 X 0.190" WEB 6061-T6 ALUMINUM PER B308 MILL FINISH</t>
  </si>
  <si>
    <t>CHANNEL C4" X 1.74 X 0.150" WEB 6061-T6 ALUMINUM PER B308 MILL FINISH</t>
  </si>
  <si>
    <t>CHANNEL C3" X 1.60 X 0.170" WEB 6061-T6 ALUMINUM PER B308 MILL FINISH</t>
  </si>
  <si>
    <t>CHANNEL C3" X 1.14 X 0.130" WEB 6061-T6 ALUMINUM PER B308 MILL FINISH</t>
  </si>
  <si>
    <t>ANGLE L8" X 8" X 1/2" 6063-T5 ALUMINUM PER B221 MILL FINISH</t>
  </si>
  <si>
    <t>ANGLE L8" X 6" X 1/2" 6063-T5 ALUMINUM PER B221 MILL FINISH</t>
  </si>
  <si>
    <t>ANGLE L8" X 4" X 1/2" 6063-T5 ALUMINUM PER B221 MILL FINISH</t>
  </si>
  <si>
    <t>ANGLE L6" X 6" X 1/2" 6063-T5 ALUMINUM PER B221 MILL FINISH</t>
  </si>
  <si>
    <t>ANGLE L6" X 5" X 1/2" 6063-T5 ALUMINUM PER B221 MILL FINISH</t>
  </si>
  <si>
    <t>ANGLE L6" X 4" X 1/2" 6063-T5 ALUMINUM PER B221 MILL FINISH</t>
  </si>
  <si>
    <t>ANGLE L6" X 3" X 1/2" 6063-T5 ALUMINUM PER B221 MILL FINISH</t>
  </si>
  <si>
    <t>ANGLE L5" X 5" X 1/2" 6063-T5 ALUMINUM PER B221 MILL FINISH</t>
  </si>
  <si>
    <t>ANGLE L5" X 3" X 1/2" 6063-T5 ALUMINUM PER B221 MILL FINISH</t>
  </si>
  <si>
    <t>ANGLE L4" X 4" X 1/2" 6063-T5 ALUMINUM PER B221 MILL FINISH</t>
  </si>
  <si>
    <t>ANGLE L4" X 3" X 1/2" 6063-T5 ALUMINUM PER B221 MILL FINISH</t>
  </si>
  <si>
    <t>ANGLE L3 1/2" X 3 1/2" X 1/2" 6063-T5 ALUMINUM PER B221 MILL FINISH</t>
  </si>
  <si>
    <t>ANGLE L3" X 3" X 1/2" 6063-T5 ALUMINUM PER B221 MILL FINISH</t>
  </si>
  <si>
    <t>ANGLE L3" X 2" X 1/2" 6063-T5 ALUMINUM PER B221 MILL FINISH</t>
  </si>
  <si>
    <t>ANGLE L3" X 1 1/2" X 1/2" 6063-T5 ALUMINUM PER B221 MILL FINISH</t>
  </si>
  <si>
    <t>ANGLE L2 1/2" X 2 1/2" X 1/2" 6063-T5 ALUMINUM PER B221 MILL FINISH</t>
  </si>
  <si>
    <t>ANGLE L2" X 2" X 1/2" 6063-T5 ALUMINUM PER B221 MILL FINISH</t>
  </si>
  <si>
    <t>ANGLE L2" X 1" X 1/2" 6063-T5 ALUMINUM PER B221 MILL FINISH</t>
  </si>
  <si>
    <t>ANGLE L8" X 8" X 3/8" 6063-T5 ALUMINUM PER B221 MILL FINISH</t>
  </si>
  <si>
    <t>ANGLE L8" X 6" X 3/8" 6063-T5 ALUMINUM PER B221 MILL FINISH</t>
  </si>
  <si>
    <t>ANGLE L8" X 4" X 3/8" 6063-T5 ALUMINUM PER B221 MILL FINISH</t>
  </si>
  <si>
    <t>ANGLE L6" X 6" X 3/8" 6063-T5 ALUMINUM PER B221 MILL FINISH</t>
  </si>
  <si>
    <t>ANGLE L6" X 5" X 3/8" 6063-T5 ALUMINUM PER B221 MILL FINISH</t>
  </si>
  <si>
    <t>ANGLE L6" X 4" X 3/8" 6063-T5 ALUMINUM PER B221 MILL FINISH</t>
  </si>
  <si>
    <t>ANGLE L6" X 3" X 3/8" 6063-T5 ALUMINUM PER B221 MILL FINISH</t>
  </si>
  <si>
    <t>ANGLE L5" X 5" X 3/8" 6063-T5 ALUMINUM PER B221 MILL FINISH</t>
  </si>
  <si>
    <t>ANGLE L5" X 3" X 3/8" 6063-T5 ALUMINUM PER B221 MILL FINISH</t>
  </si>
  <si>
    <t>ANGLE L4" X 4" X 3/8" 6063-T5 ALUMINUM PER B221 MILL FINISH</t>
  </si>
  <si>
    <t>ANGLE L4" X 3" X 3/8" 6063-T5 ALUMINUM PER B221 MILL FINISH</t>
  </si>
  <si>
    <t>ANGLE L3 1/2" X 3 1/2" X 3/8" 6063-T5 ALUMINUM PER B221 MILL FINISH</t>
  </si>
  <si>
    <t>ANGLE L3" X 3" X 3/8" 6063-T5 ALUMINUM PER B221 MILL FINISH</t>
  </si>
  <si>
    <t>ANGLE L3" X 2" X 3/8" 6063-T5 ALUMINUM PER B221 MILL FINISH</t>
  </si>
  <si>
    <t>ANGLE L3" X 1 1/2" X 3/8" 6063-T5 ALUMINUM PER B221 MILL FINISH</t>
  </si>
  <si>
    <t>ANGLE L2 1/2" X 2 1/2" X 3/8" 6063-T5 ALUMINUM PER B221 MILL FINISH</t>
  </si>
  <si>
    <t>ANGLE L2" X 2" X 3/8" 6063-T5 ALUMINUM PER B221 MILL FINISH</t>
  </si>
  <si>
    <t>ANGLE L2" X 1" X 3/8" 6063-T5 ALUMINUM PER B221 MILL FINISH</t>
  </si>
  <si>
    <t>ANGLE L8" X 8" X 1/4" 6063-T5 ALUMINUM PER B221 MILL FINISH</t>
  </si>
  <si>
    <t>ANGLE L8" X 6" X 1/4" 6063-T5 ALUMINUM PER B221 MILL FINISH</t>
  </si>
  <si>
    <t>ANGLE L8" X 4" X 1/4" 6063-T5 ALUMINUM PER B221 MILL FINISH</t>
  </si>
  <si>
    <t>ANGLE L6" X 6" X 1/4" 6063-T5 ALUMINUM PER B221 MILL FINISH</t>
  </si>
  <si>
    <t>ANGLE L6" X 5" X 1/4" 6063-T5 ALUMINUM PER B221 MILL FINISH</t>
  </si>
  <si>
    <t>ANGLE L6" X 4" X 1/4" 6063-T5 ALUMINUM PER B221 MILL FINISH</t>
  </si>
  <si>
    <t>ANGLE L6" X 3" X 1/4" 6063-T5 ALUMINUM PER B221 MILL FINISH</t>
  </si>
  <si>
    <t>ANGLE L5" X 5" X 1/4" 6063-T5 ALUMINUM PER B221 MILL FINISH</t>
  </si>
  <si>
    <t>ANGLE L5" X 3" X 1/4" 6063-T5 ALUMINUM PER B221 MILL FINISH</t>
  </si>
  <si>
    <t>ANGLE L4" X 4" X 1/4" 6063-T5 ALUMINUM PER B221 MILL FINISH</t>
  </si>
  <si>
    <t>ANGLE L4" X 3" X 1/4" 6063-T5 ALUMINUM PER B221 MILL FINISH</t>
  </si>
  <si>
    <t>ANGLE L3 1/2" X 3 1/2" X 1/4" 6063-T5 ALUMINUM PER B221 MILL FINISH</t>
  </si>
  <si>
    <t>ANGLE L3" X 3" X 1/4" 6063-T5 ALUMINUM PER B221 MILL FINISH</t>
  </si>
  <si>
    <t>ANGLE L3" X 2" X 1/4" 6063-T5 ALUMINUM PER B221 MILL FINISH</t>
  </si>
  <si>
    <t>ANGLE L3" X 1 1/2" X 1/4" 6063-T5 ALUMINUM PER B221 MILL FINISH</t>
  </si>
  <si>
    <t>ANGLE L2 1/2" X 2 1/2" X 1/4" 6063-T5 ALUMINUM PER B221 MILL FINISH</t>
  </si>
  <si>
    <t>ANGLE L2" X 2" X 1/4" 6063-T5 ALUMINUM PER B221 MILL FINISH</t>
  </si>
  <si>
    <t>ANGLE L2" X 1" X 1/4" 6063-T5 ALUMINUM PER B221 MILL FINISH</t>
  </si>
  <si>
    <t>ANGLE L1 3/4" X 1 3/4" X 1/4" 6063-T5 ALUMINUM PER B221 MILL FINISH</t>
  </si>
  <si>
    <t>ANGLE L1 1/2" X 1 1/2" X 1/4" 6063-T5 ALUMINUM PER B221 MILL FINISH</t>
  </si>
  <si>
    <t>ANGLE L1 1/4" X 1 1/4" X 1/4" 6063-T5 ALUMINUM PER B221 MILL FINISH</t>
  </si>
  <si>
    <t>ANGLE L1" X 1" X 1/4" 6063-T5 ALUMINUM PER B221 MILL FINISH</t>
  </si>
  <si>
    <t>ANGLE L3 1/2" X 3 1/2" X 3/16" 6063-T5 ALUMINUM PER B221 MILL FINISH</t>
  </si>
  <si>
    <t>ANGLE L3" X 3" X 3/16" 6063-T5 ALUMINUM PER B221 MILL FINISH</t>
  </si>
  <si>
    <t>ANGLE L3" X 2" X 3/16" 6063-T5 ALUMINUM PER B221 MILL FINISH</t>
  </si>
  <si>
    <t>ANGLE L3" X 1 1/2" X 3/16" 6063-T5 ALUMINUM PER B221 MILL FINISH</t>
  </si>
  <si>
    <t>ANGLE L2 1/2" X 2 1/2" X 3/16" 6063-T5 ALUMINUM PER B221 MILL FINISH</t>
  </si>
  <si>
    <t>ANGLE L2" X 2" X 3/16" 6063-T5 ALUMINUM PER B221 MILL FINISH</t>
  </si>
  <si>
    <t>ANGLE L2" X 1" X 3/16" 6063-T5 ALUMINUM PER B221 MILL FINISH</t>
  </si>
  <si>
    <t>ANGLE L1 3/4" X 1 3/4" X 3/16" 6063-T5 ALUMINUM PER B221 MILL FINISH</t>
  </si>
  <si>
    <t>ANGLE L1 1/2" X 1 1/2" X 3/16" 6063-T5 ALUMINUM PER B221 MILL FINISH</t>
  </si>
  <si>
    <t>ANGLE L1 1/4" X 1 1/4" X 3/16" 6063-T5 ALUMINUM PER B221 MILL FINISH</t>
  </si>
  <si>
    <t>ANGLE L1" X 1" X 3/16" 6063-T5 ALUMINUM PER B221 MILL FINISH</t>
  </si>
  <si>
    <t>ANGLE L3/4" X 3/4" X 3/16" 6063-T5 ALUMINUM PER B221 MILL FINISH</t>
  </si>
  <si>
    <t>ANGLE L1/2" X 1/2" X 3/16" 6063-T5 ALUMINUM PER B221 MILL FINISH</t>
  </si>
  <si>
    <t>ANGLE L2 1/2" X 2 1/2" X 1/8" 6063-T5 ALUMINUM PER B221 MILL FINISH</t>
  </si>
  <si>
    <t>ANGLE L2" X 2" X 1/8" 6063-T5 ALUMINUM PER B221 MILL FINISH</t>
  </si>
  <si>
    <t>ANGLE L2" X 1" X 1/8" 6063-T5 ALUMINUM PER B221 MILL FINISH</t>
  </si>
  <si>
    <t>ANGLE L1 3/4" X 1 3/4" X 1/8" 6063-T5 ALUMINUM PER B221 MILL FINISH</t>
  </si>
  <si>
    <t>ANGLE L1 1/2" X 1 1/2" X 1/8" 6063-T5 ALUMINUM PER B221 MILL FINISH</t>
  </si>
  <si>
    <t>ANGLE L1 1/4" X 1 1/4" X 1/8" 6063-T5 ALUMINUM PER B221 MILL FINISH</t>
  </si>
  <si>
    <t>ANGLE L1" X 1" X 1/8" 6063-T5 ALUMINUM PER B221 MILL FINISH</t>
  </si>
  <si>
    <t>ANGLE L3/4" X 3/4" X 1/8" 6063-T5 ALUMINUM PER B221 MILL FINISH</t>
  </si>
  <si>
    <t>ANGLE L1/2" X 1/2" X 1/8" 6063-T5 ALUMINUM PER B221 MILL FINISH</t>
  </si>
  <si>
    <t>ANGLE L8" X 8" X 1/2" 6061-T6 ALUMINUM PER B308 MILL FINISH</t>
  </si>
  <si>
    <t>ANGLE L8" X 6" X 1/2" 6061-T6 ALUMINUM PER B308 MILL FINISH</t>
  </si>
  <si>
    <t>ANGLE L8" X 4" X 1/2" 6061-T6 ALUMINUM PER B308 MILL FINISH</t>
  </si>
  <si>
    <t>ANGLE L6" X 6" X 1/2" 6061-T6 ALUMINUM PER B308 MILL FINISH</t>
  </si>
  <si>
    <t>ANGLE L6" X 5" X 1/2" 6061-T6 ALUMINUM PER B308 MILL FINISH</t>
  </si>
  <si>
    <t>ANGLE L6" X 4" X 1/2" 6061-T6 ALUMINUM PER B308 MILL FINISH</t>
  </si>
  <si>
    <t>ANGLE L6" X 3" X 1/2" 6061-T6 ALUMINUM PER B308 MILL FINISH</t>
  </si>
  <si>
    <t>ANGLE L5" X 5" X 1/2" 6061-T6 ALUMINUM PER B308 MILL FINISH</t>
  </si>
  <si>
    <t>ANGLE L5" X 3" X 1/2" 6061-T6 ALUMINUM PER B308 MILL FINISH</t>
  </si>
  <si>
    <t>ANGLE L4" X 4" X 1/2" 6061-T6 ALUMINUM PER B308 MILL FINISH</t>
  </si>
  <si>
    <t>ANGLE L4" X 3" X 1/2" 6061-T6 ALUMINUM PER B308 MILL FINISH</t>
  </si>
  <si>
    <t>ANGLE L3 1/2" X 3 1/2" X 1/2" 6061-T6 ALUMINUM PER B308 MILL FINISH</t>
  </si>
  <si>
    <t>ANGLE L3" X 3" X 1/2" 6061-T6 ALUMINUM PER B308 MILL FINISH</t>
  </si>
  <si>
    <t>ANGLE L3" X 2" X 1/2" 6061-T6 ALUMINUM PER B308 MILL FINISH</t>
  </si>
  <si>
    <t>ANGLE L3" X 1 1/2" X 1/2" 6061-T6 ALUMINUM PER B308 MILL FINISH</t>
  </si>
  <si>
    <t>ANGLE L2 1/2" X 2 1/2" X 1/2" 6061-T6 ALUMINUM PER B308 MILL FINISH</t>
  </si>
  <si>
    <t>ANGLE L2" X 2" X 1/2" 6061-T6 ALUMINUM PER B308 MILL FINISH</t>
  </si>
  <si>
    <t>ANGLE L2" X 1" X 1/2" 6061-T6 ALUMINUM PER B308 MILL FINISH</t>
  </si>
  <si>
    <t>ANGLE L8" X 8" X 3/8" 6061-T6 ALUMINUM PER B308 MILL FINISH</t>
  </si>
  <si>
    <t>ANGLE L8" X 6" X 3/8" 6061-T6 ALUMINUM PER B308 MILL FINISH</t>
  </si>
  <si>
    <t>ANGLE L8" X 4" X 3/8" 6061-T6 ALUMINUM PER B308 MILL FINISH</t>
  </si>
  <si>
    <t>ANGLE L6" X 6" X 3/8" 6061-T6 ALUMINUM PER B308 MILL FINISH</t>
  </si>
  <si>
    <t>ANGLE L6" X 5" X 3/8" 6061-T6 ALUMINUM PER B308 MILL FINISH</t>
  </si>
  <si>
    <t>ANGLE L6" X 4" X 3/8" 6061-T6 ALUMINUM PER B308 MILL FINISH</t>
  </si>
  <si>
    <t>ANGLE L6" X 3" X 3/8" 6061-T6 ALUMINUM PER B308 MILL FINISH</t>
  </si>
  <si>
    <t>ANGLE L5" X 5" X 3/8" 6061-T6 ALUMINUM PER B308 MILL FINISH</t>
  </si>
  <si>
    <t>ANGLE L5" X 3" X 3/8" 6061-T6 ALUMINUM PER B308 MILL FINISH</t>
  </si>
  <si>
    <t>ANGLE L4" X 4" X 3/8" 6061-T6 ALUMINUM PER B308 MILL FINISH</t>
  </si>
  <si>
    <t>ANGLE L4" X 3" X 3/8" 6061-T6 ALUMINUM PER B308 MILL FINISH</t>
  </si>
  <si>
    <t>ANGLE L3 1/2" X 3 1/2" X 3/8" 6061-T6 ALUMINUM PER B308 MILL FINISH</t>
  </si>
  <si>
    <t>ANGLE L3" X 3" X 3/8" 6061-T6 ALUMINUM PER B308 MILL FINISH</t>
  </si>
  <si>
    <t>ANGLE L3" X 2" X 3/8" 6061-T6 ALUMINUM PER B308 MILL FINISH</t>
  </si>
  <si>
    <t>ANGLE L3" X 1 1/2" X 3/8" 6061-T6 ALUMINUM PER B308 MILL FINISH</t>
  </si>
  <si>
    <t>ANGLE L2 1/2" X 2 1/2" X 3/8" 6061-T6 ALUMINUM PER B308 MILL FINISH</t>
  </si>
  <si>
    <t>ANGLE L2" X 2" X 3/8" 6061-T6 ALUMINUM PER B308 MILL FINISH</t>
  </si>
  <si>
    <t>ANGLE L2" X 1" X 3/8" 6061-T6 ALUMINUM PER B308 MILL FINISH</t>
  </si>
  <si>
    <t>ANGLE L8" X 8" X 1/4" 6061-T6 ALUMINUM PER B308 MILL FINISH</t>
  </si>
  <si>
    <t>ANGLE L8" X 6" X 1/4" 6061-T6 ALUMINUM PER B308 MILL FINISH</t>
  </si>
  <si>
    <t>ANGLE L8" X 4" X 1/4" 6061-T6 ALUMINUM PER B308 MILL FINISH</t>
  </si>
  <si>
    <t>ANGLE L6" X 6" X 1/4" 6061-T6 ALUMINUM PER B308 MILL FINISH</t>
  </si>
  <si>
    <t>ANGLE L6" X 5" X 1/4" 6061-T6 ALUMINUM PER B308 MILL FINISH</t>
  </si>
  <si>
    <t>ANGLE L6" X 4" X 1/4" 6061-T6 ALUMINUM PER B308 MILL FINISH</t>
  </si>
  <si>
    <t>ANGLE L6" X 3" X 1/4" 6061-T6 ALUMINUM PER B308 MILL FINISH</t>
  </si>
  <si>
    <t>ANGLE L5" X 5" X 1/4" 6061-T6 ALUMINUM PER B308 MILL FINISH</t>
  </si>
  <si>
    <t>ANGLE L5" X 3" X 1/4" 6061-T6 ALUMINUM PER B308 MILL FINISH</t>
  </si>
  <si>
    <t>ANGLE L4" X 4" X 1/4" 6061-T6 ALUMINUM PER B308 MILL FINISH</t>
  </si>
  <si>
    <t>ANGLE L4" X 3" X 1/4" 6061-T6 ALUMINUM PER B308 MILL FINISH</t>
  </si>
  <si>
    <t>ANGLE L3 1/2" X 3 1/2" X 1/4" 6061-T6 ALUMINUM PER B308 MILL FINISH</t>
  </si>
  <si>
    <t>ANGLE L3" X 3" X 1/4" 6061-T6 ALUMINUM PER B308 MILL FINISH</t>
  </si>
  <si>
    <t>ANGLE L3" X 2" X 1/4" 6061-T6 ALUMINUM PER B308 MILL FINISH</t>
  </si>
  <si>
    <t>ANGLE L3" X 1 1/2" X 1/4" 6061-T6 ALUMINUM PER B308 MILL FINISH</t>
  </si>
  <si>
    <t>ANGLE L2 1/2" X 2 1/2" X 1/4" 6061-T6 ALUMINUM PER B308 MILL FINISH</t>
  </si>
  <si>
    <t>ANGLE L2" X 2" X 1/4" 6061-T6 ALUMINUM PER B308 MILL FINISH</t>
  </si>
  <si>
    <t>ANGLE L2" X 1" X 1/4" 6061-T6 ALUMINUM PER B308 MILL FINISH</t>
  </si>
  <si>
    <t>ANGLE L1 3/4" X 1 3/4" X 1/4" 6061-T6 ALUMINUM PER B308 MILL FINISH</t>
  </si>
  <si>
    <t>ANGLE L1 1/2" X 1 1/2" X 1/4" 6061-T6 ALUMINUM PER B308 MILL FINISH</t>
  </si>
  <si>
    <t>ANGLE L1 1/4" X 1 1/4" X 1/4" 6061-T6 ALUMINUM PER B308 MILL FINISH</t>
  </si>
  <si>
    <t>ANGLE L1" X 1" X 1/4" 6061-T6 ALUMINUM PER B308 MILL FINISH</t>
  </si>
  <si>
    <t>ANGLE L3 1/2" X 3 1/2" X 3/16" 6061-T6 ALUMINUM PER B308 MILL FINISH</t>
  </si>
  <si>
    <t>ANGLE L3" X 3" X 3/16" 6061-T6 ALUMINUM PER B308 MILL FINISH</t>
  </si>
  <si>
    <t>ANGLE L3" X 2" X 3/16" 6061-T6 ALUMINUM PER B308 MILL FINISH</t>
  </si>
  <si>
    <t>ANGLE L3" X 1 1/2" X 3/16" 6061-T6 ALUMINUM PER B308 MILL FINISH</t>
  </si>
  <si>
    <t>ANGLE L2 1/2" X 2 1/2" X 3/16" 6061-T6 ALUMINUM PER B308 MILL FINISH</t>
  </si>
  <si>
    <t>ANGLE L2" X 2" X 3/16" 6061-T6 ALUMINUM PER B308 MILL FINISH</t>
  </si>
  <si>
    <t>ANGLE L2" X 1" X 3/16" 6061-T6 ALUMINUM PER B308 MILL FINISH</t>
  </si>
  <si>
    <t>ANGLE L1 3/4" X 1 3/4" X 3/16" 6061-T6 ALUMINUM PER B308 MILL FINISH</t>
  </si>
  <si>
    <t>ANGLE L1 1/2" X 1 1/2" X 3/16" 6061-T6 ALUMINUM PER B308 MILL FINISH</t>
  </si>
  <si>
    <t>ANGLE L1 1/4" X 1 1/4" X 3/16" 6061-T6 ALUMINUM PER B308 MILL FINISH</t>
  </si>
  <si>
    <t>ANGLE L1" X 1" X 3/16" 6061-T6 ALUMINUM PER B308 MILL FINISH</t>
  </si>
  <si>
    <t>ANGLE L3/4" X 3/4" X 3/16" 6061-T6 ALUMINUM PER B308 MILL FINISH</t>
  </si>
  <si>
    <t>ANGLE L1/2" X 1/2" X 3/16" 6061-T6 ALUMINUM PER B308 MILL FINISH</t>
  </si>
  <si>
    <t>ANGLE L2 1/2" X 2 1/2" X 1/8" 6061-T6 ALUMINUM PER B308 MILL FINISH</t>
  </si>
  <si>
    <t>ANGLE L2" X 2" X 1/8" 6061-T6 ALUMINUM PER B308 MILL FINISH</t>
  </si>
  <si>
    <t>ANGLE L2" X 1" X 1/8" 6061-T6 ALUMINUM PER B308 MILL FINISH</t>
  </si>
  <si>
    <t>ANGLE L1 3/4" X 1 3/4" X 1/8" 6061-T6 ALUMINUM PER B308 MILL FINISH</t>
  </si>
  <si>
    <t>ANGLE L1 1/2" X 1 1/2" X 1/8" 6061-T6 ALUMINUM PER B308 MILL FINISH</t>
  </si>
  <si>
    <t>ANGLE L1 1/4" X 1 1/4" X 1/8" 6061-T6 ALUMINUM PER B308 MILL FINISH</t>
  </si>
  <si>
    <t>ANGLE L1" X 1" X 1/8" 6061-T6 ALUMINUM PER B308 MILL FINISH</t>
  </si>
  <si>
    <t>ANGLE L3/4" X 3/4" X 1/8" 6061-T6 ALUMINUM PER B308 MILL FINISH</t>
  </si>
  <si>
    <t>ANGLE L1/2" X 1/2" X 1/8" 6061-T6 ALUMINUM PER B308 MILL FINISH</t>
  </si>
  <si>
    <t>SHEET 1/4" SILICONE RUBBER SPONGE, CLOSED CELL, MEDIUM DENSITY PER D1056 2D3</t>
  </si>
  <si>
    <t>SHORE DUROMETER: N/A, PLAIN BACK. TAGGING INFO. SHALL BE CLEARLY LEGIBLE &amp; SHALL INCL. APPLICABLE DATA THAT FOLLOWS: SIZE, TYPE, GRADE, &amp; ASTM NO's. ENVR. ELEMENTS OR HNDLG, CARBON STL. BANDING MUST NOT CONTACT MAT'LS.</t>
  </si>
  <si>
    <t>TRIM MATL 1/2" X 5/8" ID EPDM RUBBER U-CHNL PER D2000</t>
  </si>
  <si>
    <t>STYLE 1, SHORE DUROMETER: 55A +/- 5, TEMP. RANGE: -50°F TO 300°F, VERY FLEXIBLE MARKING BLACK. TAGGING INFO. SHALL BE CLEARLY LEGIBLE &amp; SHALL INCL. APPLICABLE DATA THAT FOLLOWS: SIZE, TYPE, GRADE, &amp; ASTM NO's. ENVR. ELEMENTS OR HNDLG, CARBON STL. BANDING MUST NOT CONTACT MAT'LS.</t>
  </si>
  <si>
    <t>TRIM MATL 1/8" X 1/4" ID EPDM RUBBER U-CHNL PER D2000</t>
  </si>
  <si>
    <t>STYLE 1, SHORE DUROMETER: 70A +/- 5, TEMP. RANGE: -40°F TO 210°F, VERY FLEXIBLE MARKING BLACK. TAGGING INFO. SHALL BE CLEARLY LEGIBLE &amp; SHALL INCL. APPLICABLE DATA THAT FOLLOWS: SIZE, TYPE, GRADE, &amp; ASTM NO's. ENVR. ELEMENTS OR HNDLG, CARBON STL. BANDING MUST NOT CONTACT MAT'LS.</t>
  </si>
  <si>
    <t>TRIM MATL 1/16" X 1/8" ID EPDM RUBBER U-CHNL PER D2000</t>
  </si>
  <si>
    <t>TRIM MATL 3/4" X 5/8" ID NEOPRENE RUBBER U-CHNL PER D2000</t>
  </si>
  <si>
    <t>STYLE 1, SHORE DUROMETER: 70A +/- 5, TEMP. RANGE: -20°F TO 150°F, VERY FLEXIBLE NON-MARKING BLACK. TAGGING INFO. SHALL BE CLEARLY LEGIBLE &amp; SHALL INCL. APPLICABLE DATA THAT FOLLOWS: SIZE, TYPE, GRADE, &amp; ASTM NO's. ENVR. ELEMENTS OR HNDLG, CARBON STL. BANDING MUST NOT CONTACT MAT'LS.</t>
  </si>
  <si>
    <t>TRIM MATL 3/8" X 3/4" ID NEOPRENE RUBBER U-CHNL PER D2000</t>
  </si>
  <si>
    <t>TRIM MATL 3/16" X 5/16" ID NEOPRENE RUBBER U-CHNL PER D2000</t>
  </si>
  <si>
    <t>TRIM MATL 1/8" X 1/4" ID NEOPRENE RUBBER U-CHNL PER D2000</t>
  </si>
  <si>
    <t>TRIM MATL 1/16" X 1/8" ID NEOPRENE RUBBER U-CHNL PER D2000</t>
  </si>
  <si>
    <t>SHEET 1/16" EPDM RUBBER NSF PER D2000 60A DUROMETER</t>
  </si>
  <si>
    <t>NSF-61 APPROVED, SHORE DUROMETER: 60A +/- 5, PLAIN BACK. TAGGING INFO. SHALL BE CLEARLY LEGIBLE &amp; SHALL INCL. APPLICABLE DATA THAT FOLLOWS: SIZE, TYPE, GRADE, &amp; ASTM NO's. ENVR. ELEMENTS OR HNDLG, CARBON STL. BANDING MUST NOT CONTACT MAT'LS.</t>
  </si>
  <si>
    <t>SHEET 1 1/4" EPDM RUBBER FDA WHITE PER D2000</t>
  </si>
  <si>
    <t>SHORE DUROMETER: 60A +/- 5, PLAIN BACK. TAGGING INFO. SHALL BE CLEARLY LEGIBLE &amp; SHALL INCL. APPLICABLE DATA THAT FOLLOWS: SIZE, TYPE, GRADE, &amp; ASTM NO's. ENVR. ELEMENTS OR HNDLG, CARBON STL. BANDING MUST NOT CONTACT MAT'LS.</t>
  </si>
  <si>
    <t>SHEET 1 1/8" EPDM RUBBER FDA WHITE PER D2000</t>
  </si>
  <si>
    <t>SHEET 1" EPDM RUBBER FDA WHITE PER D2000</t>
  </si>
  <si>
    <t>SHEET 3/4" EPDM RUBBER FDA WHITE PER D2000</t>
  </si>
  <si>
    <t>SHEET 5/8" EPDM RUBBER FDA WHITE PER D2000</t>
  </si>
  <si>
    <t>SHEET 1/2" EPDM RUBBER FDA WHITE PER D2000</t>
  </si>
  <si>
    <t>SHEET 3/8" EPDM RUBBER FDA WHITE PER D2000</t>
  </si>
  <si>
    <t>SHEET 5/16" EPDM RUBBER FDA WHITE PER D2000</t>
  </si>
  <si>
    <t>SHEET 1/4" EPDM RUBBER FDA WHITE PER D2000</t>
  </si>
  <si>
    <t>SHEET 3/16" EPDM RUBBER FDA WHITE PER D2000</t>
  </si>
  <si>
    <t>SHEET 1/8" EPDM RUBBER FDA WHITE PER D2000</t>
  </si>
  <si>
    <t>SHEET 1 1/4" EPDM RUBBER NSF PER D2000 60A DUROMETER</t>
  </si>
  <si>
    <t>SHEET 1 1/8" EPDM RUBBER NSF PER D2000 60A DUROMETER</t>
  </si>
  <si>
    <t>SHEET 1" EPDM RUBBER NSF PER D2000</t>
  </si>
  <si>
    <t>SHEET 3/4" EPDM RUBBER NSF PER D2000</t>
  </si>
  <si>
    <t>SHEET 5/8" EPDM RUBBER NSF PER D2000</t>
  </si>
  <si>
    <t>SHEET 1/2" EPDM RUBBER NSF PER D2000</t>
  </si>
  <si>
    <t>SHEET 3/8" EPDM RUBBER NSF PER D2000</t>
  </si>
  <si>
    <t>SHEET 5/16" EPDM RUBBER NSF PER D2000</t>
  </si>
  <si>
    <t>SHEET 1/4" EPDM RUBBER NSF PER D2000 60A DUROMETER</t>
  </si>
  <si>
    <t>SHEET 3/16" EPDM RUBBER NSF PER D2000</t>
  </si>
  <si>
    <t>SHEET 1/8" EPDM RUBBER NSF PER D2000 60A DUROMETER</t>
  </si>
  <si>
    <t>SHEET 1 1/4" EPDM RUBBER NSF PER D2000 75A DUROMETER</t>
  </si>
  <si>
    <t>NSF-61 APPROVED, SHORE DUROMETER: 75A +/- 5, PLAIN BACK. TAGGING INFO. SHALL BE CLEARLY LEGIBLE &amp; SHALL INCL. APPLICABLE DATA THAT FOLLOWS: SIZE, TYPE, GRADE, &amp; ASTM NO's. ENVR. ELEMENTS OR HNDLG, CARBON STL. BANDING MUST NOT CONTACT MAT'LS.</t>
  </si>
  <si>
    <t>SHEET 1 1/8" EPDM RUBBER NSF PER D2000 75A DUROMETER</t>
  </si>
  <si>
    <t>SHEET 1/4" EPDM RUBBER NSF PER D2000 75A DUROMETER</t>
  </si>
  <si>
    <t>ALLSTATE GASKET &amp; PACKING, INC</t>
  </si>
  <si>
    <t>SHEET 1/8" EPDM RUBBER NSF PER D2000 75A DUROMETER</t>
  </si>
  <si>
    <t>SHEET 1" UHMW-PE TWO-TONE PER D4020 MILL FINISH</t>
  </si>
  <si>
    <t>REPROCESSED, COLORS: BLACK &amp; GREEN, TAGGING INFO. SHALL BE CLEARLY LEGIBLE &amp; SHALL INCL. APPLICABLE DATA THAT FOLLOWS: SIZE, TYPE, GRADE, &amp; ASTM NO's. ENVR. ELEMENTS OR HNDLG, CARBON STL. BANDING MUST NOT CONTACT MAT'LS.</t>
  </si>
  <si>
    <t>SHEET 3/4" UHMW-PE TWO-TONE PER D4020 MILL FINISH</t>
  </si>
  <si>
    <t>SHEET 5/8" UHMW-PE TWO-TONE PER D4020 MILL FINISH</t>
  </si>
  <si>
    <t>CURBELL PLASTICS INC</t>
  </si>
  <si>
    <t>SHEET 1/2" UHMW-PE TWO-TONE PER D4020 MILL FINISH</t>
  </si>
  <si>
    <t>SHEET 2" UHMW-PE FDA/NSF WHITE PER D4020 MILL FINISH</t>
  </si>
  <si>
    <t>NSF-61 APPROVED, TAGGING INFO. SHALL BE CLEARLY LEGIBLE &amp; SHALL INCL. APPLICABLE DATA THAT FOLLOWS: SIZE, TYPE, GRADE, &amp; ASTM NO's. ENVR. ELEMENTS OR HNDLG, CARBON STL. BANDING MUST NOT CONTACT MAT'LS.</t>
  </si>
  <si>
    <t>SHEET 1 1/4" UHMW-PE FDA/NSF WHITE PER D4020 MILL FINISH</t>
  </si>
  <si>
    <t>SHEET 1 1/8" UHMW-PE FDA/NSF WHITE PER D4020 MILL FINISH</t>
  </si>
  <si>
    <t>SHEET 1" UHMW-PE FDA/NSF WHITE PER D4020 MILL FINISH</t>
  </si>
  <si>
    <t>SHEET 3/4" UHMW-PE FDA/NSF WHITE PER D4020 MILL FINISH</t>
  </si>
  <si>
    <t>SHEET 5/8" UHMW-PE FDA/NSF WHITE PER D4020 MILL FINISH</t>
  </si>
  <si>
    <t>SHEET 1/2" UHMW-PE FDA/NSF WHITE PER D4020 MILL FINISH</t>
  </si>
  <si>
    <t>SHEET 3/8" UHMW-PE FDA/NSF WHITE PER D4020 MILL FINISH</t>
  </si>
  <si>
    <t>SHEET 5/16" UHMW-PE FDA/NSF WHITE PER D4020 MILL FINISH</t>
  </si>
  <si>
    <t>SHEET 1/4" UHMW-PE FDA/NSF WHITE PER D4020 MILL FINISH</t>
  </si>
  <si>
    <t>SHEET 3/16" UHMW-PE FDA/NSF WHITE PER D4020 MILL FINISH</t>
  </si>
  <si>
    <t>SHEET 1/8" UHMW-PE FDA/NSF WHITE PER D4020 MILL FINISH</t>
  </si>
  <si>
    <t>SHEET 2" UHMW-PE GREEN PER D4020 MILL FINISH</t>
  </si>
  <si>
    <t>REPROCESSED, TAGGING INFO. SHALL BE CLEARLY LEGIBLE &amp; SHALL INCL. APPLICABLE DATA THAT FOLLOWS: SIZE, TYPE, GRADE, &amp; ASTM NO's. ENVR. ELEMENTS OR HNDLG, CARBON STL. BANDING MUST NOT CONTACT MAT'LS.</t>
  </si>
  <si>
    <t>SHEET 1 1/4" UHMW-PE GREEN PER D4020 MILL FINISH</t>
  </si>
  <si>
    <t>SHEET 1 1/8" UHMW-PE GREEN PER D4020 MILL FINISH</t>
  </si>
  <si>
    <t>SHEET 1" UHMW-PE GREEN PER D4020 MILL FINISH</t>
  </si>
  <si>
    <t>SHEET 3/4" UHMW-PE GREEN PER D4020 MILL FINISH</t>
  </si>
  <si>
    <t>SHEET 5/8" UHMW-PE GREEN PER D4020 MILL FINISH</t>
  </si>
  <si>
    <t>SHEET 1/2" UHMW-PE GREEN PER D4020 MILL FINISH</t>
  </si>
  <si>
    <t>SHEET 3/8" UHMW-PE GREEN PER D4020 MILL FINISH</t>
  </si>
  <si>
    <t>SHEET 5/16" UHMW-PE GREEN PER D4020 MILL FINISH</t>
  </si>
  <si>
    <t>SHEET 1/4" UHMW-PE GREEN PER D4020 MILL FINISH</t>
  </si>
  <si>
    <t>SHEET 3/16" UHMW-PE GREEN PER D4020 MILL FINISH</t>
  </si>
  <si>
    <t>SHEET 1/8" UHMW-PE GREEN PER D4020 MILL FINISH</t>
  </si>
  <si>
    <t>SHEET 2" UHMW-PE BLACK PER D4020 MILL FINISH</t>
  </si>
  <si>
    <t>SHEET 1 1/4" UHMW-PE BLACK PER D4020 MILL FINISH</t>
  </si>
  <si>
    <t>SHEET 1 1/8" UHMW-PE BLACK PER D4020 MILL FINISH</t>
  </si>
  <si>
    <t>SHEET 3/4" UHMW-PE BLACK PER D4020 MILL FINISH</t>
  </si>
  <si>
    <t>SHEET 5/8" UHMW-PE BLACK PER D4020 MILL FINISH</t>
  </si>
  <si>
    <t>SHEET 5/16" UHMW-PE BLACK PER D4020 MILL FINISH</t>
  </si>
  <si>
    <t>SHEET 3/16" UHMW-PE BLACK PER D4020 MILL FINISH</t>
  </si>
  <si>
    <t>REPROCESSED, TAGGING INFO. SHALL BE CLEARLY LEGIBLE &amp; SHALL INCL. APPLICABLE DATA THAT FOLLOWS: SIZE, TYPE, GRADE, &amp; ASTM NO's. ENVR. ELEMENTS OR HNDLG, CARBON STL. BANDING MUST NOT CONTACT MAT'LS._x000D_MCMASTER P/N: 4296A311</t>
  </si>
  <si>
    <t>SHEET 1/8" UHMW-PE BLACK PER D4020 MILL FINISH</t>
  </si>
  <si>
    <t>SHEET 1 1/4" NITRILE BUNA-N FDA WHITE RUBBER PER D2000</t>
  </si>
  <si>
    <t>SHEET 1 1/8" NITRILE BUNA-N FDA WHITE RUBBER PER D2000</t>
  </si>
  <si>
    <t>SHEET 1" NITRILE BUNA-N FDA WHITE RUBBER PER D2000</t>
  </si>
  <si>
    <t>SHEET 3/4" NITRILE BUNA-N FDA WHITE RUBBER PER D2000</t>
  </si>
  <si>
    <t>SHEET 5/8" NITRILE BUNA-N FDA WHITE RUBBER PER D2000</t>
  </si>
  <si>
    <t>SHEET 1/2" NITRILE BUNA-N FDA WHITE RUBBER PER D2000</t>
  </si>
  <si>
    <t>SHEET 3/8" NITRILE BUNA-N FDA WHITE RUBBER PER D2000</t>
  </si>
  <si>
    <t>SHEET 5/16" NITRILE BUNA-N FDA WHITE RUBBER PER D2000</t>
  </si>
  <si>
    <t>SHEET 1/4" NITRILE BUNA-N FDA WHITE RUBBER PER D2000</t>
  </si>
  <si>
    <t>SHEET 3/16" NITRILE BUNA-N FDA WHITE RUBBER PER D2000</t>
  </si>
  <si>
    <t>SHEET 1/8" NITRILE BUNA-N FDA WHITE RUBBER PER D2000</t>
  </si>
  <si>
    <t>SHEET 1 1/4" EPDM RUBBER PER D2000</t>
  </si>
  <si>
    <t>SHEET 1 1/8" EPDM RUBBER PER D2000</t>
  </si>
  <si>
    <t>SHEET 1" EPDM RUBBER PER D2000</t>
  </si>
  <si>
    <t>SHEET 3/4" EPDM RUBBER PER D2000</t>
  </si>
  <si>
    <t>SHEET 5/8" EPDM RUBBER PER D2000</t>
  </si>
  <si>
    <t>SHEET 1/2" EPDM RUBBER PER D2000</t>
  </si>
  <si>
    <t>SHEET 3/8" EPDM RUBBER PER D2000</t>
  </si>
  <si>
    <t>SHEET 5/16" EPDM RUBBER PER D2000</t>
  </si>
  <si>
    <t>SHEET 1/4" EPDM RUBBER PER D2000</t>
  </si>
  <si>
    <t>SHEET 3/16" EPDM RUBBER PER D2000</t>
  </si>
  <si>
    <t>SHEET 1/8" EPDM RUBBER PER D2000</t>
  </si>
  <si>
    <t>SHEET 1 1/4" ENSOLITE IV1 CLOSED CELL SPONGE FOAM PER D1056</t>
  </si>
  <si>
    <t>SHEET 1 1/8" ENSOLITE IV1 CLOSED CELL SPONGE FOAM PER D1056</t>
  </si>
  <si>
    <t>SHEET 1" ENSOLITE IV1 CLOSED CELL SPONGE FOAM PER D1056</t>
  </si>
  <si>
    <t>CATAWBA INDUSTRIAL RUBBER*</t>
  </si>
  <si>
    <t>SHEET 3/4" ENSOLITE IV1 CLOSED CELL SPONGE FOAM PER D1056</t>
  </si>
  <si>
    <t>SHEET 5/8" ENSOLITE IV1 CLOSED CELL SPONGE FOAM PER D1056</t>
  </si>
  <si>
    <t>SHEET 1/2" ENSOLITE IV1 CLOSED CELL SPONGE FOAM PER D1056</t>
  </si>
  <si>
    <t>SHEET 3/8" ENSOLITE IV1 CLOSED CELL SPONGE FOAM PER D1056</t>
  </si>
  <si>
    <t>SHEET 5/16" ENSOLITE IV1 CLOSED CELL SPONGE FOAM PER D1056</t>
  </si>
  <si>
    <t>SHEET 1/4" ENSOLITE IV1 CLOSED CELL SPONGE FOAM PER D1056</t>
  </si>
  <si>
    <t>SHEET 3/16" ENSOLITE IV1 CLOSED CELL SPONGE FOAM PER D1056</t>
  </si>
  <si>
    <t>SHEET 1/8" ENSOLITE IV1 CLOSED CELL SPONGE FOAM PER D1056</t>
  </si>
  <si>
    <t>SHEET 1 1/4" NEOPRENE RUBBER PER D2000</t>
  </si>
  <si>
    <t>SHEET 1 1/8" NEOPRENE RUBBER PER D2000</t>
  </si>
  <si>
    <t>SHEET 1" NEOPRENE RUBBER PER D2000</t>
  </si>
  <si>
    <t>SHEET 3/4" NEOPRENE RUBBER PER D2000</t>
  </si>
  <si>
    <t>SHEET 5/8" NEOPRENE RUBBER PER D2000</t>
  </si>
  <si>
    <t>SHEET 3/8" NEOPRENE RUBBER PER D2000</t>
  </si>
  <si>
    <t>SHEET 5/16" NEOPRENE RUBBER PER D2000</t>
  </si>
  <si>
    <t>SHEET 1/4" NEOPRENE RUBBER PER D2000</t>
  </si>
  <si>
    <t>SHEET 3/16" NEOPRENE RUBBER PER D2000</t>
  </si>
  <si>
    <t>SHEET 1/8" NEOPRENE RUBBER PER D2000</t>
  </si>
  <si>
    <t>SHEET 1/8" FKM (VITON) PER D2240</t>
  </si>
  <si>
    <t>SHORE DUROMETER: 75A +/- 5, PLAIN BACK. TAGGING INFO. SHALL BE CLEARLY LEGIBLE &amp; SHALL INCL. APPLICABLE DATA THAT FOLLOWS: SIZE, TYPE, GRADE, &amp; ASTM NO's. ENVR. ELEMENTS OR HNDLG, CARBON STL. BANDING MUST NOT CONTACT MAT'LS.</t>
  </si>
  <si>
    <t>SHEET 1/16" UHMW-PE FDA/NSF WHITE PER D4020 MILL FINISH</t>
  </si>
  <si>
    <t>SHEET, POLYCARB, CLEAR, 1/8" X 48" X 96"</t>
  </si>
  <si>
    <t>EXCELLENT IMPACT &amp; SCRATCH RESISTANCE, GOOD UV RESISTANCE, GOOD TEMPERATURE TOLERANCE</t>
  </si>
  <si>
    <t>SHEET, POLYCARB, CLEAR, 3/16" X 48" X 96"</t>
  </si>
  <si>
    <t>SHEET, POLYCARB, CLEAR, 1/4" X 48" X 96"</t>
  </si>
  <si>
    <t>SHEET, POLYCARB, CLEAR, 3/8" X 48" X 96"</t>
  </si>
  <si>
    <t>SHEET, POLYCARB, CLEAR, 1/2" X 48" X 96"</t>
  </si>
  <si>
    <t>STRIP MATL 9/16" THK X 1" WD X 60" UHMW-PE BLACK PER D4020</t>
  </si>
  <si>
    <t>BULB SEAL, SIDE, 1/4" VINYL GRIP WITH ALUM REINFORCEMENT, CLOSED CELL EPDM SPONGE RUBBER, SD-12624</t>
  </si>
  <si>
    <t>CARDMEMBER SERVICE</t>
  </si>
  <si>
    <t>SHORE DUROMETER: 70A +/- 5, PLAIN BACK. TAGGING INFO. SHALL BE CLEARLY LEGIBLE &amp; SHALL INCL. APPLICABLE DATA THAT FOLLOWS: SIZE, TYPE, GRADE, &amp; ASTM NO's. ENVR. ELEMENTS OR HNDLG, CARBON STL. BANDING MUST NOT CONTACT MAT'LS.</t>
  </si>
  <si>
    <t>STRIP MATL 4" X 1/2" NEOPRENE RUBBER PER D2000</t>
  </si>
  <si>
    <t>STRIP MATL 6" X 1/2" NEOPRENE RUBBER PER D2000</t>
  </si>
  <si>
    <t>STRIP MATL 4 1/2" X 1/2" NEOPRENE RUBBER PER D2000</t>
  </si>
  <si>
    <t>STRIP MATL 2 1/2" X 1/2" NEOPRENE RUBBER PER D2000</t>
  </si>
  <si>
    <t>STRIP MATL 1 3/4" X 1/2" NEOPRENE RUBBER PER D2000</t>
  </si>
  <si>
    <t>STRIP MATL 5/8" X 1" UHMW-PE BLACK PER D4020</t>
  </si>
  <si>
    <t>STRIP MATL 5/8" X 1" X 17 1/2" UHMW-PE FDA WHITE PER D4020</t>
  </si>
  <si>
    <t>FDA APPROVED, TAGGING INFO. SHALL BE CLEARLY LEGIBLE &amp; SHALL INCL. APPLICABLE DATA THAT FOLLOWS: SIZE, TYPE, GRADE, &amp; ASTM NO's. ENVR. ELEMENTS OR HNDLG, CARBON STL. BANDING MUST NOT CONTACT MAT'LS.</t>
  </si>
  <si>
    <t>STRIP MATL 5/8" X 1" X 15 1/2" UHMW-PE FDA WHITE PER D4020</t>
  </si>
  <si>
    <t>STRIP MATL 5/8" X 1" X 60" UHMW-PE FDA WHITE PER D4020</t>
  </si>
  <si>
    <t>STRIP MATL 5/8" THK X 1" WD X 60" UHMW-PE BLACK PER D4020</t>
  </si>
  <si>
    <t>STRIP MATL 5/8" X 1" X 15 1/2" UHMW-PE BLACK PER D4020</t>
  </si>
  <si>
    <t>STRIP MATL 5/8" X 1" X 14 1/4" UHMW-PE BLACK PER D4020</t>
  </si>
  <si>
    <t>STRIP MATL 1" X 1" EPDM RUBBER PER D2000</t>
  </si>
  <si>
    <t>STRIP MATL 1" X 1" ENSOLITE IV1 CLOSED CELL SPONGE FOAM PER D1056</t>
  </si>
  <si>
    <t>STRIP MATL 1" X 1" NEOPRENE RUBBER PER D2000</t>
  </si>
  <si>
    <t>STRIP MATL 12" X 3/8" EPDM RUBBER PER D2000</t>
  </si>
  <si>
    <t>STRIP MATL 11 1/2" X 3/8" EPDM RUBBER PER D2000</t>
  </si>
  <si>
    <t>STRIP MATL 11 1/4" X 3/8" EPDM RUBBER PER D2000</t>
  </si>
  <si>
    <t>STRIP MATL 11" X 3/8" EPDM RUBBER PER D2000</t>
  </si>
  <si>
    <t>STRIP MATL 10 1/2" X 3/8" EPDM RUBBER PER D2000</t>
  </si>
  <si>
    <t>STRIP MATL 10 1/4" X 3/8" EPDM RUBBER PER D2000</t>
  </si>
  <si>
    <t>STRIP MATL 10" X 3/8" EPDM RUBBER PER D2000</t>
  </si>
  <si>
    <t>STRIP MATL 9 1/2" X 3/8" EPDM RUBBER PER D2000</t>
  </si>
  <si>
    <t>STRIP MATL 9 1/4" X 3/8" EPDM RUBBER PER D2000</t>
  </si>
  <si>
    <t>STRIP MATL 9" X 3/8" EPDM RUBBER PER D2000</t>
  </si>
  <si>
    <t>STRIP MATL 8 1/2" X 3/8" EPDM RUBBER PER D2000</t>
  </si>
  <si>
    <t>STRIP MATL 8 1/4" X 3/8" EPDM RUBBER PER D2000</t>
  </si>
  <si>
    <t>STRIP MATL 8" X 3/8" EPDM RUBBER PER D2000</t>
  </si>
  <si>
    <t>STRIP MATL 7 1/2" X 3/8" EPDM RUBBER PER D2000</t>
  </si>
  <si>
    <t>STRIP MATL 7 1/4" X 3/8" EPDM RUBBER PER D2000</t>
  </si>
  <si>
    <t>STRIP MATL 7" X 3/8" EPDM RUBBER PER D2000</t>
  </si>
  <si>
    <t>STRIP MATL 6 1/2" X 3/8" EPDM RUBBER PER D2000</t>
  </si>
  <si>
    <t>STRIP MATL 6 1/4" X 3/8" EPDM RUBBER PER D2000</t>
  </si>
  <si>
    <t>STRIP MATL 6" X 3/8" EPDM RUBBER PER D2000</t>
  </si>
  <si>
    <t>STRIP MATL 5 1/2" X 3/8" EPDM RUBBER PER D2000</t>
  </si>
  <si>
    <t>STRIP MATL 5 1/4" X 3/8" EPDM RUBBER PER D2000</t>
  </si>
  <si>
    <t>STRIP MATL 5" X 3/8" EPDM RUBBER PER D2000</t>
  </si>
  <si>
    <t>STRIP MATL 4 1/2" X 3/8" EPDM RUBBER PER D2000</t>
  </si>
  <si>
    <t>STRIP MATL 4 1/4" X 3/8" EPDM RUBBER PER D2000</t>
  </si>
  <si>
    <t>STRIP MATL 4" X 3/8" EPDM RUBBER PER D2000</t>
  </si>
  <si>
    <t>STRIP MATL 3 1/2" X 3/8" EPDM RUBBER PER D2000</t>
  </si>
  <si>
    <t>STRIP MATL 3 1/4" X 3/8" EPDM RUBBER PER D2000</t>
  </si>
  <si>
    <t>STRIP MATL 3" X 3/8" EPDM RUBBER PER D2000</t>
  </si>
  <si>
    <t>STRIP MATL 2 1/2" X 3/8" EPDM RUBBER PER D2000</t>
  </si>
  <si>
    <t>STRIP MATL 2 1/4" X 3/8" EPDM RUBBER PER D2000</t>
  </si>
  <si>
    <t>STRIP MATL 2" X 3/8" EPDM RUBBER PER D2000</t>
  </si>
  <si>
    <t>STRIP MATL 1 1/2" X 3/8" EPDM RUBBER PER D2000</t>
  </si>
  <si>
    <t>STRIP MATL 1 1/4" X 3/8" EPDM RUBBER PER D2000</t>
  </si>
  <si>
    <t>STRIP MATL 1" X 3/8" EPDM RUBBER PER D2000</t>
  </si>
  <si>
    <t>STRIP MATL 12" X 3/8" ENSOLITE IV1 CLOSED CELL SPONGE FOAM PER D1056</t>
  </si>
  <si>
    <t>STRIP MATL 11 1/2" X 3/8" ENSOLITE IV1 CLOSED CELL SPONGE FOAM PER D1056</t>
  </si>
  <si>
    <t>STRIP MATL 11 1/4" X 3/8" ENSOLITE IV1 CLOSED CELL SPONGE FOAM PER D1056</t>
  </si>
  <si>
    <t>STRIP MATL 11" X 3/8" ENSOLITE IV1 CLOSED CELL SPONGE FOAM PER D1056</t>
  </si>
  <si>
    <t>STRIP MATL 10 1/2" X 3/8" ENSOLITE IV1 CLOSED CELL SPONGE FOAM PER D1056</t>
  </si>
  <si>
    <t>STRIP MATL 10 1/4" X 3/8" ENSOLITE IV1 CLOSED CELL SPONGE FOAM PER D1056</t>
  </si>
  <si>
    <t>STRIP MATL 10" X 3/8" ENSOLITE IV1 CLOSED CELL SPONGE FOAM PER D1056</t>
  </si>
  <si>
    <t>STRIP MATL 9 1/2" X 3/8" ENSOLITE IV1 CLOSED CELL SPONGE FOAM PER D1056</t>
  </si>
  <si>
    <t>STRIP MATL 9 1/4" X 3/8" ENSOLITE IV1 CLOSED CELL SPONGE FOAM PER D1056</t>
  </si>
  <si>
    <t>STRIP MATL 9" X 3/8" ENSOLITE IV1 CLOSED CELL SPONGE FOAM PER D1056</t>
  </si>
  <si>
    <t>STRIP MATL 8 1/2" X 3/8" ENSOLITE IV1 CLOSED CELL SPONGE FOAM PER D1056</t>
  </si>
  <si>
    <t>STRIP MATL 8 1/4" X 3/8" ENSOLITE IV1 CLOSED CELL SPONGE FOAM PER D1056</t>
  </si>
  <si>
    <t>STRIP MATL 8" X 3/8" ENSOLITE IV1 CLOSED CELL SPONGE FOAM PER D1056</t>
  </si>
  <si>
    <t>STRIP MATL 7 1/2" X 3/8" ENSOLITE IV1 CLOSED CELL SPONGE FOAM PER D1056</t>
  </si>
  <si>
    <t>STRIP MATL 7 1/4" X 3/8" ENSOLITE IV1 CLOSED CELL SPONGE FOAM PER D1056</t>
  </si>
  <si>
    <t>STRIP MATL 7" X 3/8" ENSOLITE IV1 CLOSED CELL SPONGE FOAM PER D1056</t>
  </si>
  <si>
    <t>STRIP MATL 6 1/2" X 3/8" ENSOLITE IV1 CLOSED CELL SPONGE FOAM PER D1056</t>
  </si>
  <si>
    <t>STRIP MATL 6 1/4" X 3/8" ENSOLITE IV1 CLOSED CELL SPONGE FOAM PER D1056</t>
  </si>
  <si>
    <t>STRIP MATL 6" X 3/8" ENSOLITE IV1 CLOSED CELL SPONGE FOAM PER D1056</t>
  </si>
  <si>
    <t>STRIP MATL 5 1/2" X 3/8" ENSOLITE IV1 CLOSED CELL SPONGE FOAM PER D1056</t>
  </si>
  <si>
    <t>STRIP MATL 5 1/4" X 3/8" ENSOLITE IV1 CLOSED CELL SPONGE FOAM PER D1056</t>
  </si>
  <si>
    <t>STRIP MATL 5" X 3/8" ENSOLITE IV1 CLOSED CELL SPONGE FOAM PER D1056</t>
  </si>
  <si>
    <t>STRIP MATL 4 1/2" X 3/8" ENSOLITE IV1 CLOSED CELL SPONGE FOAM PER D1056</t>
  </si>
  <si>
    <t>STRIP MATL 4 1/4" X 3/8" ENSOLITE IV1 CLOSED CELL SPONGE FOAM PER D1056</t>
  </si>
  <si>
    <t>STRIP MATL 4" X 3/8" ENSOLITE IV1 CLOSED CELL SPONGE FOAM PER D1056</t>
  </si>
  <si>
    <t>STRIP MATL 3 1/2" X 3/8" ENSOLITE IV1 CLOSED CELL SPONGE FOAM PER D1056</t>
  </si>
  <si>
    <t>STRIP MATL 3 1/4" X 3/8" ENSOLITE IV1 CLOSED CELL SPONGE FOAM PER D1056</t>
  </si>
  <si>
    <t>STRIP MATL 3" X 3/8" ENSOLITE IV1 CLOSED CELL SPONGE FOAM PER D1056</t>
  </si>
  <si>
    <t>STRIP MATL 2 1/2" X 3/8" ENSOLITE IV1 CLOSED CELL SPONGE FOAM PER D1056</t>
  </si>
  <si>
    <t>STRIP MATL 2 1/4" X 3/8" ENSOLITE IV1 CLOSED CELL SPONGE FOAM PER D1056</t>
  </si>
  <si>
    <t>STRIP MATL 2" X 3/8" ENSOLITE IV1 CLOSED CELL SPONGE FOAM PER D1056</t>
  </si>
  <si>
    <t>STRIP MATL 1 1/2" X 3/8" ENSOLITE IV1 CLOSED CELL SPONGE FOAM PER D1056</t>
  </si>
  <si>
    <t>STRIP MATL 1 1/4" X 3/8" ENSOLITE IV1 CLOSED CELL SPONGE FOAM PER D1056</t>
  </si>
  <si>
    <t>STRIP MATL 1" X 3/8" ENSOLITE IV1 CLOSED CELL SPONGE FOAM PER D1056</t>
  </si>
  <si>
    <t>STRIP MATL 12" X 3/8" NEOPRENE RUBBER PER D2000</t>
  </si>
  <si>
    <t>STRIP MATL 11 1/2" X 3/8" NEOPRENE RUBBER PER D2000</t>
  </si>
  <si>
    <t>STRIP MATL 11 1/4" X 3/8" NEOPRENE RUBBER PER D2000</t>
  </si>
  <si>
    <t>STRIP MATL 11" X 3/8" NEOPRENE RUBBER PER D2000</t>
  </si>
  <si>
    <t>STRIP MATL 10 1/2" X 3/8" NEOPRENE RUBBER PER D2000</t>
  </si>
  <si>
    <t>STRIP MATL 10 1/4" X 3/8" NEOPRENE RUBBER PER D2000</t>
  </si>
  <si>
    <t>STRIP MATL 10" X 3/8" NEOPRENE RUBBER PER D2000</t>
  </si>
  <si>
    <t>STRIP MATL 9 1/2" X 3/8" NEOPRENE RUBBER PER D2000</t>
  </si>
  <si>
    <t>STRIP MATL 9 1/4" X 3/8" NEOPRENE RUBBER PER D2000</t>
  </si>
  <si>
    <t>STRIP MATL 9" X 3/8" NEOPRENE RUBBER PER D2000</t>
  </si>
  <si>
    <t>STRIP MATL 8 1/2" X 3/8" NEOPRENE RUBBER PER D2000</t>
  </si>
  <si>
    <t>STRIP MATL 8 1/4" X 3/8" NEOPRENE RUBBER PER D2000</t>
  </si>
  <si>
    <t>STRIP MATL 8" X 3/8" NEOPRENE RUBBER PER D2000</t>
  </si>
  <si>
    <t>STRIP MATL 7 1/2" X 3/8" NEOPRENE RUBBER PER D2000</t>
  </si>
  <si>
    <t>STRIP MATL 7 1/4" X 3/8" NEOPRENE RUBBER PER D2000</t>
  </si>
  <si>
    <t>STRIP MATL 7" X 3/8" NEOPRENE RUBBER PER D2000</t>
  </si>
  <si>
    <t>STRIP MATL 6 1/2" X 3/8" NEOPRENE RUBBER PER D2000</t>
  </si>
  <si>
    <t>STRIP MATL 6 1/4" X 3/8" NEOPRENE RUBBER PER D2000</t>
  </si>
  <si>
    <t>STRIP MATL 6" X 3/8" NEOPRENE RUBBER PER D2000</t>
  </si>
  <si>
    <t>STRIP MATL 5 1/2" X 3/8" NEOPRENE RUBBER PER D2000</t>
  </si>
  <si>
    <t>STRIP MATL 5 1/4" X 3/8" NEOPRENE RUBBER PER D2000</t>
  </si>
  <si>
    <t>STRIP MATL 5" X 3/8" NEOPRENE RUBBER PER D2000</t>
  </si>
  <si>
    <t>STRIP MATL 4 1/2" X 3/8" NEOPRENE RUBBER PER D2000</t>
  </si>
  <si>
    <t>STRIP MATL 4 1/4" X 3/8" NEOPRENE RUBBER PER D2000</t>
  </si>
  <si>
    <t>STRIP MATL 4" X 3/8" NEOPRENE RUBBER PER D2000</t>
  </si>
  <si>
    <t>VIACORE SOLUTIONS LLC</t>
  </si>
  <si>
    <t>STRIP MATL 3 1/2" X 3/8" NEOPRENE RUBBER PER D2000</t>
  </si>
  <si>
    <t>STRIP MATL 3 1/4" X 3/8" NEOPRENE RUBBER PER D2000</t>
  </si>
  <si>
    <t>STRIP MATL 3" X 3/8" NEOPRENE RUBBER PER D2000</t>
  </si>
  <si>
    <t>STRIP MATL 2 1/2" X 3/8" NEOPRENE RUBBER PER D2000</t>
  </si>
  <si>
    <t>STRIP MATL 2 1/4" X 3/8" NEOPRENE RUBBER PER D2000</t>
  </si>
  <si>
    <t>STRIP MATL 2" X 3/8" NEOPRENE RUBBER PER D2000</t>
  </si>
  <si>
    <t>STRIP MATL 1 1/2" X 3/8" NEOPRENE RUBBER PER D2000</t>
  </si>
  <si>
    <t>STRIP MATL 1 1/4" X 3/8" NEOPRENE RUBBER PER D2000</t>
  </si>
  <si>
    <t>STRIP MATL 1" X 3/8" NEOPRENE RUBBER PER D2000</t>
  </si>
  <si>
    <t>STRIP MATL 12" X 1/4" EPDM RUBBER PER D2000</t>
  </si>
  <si>
    <t>STRIP MATL 11 1/2" X 1/4" EPDM RUBBER PER D2000</t>
  </si>
  <si>
    <t>STRIP MATL 11 1/4" X 1/4" EPDM RUBBER PER D2000</t>
  </si>
  <si>
    <t>STRIP MATL 11" X 1/4" EPDM RUBBER PER D2000</t>
  </si>
  <si>
    <t>STRIP MATL 10 1/2" X 1/4" EPDM RUBBER PER D2000</t>
  </si>
  <si>
    <t>STRIP MATL 10 1/4" X 1/4" EPDM RUBBER PER D2000</t>
  </si>
  <si>
    <t>STRIP MATL 10" X 1/4" EPDM RUBBER PER D2000</t>
  </si>
  <si>
    <t>STRIP MATL 9 1/2" X 1/4" EPDM RUBBER PER D2000</t>
  </si>
  <si>
    <t>STRIP MATL 9 1/4" X 1/4" EPDM RUBBER PER D2000</t>
  </si>
  <si>
    <t>STRIP MATL 9" X 1/4" EPDM RUBBER PER D2000</t>
  </si>
  <si>
    <t>STRIP MATL 8 1/2" X 1/4" EPDM RUBBER PER D2000</t>
  </si>
  <si>
    <t>STRIP MATL 8 1/4" X 1/4" EPDM RUBBER PER D2000</t>
  </si>
  <si>
    <t>STRIP MATL 8" X 1/4" EPDM RUBBER PER D2000</t>
  </si>
  <si>
    <t>STRIP MATL 7 1/2" X 1/4" EPDM RUBBER PER D2000</t>
  </si>
  <si>
    <t>STRIP MATL 7 1/4" X 1/4" EPDM RUBBER PER D2000</t>
  </si>
  <si>
    <t>STRIP MATL 7" X 1/4" EPDM RUBBER PER D2000</t>
  </si>
  <si>
    <t>STRIP MATL 6 1/2" X 1/4" EPDM RUBBER PER D2000</t>
  </si>
  <si>
    <t>STRIP MATL 6 1/4" X 1/4" EPDM RUBBER PER D2000</t>
  </si>
  <si>
    <t>STRIP MATL 6" X 1/4" EPDM RUBBER PER D2000</t>
  </si>
  <si>
    <t>STRIP MATL 5 1/2" X 1/4" EPDM RUBBER PER D2000</t>
  </si>
  <si>
    <t>STRIP MATL 5 1/4" X 1/4" EPDM RUBBER PER D2000</t>
  </si>
  <si>
    <t>STRIP MATL 5" X 1/4" EPDM RUBBER PER D2000</t>
  </si>
  <si>
    <t>STRIP MATL 4 1/2" X 1/4" EPDM RUBBER PER D2000</t>
  </si>
  <si>
    <t>STRIP MATL 4 1/4" X 1/4" EPDM RUBBER PER D2000</t>
  </si>
  <si>
    <t>STRIP MATL 4" X 1/4" EPDM RUBBER PER D2000</t>
  </si>
  <si>
    <t>STRIP MATL 3 1/2" X 1/4" EPDM RUBBER PER D2000</t>
  </si>
  <si>
    <t>STRIP MATL 3 1/4" X 1/4" EPDM RUBBER PER D2000</t>
  </si>
  <si>
    <t>STRIP MATL 3" X 1/4" EPDM RUBBER PER D2000</t>
  </si>
  <si>
    <t>STRIP MATL 2 1/2" X 1/4" EPDM RUBBER PER D2000</t>
  </si>
  <si>
    <t>STRIP MATL 2 1/4" X 1/4" EPDM RUBBER PER D2000</t>
  </si>
  <si>
    <t>STRIP MATL 2" X 1/4" EPDM RUBBER PER D2000</t>
  </si>
  <si>
    <t>STRIP MATL 1 1/2" X 1/4" EPDM RUBBER PER D2000</t>
  </si>
  <si>
    <t>STRIP MATL 1 1/4" X 1/4" EPDM RUBBER PER D2000</t>
  </si>
  <si>
    <t>STRIP MATL 1" X 1/4" EPDM RUBBER PER D2000</t>
  </si>
  <si>
    <t>STRIP MATL 12" X 1/4" ENSOLITE IV1 CLOSED CELL SPONGE FOAM PER D1056</t>
  </si>
  <si>
    <t>STRIP MATL 11 1/2" X 1/4" ENSOLITE IV1 CLOSED CELL SPONGE FOAM PER D1056</t>
  </si>
  <si>
    <t>STRIP MATL 11 1/4" X 1/4" ENSOLITE IV1 CLOSED CELL SPONGE FOAM PER D1056</t>
  </si>
  <si>
    <t>STRIP MATL 11" X 1/4" ENSOLITE IV1 CLOSED CELL SPONGE FOAM PER D1056</t>
  </si>
  <si>
    <t>STRIP MATL 10 1/2" X 1/4" ENSOLITE IV1 CLOSED CELL SPONGE FOAM PER D1056</t>
  </si>
  <si>
    <t>STRIP MATL 10 1/4" X 1/4" ENSOLITE IV1 CLOSED CELL SPONGE FOAM PER D1056</t>
  </si>
  <si>
    <t>STRIP MATL 10" X 1/4" ENSOLITE IV1 CLOSED CELL SPONGE FOAM PER D1056</t>
  </si>
  <si>
    <t>STRIP MATL 9 1/2" X 1/4" ENSOLITE IV1 CLOSED CELL SPONGE FOAM PER D1056</t>
  </si>
  <si>
    <t>STRIP MATL 9 1/4" X 1/4" ENSOLITE IV1 CLOSED CELL SPONGE FOAM PER D1056</t>
  </si>
  <si>
    <t>STRIP MATL 9" X 1/4" ENSOLITE IV1 CLOSED CELL SPONGE FOAM PER D1056</t>
  </si>
  <si>
    <t>STRIP MATL 8 1/2" X 1/4" ENSOLITE IV1 CLOSED CELL SPONGE FOAM PER D1056</t>
  </si>
  <si>
    <t>STRIP MATL 8 1/4" X 1/4" ENSOLITE IV1 CLOSED CELL SPONGE FOAM PER D1056</t>
  </si>
  <si>
    <t>STRIP MATL 8" X 1/4" ENSOLITE IV1 CLOSED CELL SPONGE FOAM PER D1056</t>
  </si>
  <si>
    <t>STRIP MATL 7 1/2" X 1/4" ENSOLITE IV1 CLOSED CELL SPONGE FOAM PER D1056</t>
  </si>
  <si>
    <t>STRIP MATL 7 1/4" X 1/4" ENSOLITE IV1 CLOSED CELL SPONGE FOAM PER D1056</t>
  </si>
  <si>
    <t>STRIP MATL 7" X 1/4" ENSOLITE IV1 CLOSED CELL SPONGE FOAM PER D1056</t>
  </si>
  <si>
    <t>STRIP MATL 6 1/2" X 1/4" ENSOLITE IV1 CLOSED CELL SPONGE FOAM PER D1056</t>
  </si>
  <si>
    <t>STRIP MATL 6 1/4" X 1/4" ENSOLITE IV1 CLOSED CELL SPONGE FOAM PER D1056</t>
  </si>
  <si>
    <t>STRIP MATL 6" X 1/4" ENSOLITE IV1 CLOSED CELL SPONGE FOAM PER D1056</t>
  </si>
  <si>
    <t>STRIP MATL 5 1/2" X 1/4" ENSOLITE IV1 CLOSED CELL SPONGE FOAM PER D1056</t>
  </si>
  <si>
    <t>STRIP MATL 5 1/4" X 1/4" ENSOLITE IV1 CLOSED CELL SPONGE FOAM PER D1056</t>
  </si>
  <si>
    <t>STRIP MATL 5" X 1/4" ENSOLITE IV1 CLOSED CELL SPONGE FOAM PER D1056</t>
  </si>
  <si>
    <t>STRIP MATL 4 1/2" X 1/4" ENSOLITE IV1 CLOSED CELL SPONGE FOAM PER D1056</t>
  </si>
  <si>
    <t>STRIP MATL 4 1/4" X 1/4" ENSOLITE IV1 CLOSED CELL SPONGE FOAM PER D1056</t>
  </si>
  <si>
    <t>STRIP MATL 4" X 1/4" ENSOLITE IV1 CLOSED CELL SPONGE FOAM PER D1056</t>
  </si>
  <si>
    <t>STRIP MATL 3 1/2" X 1/4" ENSOLITE IV1 CLOSED CELL SPONGE FOAM PER D1056</t>
  </si>
  <si>
    <t>STRIP MATL 3 1/4" X 1/4" ENSOLITE IV1 CLOSED CELL SPONGE FOAM PER D1056</t>
  </si>
  <si>
    <t>STRIP MATL 3" X 1/4" ENSOLITE IV1 CLOSED CELL SPONGE FOAM PER D1056</t>
  </si>
  <si>
    <t>STRIP MATL 2 1/2" X 1/4" ENSOLITE IV1 CLOSED CELL SPONGE FOAM PER D1056</t>
  </si>
  <si>
    <t>STRIP MATL 2 1/4" X 1/4" ENSOLITE IV1 CLOSED CELL SPONGE FOAM PER D1056</t>
  </si>
  <si>
    <t>STRIP MATL 2" X 1/4" ENSOLITE IV1 CLOSED CELL SPONGE FOAM PER D1056</t>
  </si>
  <si>
    <t>STRIP MATL 1 1/2" X 1/4" ENSOLITE IV1 CLOSED CELL SPONGE FOAM PER D1056</t>
  </si>
  <si>
    <t>STRIP MATL 1 1/4" X 1/4" ENSOLITE IV1 CLOSED CELL SPONGE FOAM PER D1056</t>
  </si>
  <si>
    <t>STRIP MATL 1" X 1/4" ENSOLITE IV1 CLOSED CELL SPONGE FOAM PER D1056</t>
  </si>
  <si>
    <t>STRIP MATL 12" X 1/4" NEOPRENE RUBBER PER D2000</t>
  </si>
  <si>
    <t>STRIP MATL 11 1/2" X 1/4" NEOPRENE RUBBER PER D2000</t>
  </si>
  <si>
    <t>STRIP MATL 11 1/4" X 1/4" NEOPRENE RUBBER PER D2000</t>
  </si>
  <si>
    <t>STRIP MATL 11" X 1/4" NEOPRENE RUBBER PER D2000</t>
  </si>
  <si>
    <t>STRIP MATL 10 1/2" X 1/4" NEOPRENE RUBBER PER D2000</t>
  </si>
  <si>
    <t>STRIP MATL 10 1/4" X 1/4" NEOPRENE RUBBER PER D2000</t>
  </si>
  <si>
    <t>STRIP MATL 10" X 1/4" NEOPRENE RUBBER PER D2000</t>
  </si>
  <si>
    <t>STRIP MATL 9 1/2" X 1/4" NEOPRENE RUBBER PER D2000</t>
  </si>
  <si>
    <t>STRIP MATL 9 1/4" X 1/4" NEOPRENE RUBBER PER D2000</t>
  </si>
  <si>
    <t>STRIP MATL 9" X 1/4" NEOPRENE RUBBER PER D2000</t>
  </si>
  <si>
    <t>STRIP MATL 8 1/2" X 1/4" NEOPRENE RUBBER PER D2000</t>
  </si>
  <si>
    <t>STRIP MATL 8 1/4" X 1/4" NEOPRENE RUBBER PER D2000</t>
  </si>
  <si>
    <t>STRIP MATL 8" X 1/4" NEOPRENE RUBBER PER D2000</t>
  </si>
  <si>
    <t>STRIP MATL 7 1/2" X 1/4" NEOPRENE RUBBER PER D2000</t>
  </si>
  <si>
    <t>STRIP MATL 7 1/4" X 1/4" NEOPRENE RUBBER PER D2000</t>
  </si>
  <si>
    <t>STRIP MATL 7" X 1/4" NEOPRENE RUBBER PER D2000</t>
  </si>
  <si>
    <t>STRIP MATL 6 1/2" X 1/4" NEOPRENE RUBBER PER D2000</t>
  </si>
  <si>
    <t>STRIP MATL 6 1/4" X 1/4" NEOPRENE RUBBER PER D2000</t>
  </si>
  <si>
    <t>STRIP MATL 6" X 1/4" NEOPRENE RUBBER PER D2000</t>
  </si>
  <si>
    <t>STRIP MATL 5 1/2" X 1/4" NEOPRENE RUBBER PER D2000</t>
  </si>
  <si>
    <t>STRIP MATL 5 1/4" X 1/4" NEOPRENE RUBBER PER D2000</t>
  </si>
  <si>
    <t>STRIP MATL 5" X 1/4" NEOPRENE RUBBER PER D2000</t>
  </si>
  <si>
    <t>STRIP MATL 4 1/2" X 1/4" NEOPRENE RUBBER PER D2000</t>
  </si>
  <si>
    <t>STRIP MATL 4 1/4" X 1/4" NEOPRENE RUBBER PER D2000</t>
  </si>
  <si>
    <t>STRIP MATL 4" X 1/4" NEOPRENE RUBBER PER D2000</t>
  </si>
  <si>
    <t>STRIP MATL 3 1/2" X 1/4" NEOPRENE RUBBER PER D2000</t>
  </si>
  <si>
    <t>STRIP MATL 3 1/4" X 1/4" NEOPRENE RUBBER PER D2000</t>
  </si>
  <si>
    <t>STRIP MATL 3" X 1/4" NEOPRENE RUBBER PER D2000</t>
  </si>
  <si>
    <t>STRIP MATL 2 1/2" X 1/4" NEOPRENE RUBBER PER D2000</t>
  </si>
  <si>
    <t>STRIP MATL 2 1/4" X 1/4" NEOPRENE RUBBER PER D2000</t>
  </si>
  <si>
    <t>STRIP MATL 2" X 1/4" NEOPRENE RUBBER PER D2000</t>
  </si>
  <si>
    <t>STRIP MATL 1 1/2" X 1/4" NEOPRENE RUBBER PER D2000</t>
  </si>
  <si>
    <t>STRIP MATL 1 1/4" X 1/4" NEOPRENE RUBBER PER D2000</t>
  </si>
  <si>
    <t>STRIP MATL 1" X 1/4" NEOPRENE RUBBER PER D2000</t>
  </si>
  <si>
    <t>STRIP MATL 12" X 1/8" EPDM RUBBER PER D2000</t>
  </si>
  <si>
    <t>STRIP MATL 11 1/2" X 1/8" EPDM RUBBER PER D2000</t>
  </si>
  <si>
    <t>STRIP MATL 11 1/4" X 1/8" EPDM RUBBER PER D2000</t>
  </si>
  <si>
    <t>STRIP MATL 11" X 1/8" EPDM RUBBER PER D2000</t>
  </si>
  <si>
    <t>STRIP MATL 10 1/2" X 1/8" EPDM RUBBER PER D2000</t>
  </si>
  <si>
    <t>STRIP MATL 10 1/4" X 1/8" EPDM RUBBER PER D2000</t>
  </si>
  <si>
    <t>STRIP MATL 10" X 1/8" EPDM RUBBER PER D2000</t>
  </si>
  <si>
    <t>STRIP MATL 9 1/2" X 1/8" EPDM RUBBER PER D2000</t>
  </si>
  <si>
    <t>STRIP MATL 9 1/4" X 1/8" EPDM RUBBER PER D2000</t>
  </si>
  <si>
    <t>STRIP MATL 9" X 1/8" EPDM RUBBER PER D2000</t>
  </si>
  <si>
    <t>STRIP MATL 8 1/2" X 1/8" EPDM RUBBER PER D2000</t>
  </si>
  <si>
    <t>STRIP MATL 8 1/4" X 1/8" EPDM RUBBER PER D2000</t>
  </si>
  <si>
    <t>STRIP MATL 8" X 1/8" EPDM RUBBER PER D2000</t>
  </si>
  <si>
    <t>STRIP MATL 7 1/2" X 1/8" EPDM RUBBER PER D2000</t>
  </si>
  <si>
    <t>STRIP MATL 7 1/4" X 1/8" EPDM RUBBER PER D2000</t>
  </si>
  <si>
    <t>STRIP MATL 7" X 1/8" EPDM RUBBER PER D2000</t>
  </si>
  <si>
    <t>STRIP MATL 6 1/2" X 1/8" EPDM RUBBER PER D2000</t>
  </si>
  <si>
    <t>STRIP MATL 6 1/4" X 1/8" EPDM RUBBER PER D2000</t>
  </si>
  <si>
    <t>STRIP MATL 6" X 1/8" EPDM RUBBER PER D2000</t>
  </si>
  <si>
    <t>STRIP MATL 5 1/2" X 1/8" EPDM RUBBER PER D2000</t>
  </si>
  <si>
    <t>STRIP MATL 5 1/4" X 1/8" EPDM RUBBER PER D2000</t>
  </si>
  <si>
    <t>STRIP MATL 5" X 1/8" EPDM RUBBER PER D2000</t>
  </si>
  <si>
    <t>STRIP MATL 4 1/2" X 1/8" EPDM RUBBER PER D2000</t>
  </si>
  <si>
    <t>STRIP MATL 4 1/4" X 1/8" EPDM RUBBER PER D2000</t>
  </si>
  <si>
    <t>STRIP MATL 4" X 1/8" EPDM RUBBER PER D2000</t>
  </si>
  <si>
    <t>STRIP MATL 3 1/2" X 1/8" EPDM RUBBER PER D2000</t>
  </si>
  <si>
    <t>STRIP MATL 3 1/4" X 1/8" EPDM RUBBER PER D2000</t>
  </si>
  <si>
    <t>STRIP MATL 3" X 1/8" EPDM RUBBER PER D2000</t>
  </si>
  <si>
    <t>STRIP MATL 2 1/2" X 1/8" EPDM RUBBER PER D2000</t>
  </si>
  <si>
    <t>STRIP MATL 2 1/4" X 1/8" EPDM RUBBER PER D2000</t>
  </si>
  <si>
    <t>STRIP MATL 2" X 1/8" EPDM RUBBER PER D2000</t>
  </si>
  <si>
    <t>STRIP MATL 1 1/2" X 1/8" EPDM RUBBER PER D2000</t>
  </si>
  <si>
    <t>STRIP MATL 1 1/4" X 1/8" EPDM RUBBER PER D2000</t>
  </si>
  <si>
    <t>STRIP MATL 1" X 1/8" EPDM RUBBER PER D2000</t>
  </si>
  <si>
    <t>STRIP MATL 12" X 1/8" ENSOLITE IV1 CLOSED CELL SPONGE FOAM PER D1056</t>
  </si>
  <si>
    <t>STRIP MATL 11 1/2" X 1/8" ENSOLITE IV1 CLOSED CELL SPONGE FOAM PER D1056</t>
  </si>
  <si>
    <t>STRIP MATL 11 1/4" X 1/8" ENSOLITE IV1 CLOSED CELL SPONGE FOAM PER D1056</t>
  </si>
  <si>
    <t>STRIP MATL 11" X 1/8" ENSOLITE IV1 CLOSED CELL SPONGE FOAM PER D1056</t>
  </si>
  <si>
    <t>STRIP MATL 10 1/2" X 1/8" ENSOLITE IV1 CLOSED CELL SPONGE FOAM PER D1056</t>
  </si>
  <si>
    <t>STRIP MATL 10 1/4" X 1/8" ENSOLITE IV1 CLOSED CELL SPONGE FOAM PER D1056</t>
  </si>
  <si>
    <t>STRIP MATL 10" X 1/8" ENSOLITE IV1 CLOSED CELL SPONGE FOAM PER D1056</t>
  </si>
  <si>
    <t>STRIP MATL 9 1/2" X 1/8" ENSOLITE IV1 CLOSED CELL SPONGE FOAM PER D1056</t>
  </si>
  <si>
    <t>STRIP MATL 9 1/4" X 1/8" ENSOLITE IV1 CLOSED CELL SPONGE FOAM PER D1056</t>
  </si>
  <si>
    <t>STRIP MATL 9" X 1/8" ENSOLITE IV1 CLOSED CELL SPONGE FOAM PER D1056</t>
  </si>
  <si>
    <t>STRIP MATL 8 1/2" X 1/8" ENSOLITE IV1 CLOSED CELL SPONGE FOAM PER D1056</t>
  </si>
  <si>
    <t>STRIP MATL 8 1/4" X 1/8" ENSOLITE IV1 CLOSED CELL SPONGE FOAM PER D1056</t>
  </si>
  <si>
    <t>STRIP MATL 8" X 1/8" ENSOLITE IV1 CLOSED CELL SPONGE FOAM PER D1056</t>
  </si>
  <si>
    <t>STRIP MATL 7 1/2" X 1/8" ENSOLITE IV1 CLOSED CELL SPONGE FOAM PER D1056</t>
  </si>
  <si>
    <t>STRIP MATL 7 1/4" X 1/8" ENSOLITE IV1 CLOSED CELL SPONGE FOAM PER D1056</t>
  </si>
  <si>
    <t>STRIP MATL 7" X 1/8" ENSOLITE IV1 CLOSED CELL SPONGE FOAM PER D1056</t>
  </si>
  <si>
    <t>STRIP MATL 6 1/2" X 1/8" ENSOLITE IV1 CLOSED CELL SPONGE FOAM PER D1056</t>
  </si>
  <si>
    <t>STRIP MATL 6 1/4" X 1/8" ENSOLITE IV1 CLOSED CELL SPONGE FOAM PER D1056</t>
  </si>
  <si>
    <t>STRIP MATL 6" X 1/8" ENSOLITE IV1 CLOSED CELL SPONGE FOAM PER D1056</t>
  </si>
  <si>
    <t>STRIP MATL 5 1/2" X 1/8" ENSOLITE IV1 CLOSED CELL SPONGE FOAM PER D1056</t>
  </si>
  <si>
    <t>STRIP MATL 5 1/4" X 1/8" ENSOLITE IV1 CLOSED CELL SPONGE FOAM PER D1056</t>
  </si>
  <si>
    <t>STRIP MATL 5" X 1/8" ENSOLITE IV1 CLOSED CELL SPONGE FOAM PER D1056</t>
  </si>
  <si>
    <t>STRIP MATL 4 1/2" X 1/8" ENSOLITE IV1 CLOSED CELL SPONGE FOAM PER D1056</t>
  </si>
  <si>
    <t>STRIP MATL 4 1/4" X 1/8" ENSOLITE IV1 CLOSED CELL SPONGE FOAM PER D1056</t>
  </si>
  <si>
    <t>STRIP MATL 4" X 1/8" ENSOLITE IV1 CLOSED CELL SPONGE FOAM PER D1056</t>
  </si>
  <si>
    <t>STRIP MATL 3 1/2" X 1/8" ENSOLITE IV1 CLOSED CELL SPONGE FOAM PER D1056</t>
  </si>
  <si>
    <t>STRIP MATL 3 1/4" X 1/8" ENSOLITE IV1 CLOSED CELL SPONGE FOAM PER D1056</t>
  </si>
  <si>
    <t>STRIP MATL 3" X 1/8" ENSOLITE IV1 CLOSED CELL SPONGE FOAM PER D1056</t>
  </si>
  <si>
    <t>STRIP MATL 2 1/2" X 1/8" ENSOLITE IV1 CLOSED CELL SPONGE FOAM PER D1056</t>
  </si>
  <si>
    <t>STRIP MATL 2 1/4" X 1/8" ENSOLITE IV1 CLOSED CELL SPONGE FOAM PER D1056</t>
  </si>
  <si>
    <t>STRIP MATL 2" X 1/8" ENSOLITE IV1 CLOSED CELL SPONGE FOAM PER D1056</t>
  </si>
  <si>
    <t>STRIP MATL 1 1/2" X 1/8" ENSOLITE IV1 CLOSED CELL SPONGE FOAM PER D1056</t>
  </si>
  <si>
    <t>STRIP MATL 1 1/4" X 1/8" ENSOLITE IV1 CLOSED CELL SPONGE FOAM PER D1056</t>
  </si>
  <si>
    <t>STRIP MATL 1" X 1/8" ENSOLITE IV1 CLOSED CELL SPONGE FOAM PER D1056</t>
  </si>
  <si>
    <t>STRIP MATL 12" X 1/8" NEOPRENE RUBBER PER D2000</t>
  </si>
  <si>
    <t>STRIP MATL 11 1/2" X 1/8" NEOPRENE RUBBER PER D2000</t>
  </si>
  <si>
    <t>STRIP MATL 11 1/4" X 1/8" NEOPRENE RUBBER PER D2000</t>
  </si>
  <si>
    <t>STRIP MATL 11" X 1/8" NEOPRENE RUBBER PER D2000</t>
  </si>
  <si>
    <t>STRIP MATL 10 1/2" X 1/8" NEOPRENE RUBBER PER D2000</t>
  </si>
  <si>
    <t>STRIP MATL 10 1/4" X 1/8" NEOPRENE RUBBER PER D2000</t>
  </si>
  <si>
    <t>STRIP MATL 10" X 1/8" NEOPRENE RUBBER PER D2000</t>
  </si>
  <si>
    <t>STRIP MATL 9 1/2" X 1/8" NEOPRENE RUBBER PER D2000</t>
  </si>
  <si>
    <t>STRIP MATL 9 1/4" X 1/8" NEOPRENE RUBBER PER D2000</t>
  </si>
  <si>
    <t>STRIP MATL 9" X 1/8" NEOPRENE RUBBER PER D2000</t>
  </si>
  <si>
    <t>STRIP MATL 8 1/2" X 1/8" NEOPRENE RUBBER PER D2000</t>
  </si>
  <si>
    <t>STRIP MATL 8 1/4" X 1/8" NEOPRENE RUBBER PER D2000</t>
  </si>
  <si>
    <t>STRIP MATL 7 1/2" X 1/8" NEOPRENE RUBBER PER D2000</t>
  </si>
  <si>
    <t>STRIP MATL 7 1/4" X 1/8" NEOPRENE RUBBER PER D2000</t>
  </si>
  <si>
    <t>STRIP MATL 7" X 1/8" NEOPRENE RUBBER PER D2000</t>
  </si>
  <si>
    <t>STRIP MATL 6 1/2" X 1/8" NEOPRENE RUBBER PER D2000</t>
  </si>
  <si>
    <t>STRIP MATL 6 1/4" X 1/8" NEOPRENE RUBBER PER D2000</t>
  </si>
  <si>
    <t>STRIP MATL 6" X 1/8" NEOPRENE RUBBER PER D2000</t>
  </si>
  <si>
    <t>STRIP MATL 5 1/2" X 1/8" NEOPRENE RUBBER PER D2000</t>
  </si>
  <si>
    <t>STRIP MATL 5 1/4" X 1/8" NEOPRENE RUBBER PER D2000</t>
  </si>
  <si>
    <t>STRIP MATL 5" X 1/8" NEOPRENE RUBBER PER D2000</t>
  </si>
  <si>
    <t>STRIP MATL 4 1/2" X 1/8" NEOPRENE RUBBER PER D2000</t>
  </si>
  <si>
    <t>STRIP MATL 4 1/4" X 1/8" NEOPRENE RUBBER PER D2000</t>
  </si>
  <si>
    <t>STRIP MATL 4" X 1/8" NEOPRENE RUBBER PER D2000</t>
  </si>
  <si>
    <t>STRIP MATL 3 1/2" X 1/8" NEOPRENE RUBBER PER D2000</t>
  </si>
  <si>
    <t>STRIP MATL 3 1/4" X 1/8" NEOPRENE RUBBER PER D2000</t>
  </si>
  <si>
    <t>STRIP MATL 3" X 1/8" NEOPRENE RUBBER PER D2000</t>
  </si>
  <si>
    <t>STRIP MATL 2 1/2" X 1/8" NEOPRENE RUBBER PER D2000</t>
  </si>
  <si>
    <t>STRIP MATL 2 1/4" X 1/8" NEOPRENE RUBBER PER D2000</t>
  </si>
  <si>
    <t>STRIP MATL 2" X 1/8" NEOPRENE RUBBER PER D2000</t>
  </si>
  <si>
    <t>STRIP MATL 1 1/2" X 1/8" NEOPRENE RUBBER PER D2000</t>
  </si>
  <si>
    <t>STRIP MATL 1 1/4" X 1/8" NEOPRENE RUBBER PER D2000</t>
  </si>
  <si>
    <t>STRIP MATL 1" X 1/8" NEOPRENE RUBBER PER D2000</t>
  </si>
  <si>
    <t>STRIP MATL 2" X 1/4" NEOPRENE RUBBER W/PSA PER D2000</t>
  </si>
  <si>
    <t>SHORE DUROMETER: 60A +/- 5, PLAIN BACK WITH PRESSURE SENSITIVE ADHESIVE (PSA). TAGGING INFO. SHALL BE CLEARLY LEGIBLE &amp; SHALL INCL. APPLICABLE DATA THAT FOLLOWS: SIZE, TYPE, GRADE, &amp; ASTM NO's. ENVR. ELEMENTS OR HNDLG, CARBON STL. BANDING MUST NOT CONTACT MAT'LS._x000D_MCMASTER P/N: 8694K79</t>
  </si>
  <si>
    <t>STRIP MATL 2" X 1/8" NEOPRENE RUBBER W/PSA PER D2000</t>
  </si>
  <si>
    <t>SHORE DUROMETER: 60A +/- 5, PLAIN BACK WITH PRESSURE SENSITIVE ADHESIVE (PSA). TAGGING INFO. SHALL BE CLEARLY LEGIBLE &amp; SHALL INCL. APPLICABLE DATA THAT FOLLOWS: SIZE, TYPE, GRADE, &amp; ASTM NO's. ENVR. ELEMENTS OR HNDLG, CARBON STL. BANDING MUST NOT CONTACT MAT'LS._x000D_MCMASTER P/N: 8694K69</t>
  </si>
  <si>
    <t>STRIP MATL 8" X 1/2" STYRENE BUTADIENE RUBBER (SBR) PER D2000</t>
  </si>
  <si>
    <t>SHORE DUROMETER: 60A +/- 5, PLAIN BACK. TAGGING INFO. SHALL BE CLEARLY LEGIBLE &amp; SHALL INCL. APPLICABLE DATA THAT FOLLOWS: SIZE, TYPE, GRADE, &amp; ASTM NO's. ENVR. ELEMENTS OR HNDLG, CARBON STL. BANDING MUST NOT CONTACT MAT'LS._x000D_MCM P#: 86335K528</t>
  </si>
  <si>
    <t>STRIP MATL 3" X 1/4" NEOPRENE RUBBER W/PSA PER D2000</t>
  </si>
  <si>
    <t>SHORE DUROMETER: 60A +/- 5, PLAIN BACK WITH PRESSURE SENSITIVE ADHESIVE (PSA). TAGGING INFO. SHALL BE CLEARLY LEGIBLE &amp; SHALL INCL. APPLICABLE DATA THAT FOLLOWS: SIZE, TYPE, GRADE, &amp; ASTM NO's. ENVR. ELEMENTS OR HNDLG, CARBON STL. BANDING MUST NOT CONTACT MAT'LS.</t>
  </si>
  <si>
    <t>STRIP MATL 1 1/2" X 1/4" NEOPRENE RUBBER W/PSA PER D2000</t>
  </si>
  <si>
    <t>STRIP MATL 1" X 1/4" NEOPRENE RUBBER W/PSA PER D2000</t>
  </si>
  <si>
    <t>SHORE DUROMETER: 60A +/- 5, PLAIN BACK WITH PRESSURE SENSITIVE ADHESIVE (PSA). TAGGING INFO. SHALL BE CLEARLY LEGIBLE &amp; SHALL INCL. APPLICABLE DATA THAT FOLLOWS: SIZE, TYPE, GRADE, &amp; ASTM NO's. ENVR. ELEMENTS OR HNDLG, CARBON STL. BANDING MUST NOT CONTACT MAT'LS._x000D_MCMASTER P/N: 1376N17</t>
  </si>
  <si>
    <t>STRIP MATL 1 1/2" X 1/8" NEOPRENE RUBBER W/PSA PER D2000</t>
  </si>
  <si>
    <t>STRIP MATL 1" X 1/8" NEOPRENE RUBBER W/PSA PER D2000</t>
  </si>
  <si>
    <t>SHORE DUROMETER: 60A +/- 5, PLAIN BACK WITH PRESSURE SENSITIVE ADHESIVE (PSA). TAGGING INFO. SHALL BE CLEARLY LEGIBLE &amp; SHALL INCL. APPLICABLE DATA THAT FOLLOWS: SIZE, TYPE, GRADE, &amp; ASTM NO's. ENVR. ELEMENTS OR HNDLG, CARBON STL. BANDING MUST NOT CONTACT MAT'LS._x000D_MCMASTER P/N: 8694K68</t>
  </si>
  <si>
    <t>SHORE DUROMETER: 60A +/- 5, PLAIN BACK. TAGGING INFO. SHALL BE CLEARLY LEGIBLE &amp; SHALL INCL. APPLICABLE DATA THAT FOLLOWS: SIZE, TYPE, GRADE, &amp; ASTM NO's. ENVR. ELEMENTS OR HNDLG, CARBON STL. BANDING MUST NOT CONTACT MAT'LS._x000D_MCM P#: 86335K246</t>
  </si>
  <si>
    <t>STRIP MATL 1 1/8" X 1/8" NEOPRENE RUBBER W/PSA PER D2000</t>
  </si>
  <si>
    <t>SHORE DUROMETER: 60A +/- 5, PLAIN BACK WITH PRESSURE SENSITIVE ADHESIVE (PSA). TAGGING INFO. SHALL BE CLEARLY LEGIBLE &amp; SHALL INCL. APPLICABLE DATA THAT FOLLOWS: SIZE, TYPE, GRADE, &amp; ASTM NO's. ENVR. ELEMENTS OR HNDLG, CARBON STL. BANDING MUST NOT CONTACT MAT'LS._x000D_MCMASTER P/N:</t>
  </si>
  <si>
    <t>STRIP MATL 6" X 3/8" STYRENE BUTADIENE RUBBER (SBR) PER D2000</t>
  </si>
  <si>
    <t>SHORE DUROMETER: 60A +/- 5, PLAIN BACK. TAGGING INFO. SHALL BE CLEARLY LEGIBLE &amp; SHALL INCL. APPLICABLE DATA THAT FOLLOWS: SIZE, TYPE, GRADE, &amp; ASTM NO's. ENVR. ELEMENTS OR HNDLG, CARBON STL. BANDING MUST NOT CONTACT MAT'LS._x000D_MCM P#: 86335K23</t>
  </si>
  <si>
    <t>STRIP MATL 1/2" X 1/8" NEOPRENE RUBBER W/PSA PER D2000</t>
  </si>
  <si>
    <t>SHORE DUROMETER: 60A +/- 5, PLAIN BACK WITH PRESSURE SENSITIVE ADHESIVE (PSA). TAGGING INFO. SHALL BE CLEARLY LEGIBLE &amp; SHALL INCL. APPLICABLE DATA THAT FOLLOWS: SIZE, TYPE, GRADE, &amp; ASTM NO's. ENVR. ELEMENTS OR HNDLG, CARBON STL. BANDING MUST NOT CONTACT MAT'LS._x000D_MCMASTER P/N: 8512K63</t>
  </si>
  <si>
    <t>BAR RD Ø6" OD UHMW-PE VIRGIN BLACK (HIGH TEMP AND UV STABILIZER)</t>
  </si>
  <si>
    <t>NSF APPROVED, TAGGING INFO. SHALL BE CLEARLY LEGIBLE &amp; SHALL INCL. APPLICABLE DATA THAT FOLLOWS: SIZE, TYPE, GRADE, &amp; ASTM NO's. ENVR. ELEMENTS OR HNDLG, CARBON STL. BANDING MUST NOT CONTACT MAT'LS.</t>
  </si>
  <si>
    <t>BAR RD Ø8 3/4" OD UHMW-PE FDA VIRGIN WHITE PER D4020 MILL FINISH</t>
  </si>
  <si>
    <t>BAR RD Ø8" OD UHMW-PE FDA VIRGIN WHITE PER D4020 MILL FINISH</t>
  </si>
  <si>
    <t>BAR RD Ø7" OD UHMW-PE FDA VIRGIN WHITE PER D4020 MILL FINISH</t>
  </si>
  <si>
    <t>BAR RD Ø6" OD UHMW-PE FDA VIRGIN WHITE PER D4020 MILL FINISH</t>
  </si>
  <si>
    <t>BAR RD Ø5 1/2" OD UHMW-PE FDA VIRGIN WHITE PER D4020 MILL FINISH</t>
  </si>
  <si>
    <t>BAR RD Ø5" OD UHMW-PE FDA VIRGIN WHITE PER D4020 MILL FINISH</t>
  </si>
  <si>
    <t>BAR RD Ø4 1/2" OD UHMW-PE FDA VIRGIN WHITE PER D4020 MILL FINISH</t>
  </si>
  <si>
    <t>BAR RD Ø4" OD UHMW-PE FDA VIRGIN WHITE PER D4020 MILL FINISH</t>
  </si>
  <si>
    <t>BAR RD Ø3 1/2" OD UHMW-PE FDA VIRGIN WHITE PER D4020 MILL FINISH</t>
  </si>
  <si>
    <t>BAR RD Ø3 1/4" OD UHMW-PE FDA VIRGIN WHITE PER D4020 MILL FINISH</t>
  </si>
  <si>
    <t>BAR RD Ø3" OD UHMW-PE FDA VIRGIN WHITE PER D4020 MILL FINISH</t>
  </si>
  <si>
    <t>BAR RD Ø2 1/2" OD UHMW-PE FDA VIRGIN WHITE PER D4020 MILL FINISH</t>
  </si>
  <si>
    <t>BAR RD Ø2" OD UHMW-PE FDA VIRGIN WHITE PER D4020 MILL FINISH</t>
  </si>
  <si>
    <t>BAR RD Ø1 3/4" OD UHMW-PE FDA VIRGIN WHITE PER D4020 MILL FINISH</t>
  </si>
  <si>
    <t>BAR RD Ø1 1/2" OD UHMW-PE FDA VIRGIN WHITE PER D4020 MILL FINISH</t>
  </si>
  <si>
    <t>BAR RD Ø6 1/2"" OD UHMW-PE FDA VIRGIN WHITE PER D4020 MILL FINISH</t>
  </si>
  <si>
    <t>PIPE Ø10" NOM X .593" WALL SCH 80 DARK GRAY PVC PER D1784 MILL FINISH</t>
  </si>
  <si>
    <t>OR EQUIVALENT TO: ASTM D1785. TAGGING INFO. SHALL BE CLEARLY LEGIBLE &amp; SHALL INCL. APPLICABLE DATA THAT FOLLOWS: SIZE, TYPE, GRADE, &amp; ASTM NO's.</t>
  </si>
  <si>
    <t>PIPE Ø1/2" NOM X .147" WALL SCH 80 DARK GRAY PVC PER D1784 MILL FINISH</t>
  </si>
  <si>
    <t>HARRINGTON INDUST PLASTICS*</t>
  </si>
  <si>
    <t>PIPE Ø3/8" NOM X .126" WALL SCH 80 DARK GRAY PVC PER D1784 MILL FINISH</t>
  </si>
  <si>
    <t>PIPE Ø12" NOM X .687" WALL SCH 80 DARK GRAY PVC PER D1784 MILL FINISH</t>
  </si>
  <si>
    <t>PIPE Ø6" NOM X .432" WALL SCH 80 DARK GRAY PVC PER D1784 MILL FINISH</t>
  </si>
  <si>
    <t>PIPE Ø4" NOM X .337" WALL SCH 80 DARK GRAY PVC PER D1784 MILL FINISH</t>
  </si>
  <si>
    <t>PIPE Ø1 1/2" NOM X .200" WALL SCH 80 DARK GRAY PVC PER D1784 MILL FINISH</t>
  </si>
  <si>
    <t>PIPE Ø1 1/4" NOM X .191" WALL SCH 80 DARK GRAY PVC PER D1784 MILL FINISH</t>
  </si>
  <si>
    <t>PIPE Ø1" NOM X .179" WALL SCH 80 DARK GRAY PVC PER D1784 MILL FINISH</t>
  </si>
  <si>
    <t>PIPE Ø3/4" NOM X .154" WALL SCH 80 DARK GRAY PVC PER D1784 MILL FINISH</t>
  </si>
  <si>
    <t>PIPE Ø20" NOM X .593" WALL SCH 40 WHITE PVC PER D1784 MILL FINISH</t>
  </si>
  <si>
    <t>PIPE Ø12" NOM X .406" WALL SCH 40 WHITE PVC PER D1784 MILL FINISH</t>
  </si>
  <si>
    <t>PIPE Ø8" NOM X .322" WALL SCH 40 WHITE PVC PER D1784 MILL FINISH</t>
  </si>
  <si>
    <t>PIPE Ø6" NOM X .280" WALL SCH 40 WHITE PVC PER D1784 MILL FINISH</t>
  </si>
  <si>
    <t>PIPE Ø4" NOM X .237" WALL SCH 40 WHITE PVC PER D1784 MILL FINISH</t>
  </si>
  <si>
    <t>PIPE Ø3" NOM X .216" WALL SCH 40 WHITE PVC PER D1784 MILL FINISH</t>
  </si>
  <si>
    <t>PIPE Ø2" NOM X .154" WALL SCH 40 WHITE PVC PER D1784 MILL FINISH</t>
  </si>
  <si>
    <t>PIPE Ø1 1/2" NOM X .145" WALL SCH 40 WHITE PVC PER D1784 MILL FINISH</t>
  </si>
  <si>
    <t>PIPE Ø1 1/4" NOM X .140" WALL SCH 40 WHITE PVC PER D1784 MILL FINISH</t>
  </si>
  <si>
    <t>PIPE Ø1" NOM X .133" WALL SCH 40 WHITE PVC PER D1784 MILL FINISH</t>
  </si>
  <si>
    <t>PIPE Ø3/4" NOM X .113" WALL SCH 40 WHITE PVC PER D1784 MILL FINISH</t>
  </si>
  <si>
    <t>PIPE Ø3" NOM X .216" WALL SCH 40 CLEAR PVC PER D1784 MILL FINISH</t>
  </si>
  <si>
    <t>PIPE Ø2" NOM X .154" WALL SCH 40 CLEAR PVC PER D1784 MILL FINISH</t>
  </si>
  <si>
    <t>OR EQUIVALENT TO: ASTM D1785. TAGGING INFO. SHALL BE CLEARLY LEGIBLE &amp; SHALL INCL. APPLICABLE DATA THAT FOLLOWS: SIZE, TYPE, GRADE, &amp; ASTM NO's._x000D_HIPCO PART#: 400CL-020I</t>
  </si>
  <si>
    <t>PIPE Ø1 1/2" NOM X .145" WALL SCH 40 CLEAR PVC PER D1784 MILL FINISH</t>
  </si>
  <si>
    <t>OR EQUIVALENT TO: ASTM D1785. TAGGING INFO. SHALL BE CLEARLY LEGIBLE &amp; SHALL INCL. APPLICABLE DATA THAT FOLLOWS: SIZE, TYPE, GRADE, &amp; ASTM NO's._x000D_HIPCO PART#: 400CL-015I</t>
  </si>
  <si>
    <t>OR EQUIVALENT TO: ASTM D1785. TAGGING INFO. SHALL BE CLEARLY LEGIBLE &amp; SHALL INCL. APPLICABLE DATA THAT FOLLOWS: SIZE, TYPE, GRADE, &amp; ASTM NO's._x000D__x000D_HARRINGTON P/N: 400CL-012H</t>
  </si>
  <si>
    <t>PIPE Ø1" NOM X .133" WALL SCH 40 CLEAR PVC PER D1784 MILL FINISH</t>
  </si>
  <si>
    <t>PIPE Ø6" NOM X 0.1" WALL WHITE PVC PER ASTM D2729</t>
  </si>
  <si>
    <t>McMASTER CARR #2426K95 OR EQUAL</t>
  </si>
  <si>
    <t>PIPE 3/8" NOM X .091" WALL SCH 40 DARK GRAY PVC PER D1784 MILL FINISH</t>
  </si>
  <si>
    <t>MCMASTER-CARR P/N: 48925K42 (10 ft. size)</t>
  </si>
  <si>
    <t>BAR HEX 2" COMMERCIAL LEADED BRONZE PER B16 MILL FINISH</t>
  </si>
  <si>
    <t>BRASS, ALLOY: CDA 360_x000D_TAGGING INFO. SHALL BE CLEARLY LEGIBLE &amp; SHALL INCL. APPLICABLE DATA THAT FOLLOWS: SIZE, TYPE, GRADE, &amp; ASTM NO's. ENVR. ELEMENTS OR HNDLG, CARBON STL. BANDING MUST NOT CONTACT SS MAT'LS.</t>
  </si>
  <si>
    <t>Part_PartNum</t>
  </si>
  <si>
    <t>Part_PartDescription</t>
  </si>
  <si>
    <t>Unit_Cost</t>
  </si>
  <si>
    <t>PO_NUM</t>
  </si>
  <si>
    <t>Order_Date</t>
  </si>
  <si>
    <t>Part_CommentText</t>
  </si>
  <si>
    <t>BLIND GASKET, 3" ANSI FLANGE, 0.25" THICK - EPDM</t>
  </si>
  <si>
    <t>BLIND GASKET, 4" ANSI FLANGE, 0.25" THICK - EPDM</t>
  </si>
  <si>
    <t>BLIND GASKET, 5" ANSI FLANGE, 0.25" THICK - EPDM</t>
  </si>
  <si>
    <t>BLIND GASKET, 6" ANSI FLANGE, 0.25" THICK - EPDM</t>
  </si>
  <si>
    <t>STYLE 1193, NSF-61 CERTIFIED 70 +/-5 DURO</t>
  </si>
  <si>
    <t>BLIND GASKET, 8" ANSI FLANGE, 0.25" THICK - EPDM</t>
  </si>
  <si>
    <t>BLIND GASKET, 3" ANSI FLANGE, 0.25" THICK - NEOPRENE</t>
  </si>
  <si>
    <t>BLIND GASKET, 4" ANSI FLANGE, 0.25" THICK - NEOPRENE</t>
  </si>
  <si>
    <t>BLIND GASKET, 5" ANSI FLANGE, 0.25" THICK - NEOPRENE</t>
  </si>
  <si>
    <t>BLIND GASKET, 6" ANSI FLANGE, 0.25" THICK - NEOPRENE</t>
  </si>
  <si>
    <t>BLIND GASKET, 8" ANSI FLANGE, 0.25" THICK - NEOPRENE</t>
  </si>
  <si>
    <t>CAULK, NSF-61/FOOD GRADE (10.1 fl oz) (NOT SHOWN)</t>
  </si>
  <si>
    <t>PURF</t>
  </si>
  <si>
    <t>SIKA-FLEX-1a</t>
  </si>
  <si>
    <t>HILTI INC*</t>
  </si>
  <si>
    <t>HILTI MFG #: 3778131</t>
  </si>
  <si>
    <t>STANDARD DUTY SEAL Ø2 7/16" SHAFT W/ALUMINUM HOUSING AND FACE</t>
  </si>
  <si>
    <t>AGD PRODUCTS, INC</t>
  </si>
  <si>
    <t>DURASHIELD P# SDNS-2.4375</t>
  </si>
  <si>
    <t>ADJUSTABLE LEVER ARM-  P#: 3SX03-KL201</t>
  </si>
  <si>
    <t>CONTROL SOURCE, INC</t>
  </si>
  <si>
    <t>CONT</t>
  </si>
  <si>
    <t>SIEMENS  P#: 3SX03-KL201</t>
  </si>
  <si>
    <t>LIMIT SWITCH, LEVER TYPE W/SPRING RETURN, 16.5 DEG TO CONTACT, 43 DEG MAX TRAVEL, NEMA 4</t>
  </si>
  <si>
    <t>ALLEN BRADLEY PART #: 802X-A4</t>
  </si>
  <si>
    <t>Ø3 1/2" ID, TWO-PIECE CLAMP-ON SHAFT COLLAR, 316 SS</t>
  </si>
  <si>
    <t>MCMASTER CARR P#:9633T680</t>
  </si>
  <si>
    <t>MEGA BEARING 3" SHAFT DIA. W/ HPVT LINER</t>
  </si>
  <si>
    <t>POLY-TECH INDUSTRIAL</t>
  </si>
  <si>
    <t>P# WAS JMS-JB300</t>
  </si>
  <si>
    <t>MEGA BEARING 3 1/2" SHAFT DIA. W/ HPVT LINER</t>
  </si>
  <si>
    <t>P# WAS JMS-JB308</t>
  </si>
  <si>
    <t>Ø50MM NYLON WHEEL</t>
  </si>
  <si>
    <t>ONE MONROE</t>
  </si>
  <si>
    <t>MAGNUS P#: POA 50-8G</t>
  </si>
  <si>
    <t>Ø5" K-WHEEL, 2" WIDE,W/ Ø3/4" BORE DELRIN BUSHING</t>
  </si>
  <si>
    <t>MAGNUS P#:KT52D-12</t>
  </si>
  <si>
    <t>Ø3/4" BORE DELRIN BUSHING</t>
  </si>
  <si>
    <t>MAGNUS P#:DB-121900</t>
  </si>
  <si>
    <t>Ø1/2" DELRIN BORE SPANNER</t>
  </si>
  <si>
    <t>MAGNUS P#:SD-081239</t>
  </si>
  <si>
    <t>HITCH PIN W/ TETHER &amp; RING, Ø3/4" X 4 1/2" STYLE 2</t>
  </si>
  <si>
    <t>MCMASTER CARR  P#:98497A350</t>
  </si>
  <si>
    <t>HIT-RE 500 V3(11.1 fl oz / 330 mL)</t>
  </si>
  <si>
    <t>HILTI MFG #:2123401-HIT-RE 500 V3</t>
  </si>
  <si>
    <t>EASW-400S EA, SPLIT MECO WALL SEAL</t>
  </si>
  <si>
    <t>UPTIME TECHNOLOGY INC</t>
  </si>
  <si>
    <t>MFG PART#:CS-4579-AP</t>
  </si>
  <si>
    <t>CORDSET 10 METER FEMALE M12  CABLE 4PIN 90D (NOT SHOWN)</t>
  </si>
  <si>
    <t>SCHNEIDER ELECTRIC P#: XZCPV1241L10</t>
  </si>
  <si>
    <t>INDUCTIVE PROXIMITY SENSOR OSISENSE XS, XT, CYLINDRICAL Ø30, PROGRAMMABLE MULTI SYSTEM, SENSING DISTANCE 10MM, OSICONCEPT, OUTPUT PNP, NO, REMOTE M12 CONNECTOR (NOT SHOWN)</t>
  </si>
  <si>
    <t>SCHNEIDER ELECTRIC P#: XS630B2PAL01M12</t>
  </si>
  <si>
    <t>1/4 HP PARALLEL HELICAL GEARMOTOR, 0.91 RPM OUTPUT, 1884:1 RATIO, 3PH/60Hz/460V, M1 MTG. POS., CLASS "F" INSUL. _x000D_
120V THERMOSTAT OVERLOAD PROTECTION, W/ROTARY _x000D_
ENCODER E171-HTL1 (1 PERIOD/REVOLUTION) W/ DRAINS</t>
  </si>
  <si>
    <t>SEW-EURODRIVE*</t>
  </si>
  <si>
    <t>MOTO</t>
  </si>
  <si>
    <t>SEW P#: FA67BR37DRS71S4</t>
  </si>
  <si>
    <t>PUSH BUTTON, MUSHROOM 30mm PUSH/PULL</t>
  </si>
  <si>
    <t>BACO P#: LBX15301_x000D_
MCMASTER P#: 6785K21_x000D_
_x000D_
OR EQUIVALENT</t>
  </si>
  <si>
    <t>Ø1 1/2" UHMW SLEEVE BEARING W/ 304 SS HOUSING</t>
  </si>
  <si>
    <t>MCMASTER CARR P#: 6252K490</t>
  </si>
  <si>
    <t>MCMASTER CARR PART # - 6436K410_x000D_
OR EQUIVALENT</t>
  </si>
  <si>
    <t>2 BOLT FLANGE BLOCK BALL BEARING, 1 1/2" BORE</t>
  </si>
  <si>
    <t>LINK BELT PART # FX3-U224N</t>
  </si>
  <si>
    <t>BRONZE THRUST BEARING, Ø1 1/2" ID, Ø2 1/2" OD, 1/8" THICK</t>
  </si>
  <si>
    <t>MCMASTER CARR PART # 5906K526_x000D_
OR EQUIVALENT</t>
  </si>
  <si>
    <t>HEAVY DUTY WIRE ROPE THIMBLE FOR LIFTING, 316 SS, FOR Ø1/4" ROPE</t>
  </si>
  <si>
    <t>MCMASTER-CARR P#:3495T52</t>
  </si>
  <si>
    <t>1/4" WIRE ROPE CLAMP. 304 SS (NOT SHOWN)</t>
  </si>
  <si>
    <t>FEHR BROTHERS INDUSTRIES INC</t>
  </si>
  <si>
    <t>MCMASTER-CARR P#:31985T73</t>
  </si>
  <si>
    <t>OMEGA ELASTOMERIC COUPLING, Ø4" STRAIGHT BORE W/ KEYWAY TO Ø6 1/4" STRAIGHT BORE W/ KEYWAY</t>
  </si>
  <si>
    <t>REXNORD MFG #: E-120</t>
  </si>
  <si>
    <t>Ø1-1/2" CLAMPING TWO-PIECE SHAFT COLLAR 316SS</t>
  </si>
  <si>
    <t>MCMASTER CARR PART # -9633T280_x000D_
OR EQUIVALENT_x000D_
_x000D_
MCMASTER CARR</t>
  </si>
  <si>
    <t>SHEAR PIN 5/16" X 2-1/4" 18-8</t>
  </si>
  <si>
    <t>MCMASTER CARR P#: 92390A226</t>
  </si>
  <si>
    <t>Ø1/8" X 1-1/2" LG. COTTER PIN SS 18-8</t>
  </si>
  <si>
    <t>MCMASTER CARR P#: 98401A485</t>
  </si>
  <si>
    <t>MEGA BEARING 4" SHAFT DIA. W/ HPVT LINER</t>
  </si>
  <si>
    <t>PART # WAS JMS-JB400</t>
  </si>
  <si>
    <t>1/8" NPT COMPACT BALL VALVE</t>
  </si>
  <si>
    <t>MCMASTER CARR P#: 4912K100</t>
  </si>
  <si>
    <t>M10 X 1mm x 1/8NPT STRAIGHT ADAPTER</t>
  </si>
  <si>
    <t>MCMASTER CARR P#:4936K153</t>
  </si>
  <si>
    <t>SAE 841 BRONZE FLANGED-SLEEVE BEARING, Ø1-1/2" SHAFT, 1-1/2" LG, 3/16" FLANGE, Ø2" OD</t>
  </si>
  <si>
    <t>MCMASTER CARR PART#: 6338K442</t>
  </si>
  <si>
    <t>Ø3" ROUND TUBE INSERT GLIDE, BLACK LDPE</t>
  </si>
  <si>
    <t>ESSENTRA P#:RDR301418A</t>
  </si>
  <si>
    <t>HINGE, W/OUT HOLES 1-1/2" , 304 SS</t>
  </si>
  <si>
    <t>MCMASTER P#:1582A207_x000D_
OR EQUIVALENT</t>
  </si>
  <si>
    <t>NEMA 6P LIMIT SWITCH -P# SE03-AR1</t>
  </si>
  <si>
    <t>SIEMENS P#: 3SE03-AR1_x000D_
_x000D_
OR EQUIVALENT</t>
  </si>
  <si>
    <t>MCMASTER MFG #:45605K513 OR EQUIVALENT</t>
  </si>
  <si>
    <t>EXTERNAL RETAINING RING Ø4"</t>
  </si>
  <si>
    <t>MOTION INDUSTRIES, INC *</t>
  </si>
  <si>
    <t>MCMASTER # 91590A251 OR EQUIVALENT</t>
  </si>
  <si>
    <t>BRACKET, HANDRAIL SIDE MOUNT</t>
  </si>
  <si>
    <t>GOLDEN RAILINGS, INC</t>
  </si>
  <si>
    <t>P#:GR-157_x000D_
GOLDEN RAILING Part #25 Side-mount Bracket_x000D_
_x000D_
OR EQUIVALENT</t>
  </si>
  <si>
    <t>GRATING CLIP</t>
  </si>
  <si>
    <t>OHIO GRATING P#:GRATING CLIP</t>
  </si>
  <si>
    <t>Ø3" M2000 4-BOLT FLANGED SPHERICAL ROLLER BEARING, WITH GARTER SEAL</t>
  </si>
  <si>
    <t>MOLINE P#:19211300G</t>
  </si>
  <si>
    <t>Ø3 1/2" M2000 4-BOLT FLANGED SPHERICAL ROLLER BEARING</t>
  </si>
  <si>
    <t>BDI</t>
  </si>
  <si>
    <t>MOLINE P#:19211308</t>
  </si>
  <si>
    <t>Ø2 1/2" M2000 4-BOLT FLANGED SPHERICAL ROLLER BEARING</t>
  </si>
  <si>
    <t>MOLINE P#:19211208</t>
  </si>
  <si>
    <t>CHAIN COUPLING W/ COVER, 8020F BORED TO Ø2 1/8" FOR RF87, 8020 TLF TAPER LOCK Ø2 1/2"</t>
  </si>
  <si>
    <t>U.S. TSUBAKI P#:8020TLF-2125 X 250</t>
  </si>
  <si>
    <t>CHAIN COUPLING W/ COVER, 8020F BORED TO Ø2 1/8" FOR RF87, 8020 TLF TAPER LOCK Ø3"</t>
  </si>
  <si>
    <t>U.S. TSUBAKI P#:8020TLF-2125 X 300</t>
  </si>
  <si>
    <t>CHAIN COUPLING W/ COVER, 8020F BORED TO Ø2 3/8" FOR RF97, 8020 TLF TAPER LOCK Ø2 1/2"</t>
  </si>
  <si>
    <t>U.S. TSUBAKI P#:8020TLF-2375 X 250</t>
  </si>
  <si>
    <t>CHAIN COUPLING W/ COVER, 8020F BORED TO Ø2 3/8" FOR RF97, 8020 TLF TAPER LOCK Ø3"</t>
  </si>
  <si>
    <t>U.S. TSUBAKI P#:8020TLF-2375 X 300</t>
  </si>
  <si>
    <t>CHAIN COUPLING W/ COVER, 8020F BORED TO Ø2 7/8" FOR RF97, 8020 TLF TAPER LOCK Ø3"</t>
  </si>
  <si>
    <t>U.S. TSUBAKI P#:8020TLF-2875 X 300</t>
  </si>
  <si>
    <t>PIPE FLANGE, Ø3" 304 SS</t>
  </si>
  <si>
    <t>MCMASTER MFG #:44685K186 OR EQUIVALENT</t>
  </si>
  <si>
    <t>PIPE FLANGE, Ø6" 304 SS</t>
  </si>
  <si>
    <t>MCMASTER MFG #:44685K188 OR EQUIVALENT</t>
  </si>
  <si>
    <t>PIPE FLANGE, Ø10" 304 SS</t>
  </si>
  <si>
    <t>MCMASTER MFG #:44685K322 OR EQUIVALENT</t>
  </si>
  <si>
    <t>Ø3" CLIPPER SEAL</t>
  </si>
  <si>
    <t>WYATT SEAL, INC.</t>
  </si>
  <si>
    <t>MFG PART#: 18173H1L5</t>
  </si>
  <si>
    <t>PIANO HINGE, 1 1/2" X 36", 304 SS</t>
  </si>
  <si>
    <t>MCMASTER PART#: 1658A734 OR EQUIVALENT</t>
  </si>
  <si>
    <t>MCMASTER PART#: 1658A731 OR EQUIVALENT</t>
  </si>
  <si>
    <t>HEAVY DUTY SEAL FOR Ø3.00 SHAFT W/ALUMINUM HOUSING, SS FACE</t>
  </si>
  <si>
    <t>DURASHIELD PART#: HDNS-3.00 OR EQUIVALENT</t>
  </si>
  <si>
    <t>Ø3" EXPANSION SPHERICAL ROLLER FLANGE BLOCK BEARING</t>
  </si>
  <si>
    <t>DODGE PART#: DOD-F4B-E-300R OR EQUIVALENT</t>
  </si>
  <si>
    <t>ADJUSTABLE-FLOW MACHINE-MOUNT GREASE DISPENSER PLASTIC, 2 OZ. CAPACITY</t>
  </si>
  <si>
    <t>MCMASTER PART#: 1303K120</t>
  </si>
  <si>
    <t>45 DEGREE, 1/4"-28 SAE-LT MALE X 1/8 NPTF FEMALE, 303 SS</t>
  </si>
  <si>
    <t>MCMASTER CARR PART#: 9006T32 OR EQUIVALENT</t>
  </si>
  <si>
    <t>RUBBER GROMMET. Ø1/2" HOLE, 1/4" MATLTHK, Ø5/16" ID</t>
  </si>
  <si>
    <t>MCMASTER PART#: 9600K540 OR EQUIVALENT</t>
  </si>
  <si>
    <t>PIANO HINGE, W/ HOLES 1 1/2" X 36", 316 SS</t>
  </si>
  <si>
    <t>MCMASTER PART#: 1605A28 OR EQUIVALENT</t>
  </si>
  <si>
    <t>PIANO HINGE, 1 1/2" X 12", 316 SS</t>
  </si>
  <si>
    <t>MCMASTER PART#: 1605A27 OR EQUIVALENT</t>
  </si>
  <si>
    <t>E-STOP,  W/ 2 SP/DT MICROSWITCHES, NEMA 4X [RS2]</t>
  </si>
  <si>
    <t>CONVEYOR COMPONENTS COMPANY</t>
  </si>
  <si>
    <t>NAMEPLATE, SEE DRAWING FOR SERIAL #'S</t>
  </si>
  <si>
    <t>ZERO SPEED/MOTION SENSOR, MODEL MILTRONICS MSP-12.</t>
  </si>
  <si>
    <t>THOMAS CONVEYOR CO</t>
  </si>
  <si>
    <t>SIEMENS MFG PART#: 7MH7146-0EA</t>
  </si>
  <si>
    <t>20T SPROCKET, TYPE B HUB, 2 7/8" KEYED BORE, RS # 120</t>
  </si>
  <si>
    <t>US TSUBAKI P/N: 120B20_x000D_ATLANTIC P/N: 120BF 2-7/8 SPROCKET</t>
  </si>
  <si>
    <t>60T SPROCKET, TYPE J HUB, 4" BORE</t>
  </si>
  <si>
    <t>US TSUBAKI P/N: 120J60_x000D_ATLANTIC P/N: 120J60 SPROCKET</t>
  </si>
  <si>
    <t>TWO-PIECE SHAFT COLLAR, 4" ID X 5 1/4" OD X 7/8", 316 SS</t>
  </si>
  <si>
    <t>MCMASTER P/M: 9633T710</t>
  </si>
  <si>
    <t>LINK SEAL FOR 3 7/16" TO 4" SS HARDWARE</t>
  </si>
  <si>
    <t>COASTAL SALES COMPANY</t>
  </si>
  <si>
    <t>LINK SEAL P/N: LS-340-S-13</t>
  </si>
  <si>
    <t>Ø1/2" X 1 1/2" LG. CLEVIS PIN WITH REUSABLE COTTER PIN SS 316, USABLE LENGTH 1 1/4"</t>
  </si>
  <si>
    <t>MCMASTER PART#: 92401A709</t>
  </si>
  <si>
    <t>HIT-RE 500 V3(16.9 fl oz / 500 mL)</t>
  </si>
  <si>
    <t>REF. HILTI MFG #:2123404-HIT-RE 500 V3</t>
  </si>
  <si>
    <t>HIT-HY 200-R V3 (16.9 fl oz / 500 mL)</t>
  </si>
  <si>
    <t>REF. HILTI MFG #: 3778135</t>
  </si>
  <si>
    <t>SPROCKET, HB78 T14 COMPACT SHEAR PIN ASSY. SHEAR PINNECK DIAMETER: Ø0.295"- Ø2 3/8" BORE- 316L SS</t>
  </si>
  <si>
    <t>BREWTON IRON WORKS INC*</t>
  </si>
  <si>
    <t>UHMW SPKT. 11.72" P.D. x 1" T.F. MTD, ON A STEEL BACK PL. COMP. W/ D.I. HUB, USE NYLOCK NUTS, PER DWG. W-6034, 1/2" DIA. 1215 S/P, ALL HDW 316 SST, PAINT W/ TNEMEC N141 WHITE POTA-POX 8-10 MILS DFT</t>
  </si>
  <si>
    <t>SPROCKET, HB78 T14 COMPACT SHEAR PIN ASSY. SHEAR PINNECK DIAMETER: Ø0.257"- Ø2 3/8" BORE- 316L SS</t>
  </si>
  <si>
    <t>ACME HEX NUT, 1 1/4"-4 THREAD, 304 SS</t>
  </si>
  <si>
    <t>MCMASTER P#: 95066A225 OR EQUIVALENT</t>
  </si>
  <si>
    <t>2" PLASTIC PIPE CAP, FEMALE, WHITE PVC</t>
  </si>
  <si>
    <t>MCMASTER PART#: 4880K560 OR EQUIVALENT</t>
  </si>
  <si>
    <t>3" TO 2" PIPE REDUCER, WHITE PVC</t>
  </si>
  <si>
    <t>MCMASTER P#: 4880K612 OR EQUIVALENT</t>
  </si>
  <si>
    <t>3" MALE NPT TO 3" FEMALE SOCKET PIPE ADAPTER, WHITE PVC</t>
  </si>
  <si>
    <t>MCMASTER P#: 4880K670 OR EQUIVALENT</t>
  </si>
  <si>
    <t>ADHESIVE-BACK VERTICAL RULER, BOTTOM TO TOP READING, 36" LONG, 1 1/4" WIDE</t>
  </si>
  <si>
    <t>MCMASTER P#: 20325A12 OR EQUIVALENT</t>
  </si>
  <si>
    <t>T-HANDLE LOCKING QUICK RELEASE PIN, Ø3/8" X 4 1/2", SS</t>
  </si>
  <si>
    <t>MCMASTER P#: 90980A365 OR EQUIVALENT</t>
  </si>
  <si>
    <t>1/8 NPT ST ZERK</t>
  </si>
  <si>
    <t>MCMASTER P/N: 3088K16 OR EQUIVALENT</t>
  </si>
  <si>
    <t>TYPE 1 (L) HANDWHEEL LIFT 18" (1-1/8 STEM)-  1-1/8"- 4 TPI SINGLE LEAD ACME THREAD</t>
  </si>
  <si>
    <t>MCWANE PLANT &amp; INDUSTRIAL LLC</t>
  </si>
  <si>
    <t>MFG PART#: TYPE 1</t>
  </si>
  <si>
    <t>C.I. SPLIT BEARING, Ø4 7/16" BRONZE LINER</t>
  </si>
  <si>
    <t>BREWTON P/N: KB-KL 407 BRZ</t>
  </si>
  <si>
    <t>SASH CHAIN LANYARD, 6" LG, TRADE SIZE 8, 304 SS</t>
  </si>
  <si>
    <t>MCMASTER PART#: 92692A550 OR EQUIVALENT</t>
  </si>
  <si>
    <t>MOTION FAILURE ALARM CONTROLLER, MODEL MFA 4P, PN 7MH7144-1AA2, SINGLE SET POINT, NEMA 4X</t>
  </si>
  <si>
    <t>SIEMENS MFG PART#: 7MH7144-1AA2</t>
  </si>
  <si>
    <t>1/4 NPT ST ZERK</t>
  </si>
  <si>
    <t>MCMASTER P/N: 1293K36 OR EQUIVALENT</t>
  </si>
  <si>
    <t>#8-32 X 1/2" LG. BRASS ALLEN HEAD SOCKET CAP SCREW</t>
  </si>
  <si>
    <t>MCMASTER P/N: 93465A194 OR EQUIVALENT</t>
  </si>
  <si>
    <t>Ø1 15/16" UHMW-PE PILLOW BLOCK BEARING</t>
  </si>
  <si>
    <t>Mc-MASTER-CARR P#:6254K27</t>
  </si>
  <si>
    <t>FLANGED SLEEVE BEARING, OIL EMBEDDED, Ø1 1/2" ID, Ø1 3/4" HOUSING ID, 1 1/2" LG</t>
  </si>
  <si>
    <t>MFG PART#: 6338K442 OR EQUIVALENT</t>
  </si>
  <si>
    <t>SELF ADHESIVE-BACK RULER, 3' LG X 1 1/4" WIDE, MARKS IN 16THS READS TOP TO BOTTOM</t>
  </si>
  <si>
    <t>MCMASTER #19395A38 OR EQUIVALENT</t>
  </si>
  <si>
    <t>ADHESIVE-BACK VERTICAL RULER X 72</t>
  </si>
  <si>
    <t>MCMASTER PART#: 20335A71 OR EQUIVALENT</t>
  </si>
  <si>
    <t>2" MALE NPT TO 2" PIPE ADAPTER (PVC)</t>
  </si>
  <si>
    <t>MCMASTER PART#: 4880K66 OR EQUIVALENT</t>
  </si>
  <si>
    <t>BRONZE THRUST WASHER, 3/4" ID X  1 3/4" OD X 1/8" THK</t>
  </si>
  <si>
    <t>MCMASTER # 5906K521 OR EQUIVALENT</t>
  </si>
  <si>
    <t>1/8" WIRE ROPE CLAMP</t>
  </si>
  <si>
    <t>MCMASTER-CARR P#:31985T71 OR EQUIVALENT</t>
  </si>
  <si>
    <t>MFG PART #6494K450 OR EQUIVALENT</t>
  </si>
  <si>
    <t>Ø 1-1/4 X 4-3/8 CLEVIS PIN, 18-8 SS</t>
  </si>
  <si>
    <t>MFG PART # 92390A849 OR EQUIVALENT</t>
  </si>
  <si>
    <t>1-1/8 X 1-1/2 CLEVIS PIN, 1.4" WIRE, 18-8 SS</t>
  </si>
  <si>
    <t>MFG PART # 92391A190 OR EQUIVALENT</t>
  </si>
  <si>
    <t>CLEVIS ROD END FOR 4" BORE HYDRAULIC CYLINDER</t>
  </si>
  <si>
    <t>MFG PART # 62205K49</t>
  </si>
  <si>
    <t>SPROCKET, HB78 SHEAR PINNECK DIAMETER: Ø0.257"- 316L SS</t>
  </si>
  <si>
    <t>SPROCKET, HB78 . SHEAR PINNECK DIAMETER: Ø0.295"- 316L SS</t>
  </si>
  <si>
    <t>HEAVY DUTY IRON-COPPER THRUST BEARING, Ø1 1/2" ID, Ø3 9/16" OD, 9/32" THICK</t>
  </si>
  <si>
    <t>MCMASTER # 3750K32 OR EQUIVALENT</t>
  </si>
  <si>
    <t>Ø4" SCH10- 90° LONG ELBOW- BUTT-WELD 304L SS PIPE FITTING</t>
  </si>
  <si>
    <t>Mc-MASTER-CARR P# 45735K219</t>
  </si>
  <si>
    <t>WATER- AND STEAM-RESISTANT EPDM GASKET / WITH BOLT HOLES, ANSI 150. 1/8" THICK</t>
  </si>
  <si>
    <t>MCMASTER CARR P#: 1082N16</t>
  </si>
  <si>
    <t>SPROCKET, HB78 T14 COMPACT SHEAR PIN ASSY. SHEAR PIN NECK SIZE: Ø0.167"- Ø2 1/8" BORE</t>
  </si>
  <si>
    <t>BREWTON P/N: W-6034 OR EQUIVALENT</t>
  </si>
  <si>
    <t>SPROCKET, HB78 T14 COMPACT SHEAR PIN ASSY. SHEAR PIN NECK SIZE: Ø0.144"- Ø1 5/8" BORE</t>
  </si>
  <si>
    <t>Ø3" CLAMPING TWO-PIECE SHAFT COLLAR 316SS</t>
  </si>
  <si>
    <t>MCMASTER CARR PART # -9633T550_x000D_
OR EQUIVALEN</t>
  </si>
  <si>
    <t>LOAD DISC II LOAD CELL, LOWER CAPACITY, 0.1% ACCURACY, 10000 LB RATED LOAD, AMBIANT TEMP, 25FT OF CABLE, BRUSHED FINISH</t>
  </si>
  <si>
    <t>PROCESS SOLUTIONS INC</t>
  </si>
  <si>
    <t>VENDOR PART # C1-1-10K-X-025-X OR EQUIVALENT</t>
  </si>
  <si>
    <t>HIGH PERFORMANCE WEIGH INDICATOR</t>
  </si>
  <si>
    <t>VENDOR PART # SVS2000 OR EQUIVALENT</t>
  </si>
  <si>
    <t>CLAMPING TWO-PIECE SHAFT COLLAR FOR 1-3/8" DIAMETER, 304 STAINLESS STEEL</t>
  </si>
  <si>
    <t>VENDOR PART # 2380K330 OR EQUIVALENT</t>
  </si>
  <si>
    <t>PIVOT BRACKET FOR 4" BORE DIAMETER HYDRAULIC CYLINDER</t>
  </si>
  <si>
    <t>VENDOR PART # 62205K440 OR EQUIVALENT</t>
  </si>
  <si>
    <t>THREE-BOLT FLANGE-MOUNTED BALL BEARING FOR 1-3/8" SHAFT</t>
  </si>
  <si>
    <t>VENDER PART# 8260K190 OR EQUIVALENT</t>
  </si>
  <si>
    <t>HEAVY DUTY SEAL FOR Ø4" SHAFT W/ALUMINUM HOUSING, SS FACE</t>
  </si>
  <si>
    <t>VENDOR PART# HDNS-4 OR EQUIVALENT</t>
  </si>
  <si>
    <t>Ø4" EXPANSION SPHERICAL ROLLER FLANGE BLOCK BEARING</t>
  </si>
  <si>
    <t>VENDOR PART# EFR-B22464H OR EQUIVALENT</t>
  </si>
  <si>
    <t>2 1/2" MALE NPT TO 2 1/2" FEMALE SOCKET PIPE ADAPTER, WHITE PVC</t>
  </si>
  <si>
    <t>MCMASTER PART#: 4880K163 OR EQUIVALENT</t>
  </si>
  <si>
    <t>2 1/2" TO 2" PIPE REDUCER, WHITE PVC</t>
  </si>
  <si>
    <t>MCMASTER PART#: 4880K516 OR EQUIVALENT</t>
  </si>
  <si>
    <t>PIPE BELOW REDUCED 1 FNPT X 3/4 FNPT, 150 PSI,  304SS, SCH40</t>
  </si>
  <si>
    <t>4464K535</t>
  </si>
  <si>
    <t>TEE CONNECTOR 3/4" TUBE OD</t>
  </si>
  <si>
    <t>5182K741</t>
  </si>
  <si>
    <t>INLINE TEE ADAPTER, 3/4" TUBE OD x 3/4" NPT MALE</t>
  </si>
  <si>
    <t>5182K777</t>
  </si>
  <si>
    <t>Straight Adapter for 3/4" Tube OD x 1 NPT Male</t>
  </si>
  <si>
    <t>5182K836</t>
  </si>
  <si>
    <t>3-piece full port ss 1500cwp 1-1/2 npt ball valve</t>
  </si>
  <si>
    <t>86A-107-01</t>
  </si>
  <si>
    <t>3-PIECE FULL PORT, SS, 1500 CWP, 3/4" NPT BALL VALVE</t>
  </si>
  <si>
    <t>86A-104-01</t>
  </si>
  <si>
    <t>PIPE BUSHING REDUCER HEX, 1 1/2" MALE NPT X 3/4" FEMALE NPT, 150 PSI, 304SS</t>
  </si>
  <si>
    <t>4464K156</t>
  </si>
  <si>
    <t>PIPE NIPPLE 3/4 NPT X 2", 150 PSI,  304SS, SCH40</t>
  </si>
  <si>
    <t>4830K193</t>
  </si>
  <si>
    <t>PIPE NIPPLE 3/4 NPT X 6", 150 PSI,  304SS, SCH40</t>
  </si>
  <si>
    <t>4830K198</t>
  </si>
  <si>
    <t>PIPE BUSHING REDUCER HEX  1 MNPT X 3/4 FNPT, 150 PSI,  304SS, SCH40</t>
  </si>
  <si>
    <t>4464K276</t>
  </si>
  <si>
    <t>STRAIGHT ADAPTER, 3/4" TUBE OD x 3/4" MALE NPT</t>
  </si>
  <si>
    <t>52245K543</t>
  </si>
  <si>
    <t>U-BOLT TUBING 3/4" ID, 1/4"-20 THREAD, 2-1/4" HEIGHT, 304 SS</t>
  </si>
  <si>
    <t>8896T102</t>
  </si>
  <si>
    <t>PIPE CONNECTOR STRAIGHT 1 FNPT, 150 PSI,  304SS</t>
  </si>
  <si>
    <t>4464K356</t>
  </si>
  <si>
    <t>PIPE BUSHING REDUCER HEX, 3/8" MALE NPT X 1/8" FEMALE NPT, 150 PSI, 304SS</t>
  </si>
  <si>
    <t>McMASTER CARR: 4464K262</t>
  </si>
  <si>
    <t>PIPE TEE 90° STRAIGHT 1-1/2 NPT, 150 PSI,  304SS, SCH40</t>
  </si>
  <si>
    <t>4464K55</t>
  </si>
  <si>
    <t>PIPE BELOW REDUCER 1-1/2 FNPT X 1 FNPT, 150 PSI,  304SS SCH40</t>
  </si>
  <si>
    <t>4464K544</t>
  </si>
  <si>
    <t>PIPE BELOW REDUCER 1-1/2 FNPT X 3/4 FNPT, 150 PSI,  304SS SCH40</t>
  </si>
  <si>
    <t>4464K543</t>
  </si>
  <si>
    <t>4.5" PROCESS GAGE WITH STABILIZER TECHNOLOGY, RANGE 0-300 PSIG, 1/2" MALE NPT, WITH FLUSH MOUNT RING</t>
  </si>
  <si>
    <t>CAROTEK*</t>
  </si>
  <si>
    <t>765-07-4N-FMR</t>
  </si>
  <si>
    <t>3-PIECE FULL PORT SS 1500CWP 1 NPT BALL VALVE</t>
  </si>
  <si>
    <t>86A-105-01</t>
  </si>
  <si>
    <t>PIPE TEE 90° REDUCED 3/4 FNPT X 1/4 FNPT, 150 PSI,  304SS SCH40</t>
  </si>
  <si>
    <t>4464K993</t>
  </si>
  <si>
    <t>PRESSURE REGULATING VALVE, 3/4" NPT FEMALE CONNECTIONS</t>
  </si>
  <si>
    <t>CLA-VAL PART NUMBER: CRD40-0.75</t>
  </si>
  <si>
    <t>12" STYLE 20, 316 STAINLESS STEEL SWIVEL W/ BUTT WELD ENDS FOR SCH 40 PIPE, SS BALL BEARINGS, TRIPLE SEALED FOR SUBMERGED SERVICE</t>
  </si>
  <si>
    <t>HPF, INC.</t>
  </si>
  <si>
    <t>OPW PART#: 03420-1201</t>
  </si>
  <si>
    <t>PIPE BUSHING REDUCER HEX  3/4 MNPT X 1/4 FNPT, 150 PSI,  304SS, SCH40</t>
  </si>
  <si>
    <t>4464K268</t>
  </si>
  <si>
    <t>12" LONG 90 DEG BUTT WELD ELBOW X SCH 40, 316L SS</t>
  </si>
  <si>
    <t>H.M. CRAIG METAL PART#: 03-S04I6L9-12</t>
  </si>
  <si>
    <t>PIPE ELBOW 45° 3/4 FNPT, 150 PSI,  304SS, SCH 40</t>
  </si>
  <si>
    <t>4464K27</t>
  </si>
  <si>
    <t>TUBING STRAIGHT ADAPTER. FOR 1/4" OD TUBE X 3/4" NPT MALE</t>
  </si>
  <si>
    <t>5182K439</t>
  </si>
  <si>
    <t>Ø1 1/4" UHMW SLEEVE BEARING W/ SS HOUSING</t>
  </si>
  <si>
    <t>MCMASTER PART#: 6252K480 OR EQUIVALENT</t>
  </si>
  <si>
    <t>PIPE ELBOW 90° STRAIGHT 4 NPS, SHORT RAD, 150 PSI,  304SS SCH40 WELD</t>
  </si>
  <si>
    <t>45605K217_x000D_
$112.40</t>
  </si>
  <si>
    <t>PIPE TEE 90° STRAIGHT 4 NPS, 150 PSI,  304SS SCH40 WELD</t>
  </si>
  <si>
    <t>45605K633</t>
  </si>
  <si>
    <t>PIPE REDUCER 6" X 4" , 150 PSI,  304SS SCH40 WELD</t>
  </si>
  <si>
    <t>MCMASTER#45605K786 / OR EQUIVALENT</t>
  </si>
  <si>
    <t>PIPE ELBOW 90° STRAIGHT 6 NPS, LONG RAD, 150 PSI,  304SS SCH40 WELD</t>
  </si>
  <si>
    <t>45605K525</t>
  </si>
  <si>
    <t>1 1/2" PLASTIC PIPE CAP, FEMALE, WHITE PVC</t>
  </si>
  <si>
    <t>MCMASTER PART#: 4880K55</t>
  </si>
  <si>
    <t>1 1/2" MALE NPT TO 1 1/2" FEMALE SOCKET PIPE ADAPTER, WHITE PVC</t>
  </si>
  <si>
    <t>MCMASTER PART#: 4880K650</t>
  </si>
  <si>
    <t>M20 X 2.5MM X 30MM LONG HHMB, FULLY THREADED, 18-8 SS</t>
  </si>
  <si>
    <t>MCMASTER PN: 91287A405 OR EQUIVALENT</t>
  </si>
  <si>
    <t>SPROCKET, R120, 32 TOOTH, BOLT ON STEEL TEETH, Ø3 5/8" BORE W/ 7/8" KEYWAY, CAST IRON SHEAR PIN HUB W/ Ø0.521" SHEAR PIN NECK, 316 SS HARDWARE</t>
  </si>
  <si>
    <t>BREWTON P/N: R120-T32-363-SP</t>
  </si>
  <si>
    <t>FIXED BEARING, SPLIT ROLLER, Ø3 1/2", 4-BOLT PILLOW BLOCK BASE, W/ TNEMEC WHITE POTAPOX</t>
  </si>
  <si>
    <t>CRAFT BEARING COMPANY INC</t>
  </si>
  <si>
    <t>CRAFT P/N: S1-BCH-308-4B</t>
  </si>
  <si>
    <t>FIXED BEARING, SPLIT ROLLER, Ø4", 4-BOLT PILLOW BLOCK BASE, W/ TNEMEC WHITE POTAPOX</t>
  </si>
  <si>
    <t>CRAFT P/N: S1-BCH-400-4B</t>
  </si>
  <si>
    <t>FIXED BEARING, SPLIT ROLLER, Ø4 1/2", 4-BOLT PILLOW BLOCK BASE, W/ TNEMEC WHITE POTAPOX</t>
  </si>
  <si>
    <t>CRAFT P/N: S1-BCH-408-4B</t>
  </si>
  <si>
    <t>SPROCKET, 80 TOOTH, Ø3 1/2" BORE, SPLIT STEEL HUB W/ NATURAL NYLON BOLT-ON SEGMENTED TEETH, 316 SS HARDWARE</t>
  </si>
  <si>
    <t>MARTIN P/N: 120C80-350</t>
  </si>
  <si>
    <t>SPROCKET, 80 TOOTH, Ø4" BORE, SPLIT STEEL HUB W/ NATURAL NYLON BOLT-ON SEGMENTED TEETH, 316 SS HARDWARE</t>
  </si>
  <si>
    <t>MARTIN P/N: 120C80-400</t>
  </si>
  <si>
    <t>SPROCKET, 80 TOOTH, Ø4 1/2" BORE, SPLIT STEEL HUB W/ NATURAL NYLON BOLT-ON SEGMENTED TEETH, 316 SS HARDWARE</t>
  </si>
  <si>
    <t>MARTIN P/N: 120C80-450</t>
  </si>
  <si>
    <t>PIPE CONNECTOR STRAIGHT 3/4 FNPT, 150 PSI,  304SS</t>
  </si>
  <si>
    <t>4464K355</t>
  </si>
  <si>
    <t>PIPE CONNECTOR STRAIGHT 1-1/2 FNPT, 150 PSI,  304SS</t>
  </si>
  <si>
    <t>4464K358_x000D_
$19.86</t>
  </si>
  <si>
    <t>PIPE TEE 90° STRAIGHT 6 NPS, 150 PSI,  304SS SCH40 WELD</t>
  </si>
  <si>
    <t>45605K635</t>
  </si>
  <si>
    <t>U-Bolt 5/8"-11 Thread Size, 6-3/4" ID</t>
  </si>
  <si>
    <t>8896T145</t>
  </si>
  <si>
    <t>U-Bolt 3/8"-16 Thread Size, 4-5/8" ID</t>
  </si>
  <si>
    <t>29605T11</t>
  </si>
  <si>
    <t>FULLY THREADED 1/8" NPT CLOSE PIPE NIPPLE, SCH 40, 3/4" LONG, 304 SS</t>
  </si>
  <si>
    <t>MCMASTER PART#: 4830K111 OR EQUIVALENT</t>
  </si>
  <si>
    <t>1/8" NPT FEMALE PIPE FITTING, 45 DEG ELBOW, 304 SS</t>
  </si>
  <si>
    <t>MCMASTER PART#: 4464K230 OR EQUIVALENT</t>
  </si>
  <si>
    <t>Ø4-1/2" CLAMPING TWO-PIECE SHAFT COLLAR 316SS</t>
  </si>
  <si>
    <t>MCMASTER P/N: 60665K150 OR EQUIVALENT</t>
  </si>
  <si>
    <t>SPROCKET, R120, 32 TOOTH, BOLT ON STEEL TEETH, Ø3 5/8" BORE W/ 7/8" KEYWAY, CAST IRON SHEAR PIN HUB W/ Ø0.413" SHEAR PIN NECK, 316 SS HARDWARE</t>
  </si>
  <si>
    <t>LD3 COMPRESSION LOAD CELL, 7500LB RATING, AMBIENT TEMP, 25FT OF CABLE, 17-4 PH SS</t>
  </si>
  <si>
    <t>KISTLER MORSE PART#: LD3-07K-X-025-X</t>
  </si>
  <si>
    <t>1 1/2" FULL PORT BALL VALVE WITH AE400D ACTUATOR, 1 1/2" NPT ENDS</t>
  </si>
  <si>
    <t>86R-107-01 $ AE-1000-1D</t>
  </si>
  <si>
    <t>Post Base Single Channel 4 Hole Square for 1-5/8" Strut</t>
  </si>
  <si>
    <t>17454 MORRIS PRODUCT INC  https://www.morrisproducts.com/pc_product_detail.asp?key=B6D8912001A5403C863DE56616CBB25D</t>
  </si>
  <si>
    <t>U-Bolt 1/4"-20 Thread Size, 1-1/8" ID, 3-3/16" Height</t>
  </si>
  <si>
    <t>8889T42</t>
  </si>
  <si>
    <t>J X 4" BUSHING SHALLOW KEY</t>
  </si>
  <si>
    <t>US TSUBAKI P/N: J X 4" BUSHING, SHALLOW KEY</t>
  </si>
  <si>
    <t>FULLY THREADED 3/4" NPT CLOSE PIPE NIPPLE, SHC 40, 1 3/8" LONG, 304 SS</t>
  </si>
  <si>
    <t>MCMASTER PART#: 4830K191 OR EQUIVALENT</t>
  </si>
  <si>
    <t>ROLLER, CEMA C, Ø5" X 24" BW X 20 DEG, MOXIE ROLLER</t>
  </si>
  <si>
    <t>SUPERIOR# 99-008804</t>
  </si>
  <si>
    <t>MEDIUM DUTY WIRE ROPE THIMBLE, NOT FOR LIFTING, 316 SS, FOR Ø3/16" ROPE</t>
  </si>
  <si>
    <t>MCMASTER CARR PART #3868T24, OR EQUIVALENT</t>
  </si>
  <si>
    <t>3/16" WIRE ROPE CLAMP</t>
  </si>
  <si>
    <t>MCMASTER-CARR P#:31985T72</t>
  </si>
  <si>
    <t>Ø3/4" ID SINGLE ROW BALL BEARING, DOUBLE SEAL</t>
  </si>
  <si>
    <t>BEARINGS LIMITED PART#: 6304X075 2RS OR EQUIVALENT</t>
  </si>
  <si>
    <t>MANUAL WINCH, 1000 LB LOAD RATING, GEAR RATIO 3.83:1 SS W/BRAKE</t>
  </si>
  <si>
    <t>MANUFACTURER'S DISTRIBUTOR INC</t>
  </si>
  <si>
    <t>THERN # M4042PBSS</t>
  </si>
  <si>
    <t>304/304L SS Tee Outlet High-Pressure, 1/2 NPT x Butt-Weld, for 3/4 to 36 Pipe</t>
  </si>
  <si>
    <t>4565T332</t>
  </si>
  <si>
    <t>304/304L SS Tee Outlet High-Pressure, 3/4 NPT Female, for 3/4 to 1-1/4 Pipe Size</t>
  </si>
  <si>
    <t>4565T341</t>
  </si>
  <si>
    <t>SS U-Bolt 1/4"-20 Thread Size, 1-3/8" ID FOR 1" PIPE</t>
  </si>
  <si>
    <t>8889T43</t>
  </si>
  <si>
    <t>304 SS UBOLT 1/4"-20 Thread Size, 2" ID FOR 1-1/2 NPS PIPE</t>
  </si>
  <si>
    <t>8896T107</t>
  </si>
  <si>
    <t>PIPE ELBOW 90° 1 NPT, 150 PSI,  304SS</t>
  </si>
  <si>
    <t>4464K16</t>
  </si>
  <si>
    <t>PIPE TEE 90° STRAIGHT 1 NPT, 150 PSI,  304SS</t>
  </si>
  <si>
    <t>PIPE HEX PLUG 1 NPT, 150 PSI,  304SS</t>
  </si>
  <si>
    <t>1432N36</t>
  </si>
  <si>
    <t>PIPE ELBOW 90° 1-1/2 NPT, 150 PSI,  304SS</t>
  </si>
  <si>
    <t>4464K18</t>
  </si>
  <si>
    <t>PIPE ELBOW 90° 3/4 FNPT, 150 PSI,  304SS</t>
  </si>
  <si>
    <t>MCMASTER- PART#: 4464K15</t>
  </si>
  <si>
    <t>PIPE TEE 90°, 3/4" NPT, 150 PSI, 304SS</t>
  </si>
  <si>
    <t>4464K52</t>
  </si>
  <si>
    <t>Ø3" CLAMPING TWO-PIECE SHAFT COLLAR 304SS</t>
  </si>
  <si>
    <t>ATLANTIC DRIVES &amp; BEARINGS PART #: 2SSC-300_x000D_
OR EQUIVALENT</t>
  </si>
  <si>
    <t>DUCT HOSE CLAMP FOR SPIRAL DUCT, 5-1/4" TO 6-3/4" I.D.</t>
  </si>
  <si>
    <t>MCMASTER-CARR P#:45955K73 OR EQUIVALENT</t>
  </si>
  <si>
    <t>Ø6 DUCT HOSE</t>
  </si>
  <si>
    <t>18-8 STAINLESS STEEL ACME HEX NUT, RIGHT HAND, 1-1/2"-4 THREAD SIZE</t>
  </si>
  <si>
    <t>MCMASTER CARR # 95066A216 OR EQUIVALENT</t>
  </si>
  <si>
    <t>T-CONNECTOR, 3/4" NPT  FEMALE, 304 SS</t>
  </si>
  <si>
    <t>MCMASTER PART#: 4464K52</t>
  </si>
  <si>
    <t>3/16" WIRE ROPE CLAMP 316SS</t>
  </si>
  <si>
    <t>MCMASTER-CARR P#:3017T43</t>
  </si>
  <si>
    <t>SS CAM ROLLER, 1 1/4" OD, 3/4" ROLLER WIDTH, 3/8" BORE DIAM, MAX STATIC LOAD 7700 LBS, MAX DYNAMIC LOAD 3530, MAX RPM 3100</t>
  </si>
  <si>
    <t>CARTER PART#: SY-40-S OR EQUIVALENT</t>
  </si>
  <si>
    <t>SS CAM ROLLER, 1 3/8" OD, 3/4" ROLLER WIDTH, 3/8" BORE DIAM, MAX STATIC LOAD 7700 LBS, MAX DYNAMIC LOAD 3530, MAX RPM 2800</t>
  </si>
  <si>
    <t>CARTER PART#: SY-44-S OR EQUIVALENT</t>
  </si>
  <si>
    <t>ROLLER, CEMA C, Ø5" X 30" BW X 20 DEG, MOXIE ROLLER</t>
  </si>
  <si>
    <t>SUPERIOR #: C5-30MOX-SS</t>
  </si>
  <si>
    <t>1/2" NPT FEMALE X BUTT WELD FITTING, 11/16" LG, 304/304L SS</t>
  </si>
  <si>
    <t>MCMASTER PART#: 4464K473_x000D_HMCRAIG PART#: 02-I4HC-.5</t>
  </si>
  <si>
    <t>1/2" NPT FEMALE X BUTT WELD FITTING, 11/16" LG, 316/316L SS</t>
  </si>
  <si>
    <t>MCMASTER PART#: 4452K212</t>
  </si>
  <si>
    <t>PIPE NIPPLE 1/2 NPT X 2", 150 PSI,  304SS, SCH40</t>
  </si>
  <si>
    <t>4830K173</t>
  </si>
  <si>
    <t>Ø1/2" TUBING, 3FT, CRACK RESISTANT FLEXIBLE POLYETHILENE, BLACK, 4" MIN BEND RADIUS, 125 PSI MAX AT 72°F</t>
  </si>
  <si>
    <t>MCMASTER P/N: 5180K74 25FT PIECE_x000D_FOR 100FT PIECE - USE P/N 502897</t>
  </si>
  <si>
    <t>Ø1/2" COMPRESSION TUBE FITTING, Ø 1/2" TUBE X 1/2" NPT MALE, POLYETHLYENE PLASTIC, 220 PSI MAAX AT 72°F</t>
  </si>
  <si>
    <t>5016K466</t>
  </si>
  <si>
    <t>TUBING, 1-1/32" OD X 3/4" ID CLEAR PVC 150PSI</t>
  </si>
  <si>
    <t>McMASTER-CARR P/N:52375K16</t>
  </si>
  <si>
    <t>PIPE ELBOW 90°, REDUCED, 3/4 FNPT X 1/2 FNPT, 150 PSI,  304SS, SCH40</t>
  </si>
  <si>
    <t>4464K951</t>
  </si>
  <si>
    <t>SET SCREW LOCKING TWO-BOLT FLANGE BALL BEARING FOR Ø1 1/2" SHAFT</t>
  </si>
  <si>
    <t>AMI P/N: UCFT208-24_x000D_BDI P/N: ASAHI-UCFT208-24</t>
  </si>
  <si>
    <t>BEARING, ROLLER, Ø4 1/2” BORE CAST IRON PILLOW BLOCK, SPHERICAL ROLLER BEARINGS, 4 BOLT, FIXED (FOR DRIVE END)</t>
  </si>
  <si>
    <t>LINK BELT EP-B22572FH</t>
  </si>
  <si>
    <t>BEARING, ROLLER, Ø4 1/2” BORE CAST IRON PILLOW BLOCK, SPHERICAL ROLLER BEARINGS, 4 BOLT, EXPANSION (FOR TAIL END)</t>
  </si>
  <si>
    <t>LINK BELT EP-E-B22572FH</t>
  </si>
  <si>
    <t>OFFSET RAIL SUPPORT FOR 1.875" RAIL OD, SLIP ON FITTING, ALUMINUM, 5 1/2" LG X 4 1/2" WIDE X 2 3/4" TALL, 4X MOUNTING HOLES 7/16"</t>
  </si>
  <si>
    <t>MCMASTER PART#: 4698T166</t>
  </si>
  <si>
    <t>TEE CONNECTOR FOR 1.875" RAIL OD, SLIP ON FITTING, ALUMINUM, 1.5" NOMINAL PIPE SIZE</t>
  </si>
  <si>
    <t>MCMASTER PART#: 4698T94 (OR EQUIVALENT)</t>
  </si>
  <si>
    <t>SELF ADHESIVE-BACK RULER, 6' LG X 3" WIDE, MARKS IN 4THS READS BOTTOM TO TOP</t>
  </si>
  <si>
    <t>MCMASTER PART#: 20335A72 OR EQUIVALENT</t>
  </si>
  <si>
    <t>90 DEGREE ELBOW CONNECTOR FOR 1.875" RAIL OD, ALUMINUM SLIP-ON FITTING</t>
  </si>
  <si>
    <t>MCMASTER PART#: 4698T34</t>
  </si>
  <si>
    <t>MEDIUM DUTY WIRE ROPE THIMBLE, NOT FOR LIFTING, 316 SS, FOR Ø1/4" ROPE (NOT SHOWN)</t>
  </si>
  <si>
    <t>MCMASTER-CARR P#:3868T25</t>
  </si>
  <si>
    <t>FLANGE GASKET, 3" ANSI PATTERN, 0.13 THICK - NEOPRENE</t>
  </si>
  <si>
    <t>FLANGE GASKET, 4" ANSI PATTERN, 0.13 THICK - NEOPRENE</t>
  </si>
  <si>
    <t>FLANGE GASKET, 6" ANSI PATTERN, 0.13 THICK - NEOPRENE</t>
  </si>
  <si>
    <t>FLANGE GASKET, 8" ANSI PATTERN, 0.13 THICK - NEOPRENE</t>
  </si>
  <si>
    <t>FLANGE GASKET, 12" ANSI PATTERN, 0.13 THICK - NEOPRENE</t>
  </si>
  <si>
    <t>FLANGE GASKET, 16" ANSI PATTERN, 0.13 THICK - NEOPRENE</t>
  </si>
  <si>
    <t>FLANGE GASKET, 18" ANSI PATTERN, 0.13 THICK - NEOPRENE</t>
  </si>
  <si>
    <t>FLANGE GASKET, 2" ANSI PATTERN, 0.25 THICK - NEOPRENE</t>
  </si>
  <si>
    <t>FLANGE GASKET, 4" ANSI PATTERN, 0.25 THICK - NEOPRENE</t>
  </si>
  <si>
    <t>FLANGE GASKET, 5" ANSI PATTERN, 0.25 THICK - NEOPRENE</t>
  </si>
  <si>
    <t>FLANGE GASKET, 6" ANSI PATTERN, 0.25 THICK - NEOPRENE</t>
  </si>
  <si>
    <t>FLANGE GASKET, 8" ANSI PATTERN, 0.25 THICK - NEOPRENE</t>
  </si>
  <si>
    <t>FLANGE GASKET, 10" ANSI PATTERN, 0.25 THICK - NEOPRENE</t>
  </si>
  <si>
    <t>FLANGE GASKET, 12" ANSI PATTERN, 0.25 THICK - NEOPRENE</t>
  </si>
  <si>
    <t>FLANGE GASKET, 14" ANSI PATTERN, 0.25 THICK - NEOPRENE</t>
  </si>
  <si>
    <t>FLANGE GASKET, 16" ANSI PATTERN, 0.25 THICK - NEOPRENE</t>
  </si>
  <si>
    <t>FLANGE GASKET, 18" ANSI PATTERN, 0.25 THICK - NEOPRENE</t>
  </si>
  <si>
    <t>FLANGE GASKET, 20" ANSI PATTERN, 0.25 THICK - NEOPRENE</t>
  </si>
  <si>
    <t>U-BOLT, 1/4"-20, 9/16" ID</t>
  </si>
  <si>
    <t>MCMASTER CARR P/N: 8896T91_x000D_
304SS</t>
  </si>
  <si>
    <t>OVAL SHAPED THREADED CONNECTING LINK</t>
  </si>
  <si>
    <t>MCMASTER CARR 8947T26 / OR EQUIVALENT</t>
  </si>
  <si>
    <t>DUAL SLIDE-BOLT SNAP 316SS</t>
  </si>
  <si>
    <t>MCMASTER CARR 3901T54 / OR EQUIVALENT</t>
  </si>
  <si>
    <t>HAIRPIN COTTER PIN 1/8"Ø  WIRE- 316 SS</t>
  </si>
  <si>
    <t>MCMASTER PART # 92375A341 OR EQUIVALENT</t>
  </si>
  <si>
    <t>LONG 90° BUTT WELD ELBOW, 1" PIPE, 316 SS</t>
  </si>
  <si>
    <t>MCMASTER MFG #:45555K513 OR EQUIVALENT</t>
  </si>
  <si>
    <t>Ø2-7/16" FLANGE MOUNT SPHERICAL ROLLER BEARING</t>
  </si>
  <si>
    <t>DODGE PART#: F4BE207R</t>
  </si>
  <si>
    <t>HEAVY DUTY SEAL FOR Ø2 7/16" SHAFT W/ALUMINUM HOUSING, SS FACE</t>
  </si>
  <si>
    <t>DURASHIELD PART#: HDNS-2.4375</t>
  </si>
  <si>
    <t>STANDARD HANDLE BALL VALVE, 3/4" NPT FEMALE THREADS, 316 SS, MAX 800PSI, CV 10</t>
  </si>
  <si>
    <t>MCMASTER PART#: 46325K29</t>
  </si>
  <si>
    <t>BUSHING ADAPTER, 3" MALE NPT THREAD X 3/4" FEMALE NPT THREAD, 304/304L SS</t>
  </si>
  <si>
    <t>MCMASTER PART#: 4464K854</t>
  </si>
  <si>
    <t>Ø2 7/16" CLIPPER SEAL</t>
  </si>
  <si>
    <t>MFG PART#: 15007H1L5</t>
  </si>
  <si>
    <t>HEAVY RED SPRING FOR GREASE LUBRICATOR</t>
  </si>
  <si>
    <t>ATLANTIC PART#: 205-9</t>
  </si>
  <si>
    <t>2" PIPE CLAMP, 304 SS</t>
  </si>
  <si>
    <t>MCMASTER# 8874T22</t>
  </si>
  <si>
    <t>THRUST BEARING, TAPERED ROLLER, 3.01" ID X 5.25" OD X 1.313 THK, 40000 LBF RATING</t>
  </si>
  <si>
    <t>TIMKIN PART#: T-301W</t>
  </si>
  <si>
    <t>OIL SEAL, SEAL TYPE 41, 3.00 ID X 3.76 OD X .437 WIDE, REDICOATED, NITRILE</t>
  </si>
  <si>
    <t>TIMKEN PART#: 417349_x000D_NATIONAL SEAL P/N: 00612147</t>
  </si>
  <si>
    <t>TWO-PIECE SHAFT COLLAR Ø1 1/16" ID X 1 7/8" OD X 1/2" WIDE</t>
  </si>
  <si>
    <t>MCMASTER PART#: 6436K930</t>
  </si>
  <si>
    <t>FULL CONE SPRAY NOZZLE, 1/8" NPT MALE THREAD, CAPACITY SIZE 5, 303 SS</t>
  </si>
  <si>
    <t>SPRAYING SYSTEMS CO*</t>
  </si>
  <si>
    <t>SPRAY SYSTEMS PART#: 1/8HH-SS5</t>
  </si>
  <si>
    <t>Ø3" EXTERNAL RETAINING RING, 15-7 PH SS</t>
  </si>
  <si>
    <t>MCMASTER PART#: 91590A185</t>
  </si>
  <si>
    <t>3/4" NPT ONE END THREADED PIPE NIPPLE X SHC 40, 2" OAL, 304/304L SS</t>
  </si>
  <si>
    <t>MCMASTER PART #: 9157K34_x000D_HMC P/N: 02-TN4-.75X02</t>
  </si>
  <si>
    <t>COMPRESSION FITTING, STRAIGHT CONNECTOR FOR 1/4" OD TUBE, 2.20 OAL, 316 SS</t>
  </si>
  <si>
    <t>MCMASTER PART#: 52245K613</t>
  </si>
  <si>
    <t>6" THIN-WALL BUTT-WELD UNTHREADED PIPE CAP, 316L SS</t>
  </si>
  <si>
    <t>MCMASTER P/N: 43645K149 OR EQUIVALENT</t>
  </si>
  <si>
    <t>ELECTO-MECHANICAL LINEAR ACTUATOR, 1 1/8" ACME THREADED BORE, FA10 BASE, MULTI-TURN RISING STEM, 480V / 3PH / 60HZ, 155 RPM, BRONZE NUT AND A1 THRUST ADAPTER</t>
  </si>
  <si>
    <t>FLOTECH INC</t>
  </si>
  <si>
    <t>LIMITORQUE PART#: MX-5 FA10</t>
  </si>
  <si>
    <t>MCMASTER PART#: 4880K540</t>
  </si>
  <si>
    <t>MCMASTER PART#: 4880K640</t>
  </si>
  <si>
    <t>CLEVIS, FEMALE, 3/4" PIN DIA, 3/4"-16 TAPPED, 1 1/4" OPENING</t>
  </si>
  <si>
    <t>INDESCO, INC</t>
  </si>
  <si>
    <t>NO-PAK PART#: 2835-L59_x000D_INDESCO P/N: BDC-07</t>
  </si>
  <si>
    <t>PIVOT PIN, 3/4" OD X 3 1/4" LG, COTTER PIN Ø3/16"</t>
  </si>
  <si>
    <t>NO-PAK PART#: 3222-L47-2_x000D_INDESCO P/N: BDP-07G</t>
  </si>
  <si>
    <t>SLOTTED SPRING PIN, Ø3/16" OD X 1 1/8" LG, 304 SS</t>
  </si>
  <si>
    <t>MCMASTER PART#: 92373A252</t>
  </si>
  <si>
    <t>WINDO-WELD ROUND RIBBON SEALER Ø3/8", 1X ROLL IS 15FT</t>
  </si>
  <si>
    <t>3M Part# 08622 OR EQUIVALENT</t>
  </si>
  <si>
    <t>Ø3 1/2" ID, TWO-PIECE CLAMP-ON SHAFT COLLAR, 303 SS</t>
  </si>
  <si>
    <t>MCMASTER CARR P#:60665K13 OR EQUIVALENT_x000D_ATLANTIC P/N: 2SSC-350</t>
  </si>
  <si>
    <t>M16 X 2 HEX NUT</t>
  </si>
  <si>
    <t>MCMASTER CARR P/N: 94150A365</t>
  </si>
  <si>
    <t>M12 X 1.75 HEX NUT</t>
  </si>
  <si>
    <t>MCMASTER CARR P/N: 94150A360</t>
  </si>
  <si>
    <t>M10 X 1.5 HEX NUT</t>
  </si>
  <si>
    <t>MCMASTER CARR P/N: 94150A358</t>
  </si>
  <si>
    <t>M16  FLAT WASHER</t>
  </si>
  <si>
    <t>MCMASTER CARR P/N: 90965A230</t>
  </si>
  <si>
    <t>M12 FLAT WASHER</t>
  </si>
  <si>
    <t>MCMASTER CARR P/N: 90965A210</t>
  </si>
  <si>
    <t>M10 FLAT WASHER</t>
  </si>
  <si>
    <t>MCMASTER CARR P/N: 90965A200</t>
  </si>
  <si>
    <t>Ø2 7/16, 4 BOLT TYPE E FLANGE BEARING</t>
  </si>
  <si>
    <t>DODGE PART # 023106H-1 OR EQUIVALENT</t>
  </si>
  <si>
    <t>260 SPRING LUBRICATOR 1/8" NPT 6oz RESERVOIR W/ BLUE SPRING, LIGHT</t>
  </si>
  <si>
    <t>LUBSITE PART # 260-360-7-50-1 OR EQUIVALENT</t>
  </si>
  <si>
    <t>V-GROOVED TRACK ROLLER-YOKE-3.50"</t>
  </si>
  <si>
    <t>PCI PART # PCI VTRY-3.50 OR EQUIVALENT</t>
  </si>
  <si>
    <t>YSH SERIES HEAVY DUTY YOKE SHAFT</t>
  </si>
  <si>
    <t>PCI PART # YSH-0750 OR EQUIVALENT</t>
  </si>
  <si>
    <t>Ø2 7/16" EXTERNAL RETAINING RING</t>
  </si>
  <si>
    <t>MCMASTER CARR PART # 91590A166</t>
  </si>
  <si>
    <t>FULL CONE SPRAY NOZZLE, 1/4" NPT MALE THREAD, CAPACITY SIZE 10, 303 SS</t>
  </si>
  <si>
    <t>SPRAY SYSTEMS PART#: 1/4HH-SS10</t>
  </si>
  <si>
    <t>3/4" NPT THREAD PLUG, EXTERNAL SQUARE DRIVE, OAL 1 1/16", 304/304L SS</t>
  </si>
  <si>
    <t>MCMASTER PART#: 4464K235</t>
  </si>
  <si>
    <t>3/4" NPT FEMALE STRAIGHT UNION CONNECTOR, 304/304L SS</t>
  </si>
  <si>
    <t>MCMASTER PART#: 4464K487</t>
  </si>
  <si>
    <t>3/4" NPT FEMALE BALL VALVE, BRASS</t>
  </si>
  <si>
    <t>MCMASTER PART#: 47865K240</t>
  </si>
  <si>
    <t>3/4" NPT PIPE NIPPLE BOTH ENDS THREADED, SHC 40, 8" LONG, 304/304L SS</t>
  </si>
  <si>
    <t>MCMASTER PART#: 4830K199</t>
  </si>
  <si>
    <t>3/4" NPT PIPE NIPPLE, SHC 40, 1 1/2" LONG, 304/304L SS</t>
  </si>
  <si>
    <t>MCMASTER PART#: 4830K192</t>
  </si>
  <si>
    <t>3/4" NPT PIPE NIPPLE BOTH ENDS THREADED, SHC 40, 3" LONG, 304/304L SS</t>
  </si>
  <si>
    <t>MCMASTER PART#: 4830K195</t>
  </si>
  <si>
    <t>3/4" NPT PIPE NIPPLE BOTH ENDS THREADED, SHC 40, 5 1/2" LONG, 304/304L SS</t>
  </si>
  <si>
    <t>MCMASTER PART#: 4830K305</t>
  </si>
  <si>
    <t>TEE CONNECTOR, 1" NPT FEMALE, 304/304L SS</t>
  </si>
  <si>
    <t>MCMASTER PART#: 4464K530</t>
  </si>
  <si>
    <t>BARBED HOSE FITTING, 1 NPT MALE THREAD, 3/4" HOSE ID, 304 SS</t>
  </si>
  <si>
    <t>MCMASTER PART#: 5361K460</t>
  </si>
  <si>
    <t>90 DEGREE ADAPTER, 3/4" NPT FEMALE TO FEMALE, 304 SS</t>
  </si>
  <si>
    <t>MCMASTER PART#: 4464K15</t>
  </si>
  <si>
    <t>3/4" NPT PIPE NIPPLE BOTH ENDS THREADED, SHC 40, 4" LONG, 304/304L SS</t>
  </si>
  <si>
    <t>MCMASTER PART#: 4830K196</t>
  </si>
  <si>
    <t>WORM DRIVE HOSE CLAMP, 3/4" TO 1 1/8" CLAMP RANGE, 1/2" WIDE BAND, 316SS</t>
  </si>
  <si>
    <t>MCMASTER PART#: 45945K640</t>
  </si>
  <si>
    <t>2 BOLT FLANGE BLOCK BALL BEARING, 7/8" BORE</t>
  </si>
  <si>
    <t>REXNORD PART#: FX3-U214N</t>
  </si>
  <si>
    <t>STANDARD DUTY SEAL FOR Ø 2 15/16" SHAFT W/HPDE HOUSING, SS FACE</t>
  </si>
  <si>
    <t>DURASHIELD PART # SDNS-2.9375 OR EQUIVALENT</t>
  </si>
  <si>
    <t>TYPE E TAPERED ROLLER BEARING, FOUR BOLT FLANGE, Ø3" SHAFT, NON-EXPANSION, SET SCREW SHAFT ATTACHMENT, TRIPLE-LIP CONTACT SEAL</t>
  </si>
  <si>
    <t>DODGE PART # F4B-E-300R</t>
  </si>
  <si>
    <t>PNEUMATIC LOCKOUT VALVES 3/4" PORTS</t>
  </si>
  <si>
    <t>PARKER # LV6N6B, ALUMINUM BODY 3/4" PORT AND EXHAUST</t>
  </si>
  <si>
    <t>HEAVY DUTY SPLIT SEAL FOR Ø 3.00" SHAFT W/ALUMINUM HOUSING, SS FACE</t>
  </si>
  <si>
    <t>DURASHIELD PART # HDFS-3.00 OR EQUIVALENT</t>
  </si>
  <si>
    <t>Ø8" PIPE SIZE STAINLESS STEEL, SLIP-ON WELD, 150 # CLASS</t>
  </si>
  <si>
    <t>MCMASTER# 44685K173 / OR EQUIVALENT</t>
  </si>
  <si>
    <t>Ø1 15/16" PILLOW BLOCK BALL BEARING NICKEL PLATED</t>
  </si>
  <si>
    <t>LINK-BELT# P3U231NK75_x000D_
STANDARD DUTY, SINGLE LIP CONTACT SEAL, NICKEL PLATED HOUSING</t>
  </si>
  <si>
    <t>Ø1 15/16" CLAMPING TWO-PIECE SHAFT COLLAR 316SS</t>
  </si>
  <si>
    <t>MCMASTER# 9633T36 OR EQUIVALENT</t>
  </si>
  <si>
    <t>40T SPROCKET, TAPER LOCK, NO.60-3/4" PITCH</t>
  </si>
  <si>
    <t>TSUBAKI# 60BTL40 OR EQUIVALENT</t>
  </si>
  <si>
    <t>CAST IRON BEARING, Ø3" UHMW LINED, SPLIT</t>
  </si>
  <si>
    <t>Brewton P/N: KB-300</t>
  </si>
  <si>
    <t>CHAIN COUPLING W/ COVER, 8020F BORED TO Ø2 7/8" FOR RF107, 8020 TLF TAPER LOCK Ø2 1/2"</t>
  </si>
  <si>
    <t>U.S. TSUBAKI P#:8020TLF-2875 X 250</t>
  </si>
  <si>
    <t>3/4" NPT ONE END THREADED PIPE NIPPLE X SHC 40, 1 1/2" OAL, 304/304L SS</t>
  </si>
  <si>
    <t>MCMASTER P/N: 9157K240_x000D_HMC P/N: 02-TN4-.75X01.5</t>
  </si>
  <si>
    <t>1 1/2" NPT ONE END THREADED PIPE NIPPLE X SHC 40, 2" OAL, 304/304L SS</t>
  </si>
  <si>
    <t>MCMASTER P/N: 9157K37_x000D_HMC P/N: 02-TN4-1.5X02</t>
  </si>
  <si>
    <t>1 1/2" NPT FEMALE THREADED PIPE CAP, 304/304L SS</t>
  </si>
  <si>
    <t>MCMASTER PART#: 4464K514</t>
  </si>
  <si>
    <t>THREADED PIPE CAP, 2 1/2 NPT, 304 SS</t>
  </si>
  <si>
    <t>MCMASTER PART#: 4464K516</t>
  </si>
  <si>
    <t>Ø3 3/4" ID, TWO-PIECE CLAMP-ON SHAFT COLLAR 303 SS</t>
  </si>
  <si>
    <t>MCMASTER #6436K247</t>
  </si>
  <si>
    <t>Ø3 15/16" 4 BOLT TYPE, TAPERED ROLLER BEARING, NON-EXPANSION, STANDARD DUTY</t>
  </si>
  <si>
    <t>DODGE #F4B-E-315R</t>
  </si>
  <si>
    <t>QUICK RELEASE PIN, Ø3/8" X 4 1/2", W/ 12" LG LANYARD, 304 SS PIN, 316 SS BALL/SPRING</t>
  </si>
  <si>
    <t>MCMASTER PART#: 94975A614</t>
  </si>
  <si>
    <t>12" LONG 90 DEG BUTT WELD ELBOW X SCH 40, 304L SS</t>
  </si>
  <si>
    <t>H.M. CRAIG METAL PART#:</t>
  </si>
  <si>
    <t>Ø12" BLO-R-VAC DUCT HOSE, 3FT LG</t>
  </si>
  <si>
    <t>MCMASTER PART#: 5666K46 - 3FT</t>
  </si>
  <si>
    <t>ROLLER, CEMA C, Ø5" X 18" BW X 20 DEG, MOXIE ROLLER</t>
  </si>
  <si>
    <t>SUPERIOR #C5-18MOX-SS</t>
  </si>
  <si>
    <t>MOXIE #C5-20E-36</t>
  </si>
  <si>
    <t>BRONZE THRUST WASHER Ø1 3/8" ID, Ø1 15/16" OD, 1/8" THK</t>
  </si>
  <si>
    <t>MCMASTER # 5906K582</t>
  </si>
  <si>
    <t>1/8" NPT FEMALE PIPE FITTING, 45 DEG ELBOW, 316 SS</t>
  </si>
  <si>
    <t>MCMASTER PART#: 4452K421 OR EQUIVALENT</t>
  </si>
  <si>
    <t>HIGH-LOAD OIL EMBEDDED SLEEVE BEARING 1 1/2" ID X 2" OD X 1 1/2" LG.</t>
  </si>
  <si>
    <t>MCMASTER# 3741K440</t>
  </si>
  <si>
    <t>STEPPED BLIND TANK BUNGS, 3/8" X 16" X 1" C1018</t>
  </si>
  <si>
    <t>BUNK KING PART # SBTB38C OR EQUIVALENT</t>
  </si>
  <si>
    <t>MCMASTER CARR P#: 9628K999</t>
  </si>
  <si>
    <t>Oil-Embedded Thrust Bronze Bearing 5/8" Inside Diameter, 1-1/2" OD, 1/16" Thickness</t>
  </si>
  <si>
    <t>MCMASTER CARR PART # 5906K567 OR EQUIVALENT</t>
  </si>
  <si>
    <t>U-BOLT, 1/2"-13, Ø4-1/2" ID, 304 SS</t>
  </si>
  <si>
    <t>McMaster Carr: 8896T29</t>
  </si>
  <si>
    <t>LINK SEAL FOR 4 7/16" 316 SS HARDWARE</t>
  </si>
  <si>
    <t>LINK SEAL P/N: LS-475-S_x000D_JMS USAGE: LS-475-S-13 (13 LINKS NEEDED)</t>
  </si>
  <si>
    <t>PIPE FLANGE, FOR Ø5" PIPE, 150# ANSI PATTERN, STEEL</t>
  </si>
  <si>
    <t>MCMASTER PART#: 68095K396</t>
  </si>
  <si>
    <t>U-BOLT PULL-ACTION TOGGLE CLAMP 18-8</t>
  </si>
  <si>
    <t>MCMASTER# 5135A330</t>
  </si>
  <si>
    <t>12" X 8" STYLE 271, SINGLE ARCH, NITRILE - EXPANSION JOINTS</t>
  </si>
  <si>
    <t>LIBERTY VALVES AND CONTROLS LLC</t>
  </si>
  <si>
    <t>PROCO PART#: 12" X 8" STYLE 271, SINGLE ARCH, NITRILE</t>
  </si>
  <si>
    <t>VEE JET SPRAY NOZZLE, 1/8" NPT MALE THREAD, CAPACITY SIZE 03, 303 SS</t>
  </si>
  <si>
    <t>SPRAYING SYSTEMS# H1-8VV-SS11003</t>
  </si>
  <si>
    <t>3.0" 150# ANSI FLANGE, SERIES 75, CAST IRON BODY WITH FULL PORT BUNA-N SLEEVE, MANUAL HANDWHEEL</t>
  </si>
  <si>
    <t>RED VALVE COMPANY, INC.</t>
  </si>
  <si>
    <t>RED VALVE PART#: Q-MPV75-030X030CIS</t>
  </si>
  <si>
    <t>OBSOLETE: USE PART NUMBER 502896_x000D_
E-STOP PULL CABLE SWITCH FOR NEMA 7 AND 9, 2 DOUBLE POLE DOUBLE THROW MICROSWITCHES, WATERPROOF, EXPLOSION PROOF</t>
  </si>
  <si>
    <t>MATERIAL CONTROL, INC</t>
  </si>
  <si>
    <t>VENDOR NO LONGER SUPPLYING THIS SWITCH - REPLACED w/PCD-4SX_x000D_CONVEYOR COMPONENTS COMPANY PART # PCD-2SX OR EQUIVALENT</t>
  </si>
  <si>
    <t>BARBED HOSE FITTING, 3 NPT MALE THREAD, 3" HOSE ID, 316 SS</t>
  </si>
  <si>
    <t>MCMASTER PART#: 5363K780</t>
  </si>
  <si>
    <t>PIPE FLANGE, 3" NPT THREDED ID, 150# ANSI PATTERN, 304/304L SS</t>
  </si>
  <si>
    <t>MCMASTER PART#: 44685K180</t>
  </si>
  <si>
    <t>Ø3 7/16" BORE- 4 BOLT TYPE, SPHERICAL ROLLER BEARING, EXPANSION, STANDARD DUTY, CAST IRON</t>
  </si>
  <si>
    <t>DODGE#: F4S-S2-307RE</t>
  </si>
  <si>
    <t>HANGER, 226 W/ OIL PIPE, 12″ DIAMETER, 2″ SHAFT SIZE</t>
  </si>
  <si>
    <t>SCREW CONVEYOR PARTS LLC</t>
  </si>
  <si>
    <t>TCC PART # 12CH2266 OR EQUIVALENT</t>
  </si>
  <si>
    <t>Ø3 7/16" BORE- 4 BOLT TYPE, TAPERED ROLLER BEARING, NON- EXPANSION, STANDARD DUTY, CAST IRON</t>
  </si>
  <si>
    <t>DODGE#: F4B-E-307R</t>
  </si>
  <si>
    <t>HEAVY DUTY SEAL FOR Ø3 7/16" SHAFT W/ALUMINUM HOUSING, SS FACE</t>
  </si>
  <si>
    <t>DURASHIELD#: HDNS-3.4375</t>
  </si>
  <si>
    <t>ECHOMAX XPS-10 TRANSDUCER</t>
  </si>
  <si>
    <t>SIEMENS INDUSTRY*</t>
  </si>
  <si>
    <t>SIEMENS PART # 7ML1115-0FA30</t>
  </si>
  <si>
    <t>Ø1-1/2" NPT HALF COUPLING, 304 SS</t>
  </si>
  <si>
    <t>McMaster Carr P/N: 4464K477 / OR EQUIVALENT</t>
  </si>
  <si>
    <t>Ø2" CLIPPER SEAL</t>
  </si>
  <si>
    <t>MFG PART#: 11983 H1L5</t>
  </si>
  <si>
    <t>LOAD DISC II LOAD CELL,  LOAD CAPACITY, 25K LB RATED LOAD, AMBIANT TEMP, 50FT OF CABLE, BRUSHED FINISH, C1-1-25K-X-050-X</t>
  </si>
  <si>
    <t>KISTLER MORSE PART # C1-1-25K-X-050-X OR EQUIVALENT</t>
  </si>
  <si>
    <t>Ø3 15/16" BORE- 4 BOLT TYPE, SPHERICAL ROLLER BEARING, EXPANSION (FLOATING), STANDARD DUTY, CAST IRON</t>
  </si>
  <si>
    <t>DODGE PART # F4S-S2-315RE OR EQUIVALENT</t>
  </si>
  <si>
    <t>Ø2" 4 BOLT TYPE, TAPERED ROLLER BEARING, NON-EXPANSION, STANDARD DUTY</t>
  </si>
  <si>
    <t>DODGE#: F4B-E-200R</t>
  </si>
  <si>
    <t>WORM GEAR (HALF), 46/23T - Ø16" PIPE, HIGH DENSITY UHMW-PE</t>
  </si>
  <si>
    <t>BREWTON PART#: W-4649</t>
  </si>
  <si>
    <t>3/4" NPT FEMALE THREADED PIPE CAP, 304/304L SS</t>
  </si>
  <si>
    <t>MCMASTER P/N OR EQUIVALENT: 4464K511</t>
  </si>
  <si>
    <t>Ø2" EXTERNAL RETAINING RING, 15-7 PH SS</t>
  </si>
  <si>
    <t>MCMASTER P#: 91590A152</t>
  </si>
  <si>
    <t>ELECTRO-SENSORS, INC</t>
  </si>
  <si>
    <t>SCP 1000 SENSOR, 115 VAC</t>
  </si>
  <si>
    <t>U-BOLT 1/4"-20 THREAD SIZE, 1-3/4" ID, 304L SS</t>
  </si>
  <si>
    <t>MCMASTER P#: 8896T106</t>
  </si>
  <si>
    <t>Ø3 7/16" EXTERNAL RETAINING RING,</t>
  </si>
  <si>
    <t>MOTION IND. P# SH-343 STPA OR EQUIVALENT</t>
  </si>
  <si>
    <t>BINDICATOR LEVEL SENSOR, SS MOUNTING PLATE, 4 VANE PADDLE, 120 VAC, 2 SPDT, NEMA 4X</t>
  </si>
  <si>
    <t>BINDICATOR PART # RX-H-BX20AA0A OR EQUIVALENT</t>
  </si>
  <si>
    <t>NYLON LOCKING PIN FOR JMS MEGA-BEARING</t>
  </si>
  <si>
    <t>ENSINGER PRECISION COMPONENTS INC</t>
  </si>
  <si>
    <t>ENSINGER OR POLYTECH# 101748</t>
  </si>
  <si>
    <t>Ø2" 4 BOLT TYPE, TAPERED ROLLER BEARING,EXPANSION, STANDARD DUTY</t>
  </si>
  <si>
    <t>DODGE PART # EF4B-S2-200RE</t>
  </si>
  <si>
    <t>SLOTTED SPRING PIN, Ø3/16" OD X 1 1/8" LG, 1050 - 1095 SPRING STEEL</t>
  </si>
  <si>
    <t>MCMASTER PART#: 98296A911</t>
  </si>
  <si>
    <t>Ø 4" 4 BOLT FLANGE MOUNT BEARING</t>
  </si>
  <si>
    <t>DODGE PART # F4BE400R OR EQUIVALENT</t>
  </si>
  <si>
    <t>PILLOW BLOCK EXPANSION BEARING, Ø2 3/4" BORE, CAST IRON HOUSING</t>
  </si>
  <si>
    <t>REXNORD PART#: PEB22444H</t>
  </si>
  <si>
    <t>PILLOW BLOCK BEARING, Ø2 3/4" BORE, CAST IRON HOUSING</t>
  </si>
  <si>
    <t>REXNORD PART#: PB22444H</t>
  </si>
  <si>
    <t>Ø1-1/4" NPT HALF COUPLING, 304SS</t>
  </si>
  <si>
    <t>HM CRAIG 1 1/4" WELD HALF COUPLING</t>
  </si>
  <si>
    <t>Ø4" BLO-R-VAC DUCT HOSE, 3FT LG</t>
  </si>
  <si>
    <t>MCMASTER PART#: 5666K39 OR EQUIVILANT</t>
  </si>
  <si>
    <t>DRUM PULLEY, Ø14" CROWN-FACED X 20" WIDE W/ 1/2" HERRINGBONE LAGGING, Ø2 7/16" BORE</t>
  </si>
  <si>
    <t>SUPERIOR #: DCEMA-1420CFXT2538H OR EQUIVALENT</t>
  </si>
  <si>
    <t>2" NPT ONE END THREADED PIPE NIPPLE X SCH 40, 3" OAL, 304/304L SS</t>
  </si>
  <si>
    <t>MCMASTER PART#: 9157K480</t>
  </si>
  <si>
    <t>2" NPT FEMALE THREADED PIPE CAP, 304/304L SS</t>
  </si>
  <si>
    <t>MCMASTER PART#: 4464K515</t>
  </si>
  <si>
    <t>DRUM PULLEY, Ø14" CROWN-FACED X 26" WIDE W/ 3/8" HERRINGBONE LAGGING, Ø2 7/16" BORE</t>
  </si>
  <si>
    <t>SUPERIOR #: DCEMA-1426CFXT2538H OR EQUIVALENT</t>
  </si>
  <si>
    <t>DRUM PULLEY, Ø12" CROWN-FACED X 26" WIDE W/ 3/8" HERRINGBONE LAGGING, Ø2 7/16" BORE</t>
  </si>
  <si>
    <t>SUPERIOR #: DCEMA-1226CFXT2538H OR EQUIVALENT</t>
  </si>
  <si>
    <t>303 STAINLESS STEEL V-GROOVE TRACK WHEEL 4" DIAMETER X 2" WIDE</t>
  </si>
  <si>
    <t>MCMASTER PART#: 23365T41</t>
  </si>
  <si>
    <t>Ø 4-7/16"4 BOLT FLANGE MOUNT, SPHERICAL ROLLER, EXPANSION, CAST IRON</t>
  </si>
  <si>
    <t>DODGE PART # EF4B-S2-407RE OR EQUIVALENT</t>
  </si>
  <si>
    <t>PILLOW BLOCK BEARING, Ø1 1/2" BORE</t>
  </si>
  <si>
    <t>LINK BELT/REXNORD PART#: P3U224H</t>
  </si>
  <si>
    <t>SPROCKET TEETH, HB78 T14, FOR SOLID HUB</t>
  </si>
  <si>
    <t>CAN USE REFERENCE BREWTON DRAWING W-4763B</t>
  </si>
  <si>
    <t>FLUSH HANDRAIL BRACKET, PIPE OD Ø1-1/2, GALVANIZED IRON</t>
  </si>
  <si>
    <t>MCMASTER P/N: 4936T801</t>
  </si>
  <si>
    <t>BESSEMER CITY MACHINE PART#: 3/4" SQUARE NUT</t>
  </si>
  <si>
    <t>DRUM PULLEY, Ø12" CROWN-FACED X 26" WIDE W/ 3/8" HERRINGBONE LAGGING, Ø2 3/4" BORE</t>
  </si>
  <si>
    <t>ROLLER, CEMA C, Ø5" X 18" BW , MOXIE ROLLER</t>
  </si>
  <si>
    <t>SUPPLIER P/N: C5-RET-18MOX-SS</t>
  </si>
  <si>
    <t>ROLLER, CEMA C, Ø5" X 24" BW, MOXIE RETURN ROLLER</t>
  </si>
  <si>
    <t>SUPERIOR# 99-008805</t>
  </si>
  <si>
    <t>ROLLER, CEMA C, Ø5" X 30" BW, MOXIE ROLLER</t>
  </si>
  <si>
    <t>SUPERIOR #: C5-RET-30MOX-SS</t>
  </si>
  <si>
    <t>MOXIE #C5-RET-36-MOXSS</t>
  </si>
  <si>
    <t>ROLLER, CEMA C, Ø5" X 48" BW, MOXIE ROLLER</t>
  </si>
  <si>
    <t>MOXIE #C5-RET-48-MOX</t>
  </si>
  <si>
    <t>SHEAR PIN, Ø1/2" OD X 2 3/8" LG WITH Ø1/8" X 3/4" SPLIT ROLL PIN, MATERIAL 1215 ALLOY</t>
  </si>
  <si>
    <t>BREWETON PART#: .501215CRS</t>
  </si>
  <si>
    <t>SHEAR PIN, Ø7/16" OD X 2 3/8" LG WITH Ø1/8" X 3/4" SPLIT ROLL PIN, MATERIAL 1215 ALLOY</t>
  </si>
  <si>
    <t>BREWETON PART#: .4371215CRS</t>
  </si>
  <si>
    <t>SHEAR PIN, Ø5/8" OD X 2 3/8" LG WITH Ø1/8" X 7/8" SPLIT ROLL PIN, MATERIAL 1215 ALLOY</t>
  </si>
  <si>
    <t>BREWETON PART#: .6251215CRS</t>
  </si>
  <si>
    <t>LADDER W/ HANDRAILS 12" SPACING, F7W 3570225</t>
  </si>
  <si>
    <t>COTTERMAN P/N F7W 3570225</t>
  </si>
  <si>
    <t>DRUM PULLEY, Ø12" CROWN-FACED X 20" WIDE, Ø2-7/16" BORE</t>
  </si>
  <si>
    <t>SUPERIOR #: DCEMA-1220CFXT25 OR EQUIVALENT</t>
  </si>
  <si>
    <t>DRUM PULLEY, Ø14" CROWN-FACED X 26" WIDE W/  1/2" HERRINGBONE LAGGING, Ø2 7/16" BORE</t>
  </si>
  <si>
    <t>SUPERIOR #: DCEMA-1426CFXT2512H OR EQUIVALENT</t>
  </si>
  <si>
    <t>DRUM PULLEY, Ø12" CROWN-FACED X 26" WIDE, Ø2 7/16" BORE</t>
  </si>
  <si>
    <t>SUPERIOR #: DCEMA-1420CFXT25 OR EQUIVALENT</t>
  </si>
  <si>
    <t>MARTIN ENGINEERING</t>
  </si>
  <si>
    <t>MARTIN PART#: C1QCH3S24S4O1PT</t>
  </si>
  <si>
    <t>SAFETY GATE, 22 3/4"-26 1/2"</t>
  </si>
  <si>
    <t>MCMASTER P/N: 4073K22</t>
  </si>
  <si>
    <t>EXTRA HIGH CAPACITY VIKING CASTER 6-1/4" X 4-1/2" PLATE, 6" 95qa POLYURETHANE WHEEL</t>
  </si>
  <si>
    <t>ALLIED CASTER &amp; EQUIPMENT CO</t>
  </si>
  <si>
    <t>MCMASTER P/N: 2432T721</t>
  </si>
  <si>
    <t>1/2" OD 1/4" X 316 STAINLESS STEEL UNTHREADED SPACER</t>
  </si>
  <si>
    <t>MCMASTER P/N: 90138A570</t>
  </si>
  <si>
    <t>DRUM PULLEY, Ø14" CROWN-FACED X 26" WIDE W/ 1/2" HERRINGBONE LAGGING, Ø2 3/4" BORE</t>
  </si>
  <si>
    <t>SUPERIOR #: DCEMA-1426CFXT3012H OR EQUIVALENT</t>
  </si>
  <si>
    <t>DRUM PULLEY, Ø12" CROWN-FACED X 26" WIDE, Ø2 3/4" BORE</t>
  </si>
  <si>
    <t>SUPERIOR #: DCEMA-1420CFXT30 OR EQUIVALENT</t>
  </si>
  <si>
    <t>SAE 841 BRONZE, FOR 3/4" SHAFT 1" HOUSING ID, 1-1/4" LONG</t>
  </si>
  <si>
    <t>MCMASTER# 3746K290 OR EQUIVALENT</t>
  </si>
  <si>
    <t>18" BELT SPLICE KITS</t>
  </si>
  <si>
    <t>FLEXCO PART#: 187SJ18NCS---18”_x000D_PER ALLSTATE: RS187SJ18/450NCS</t>
  </si>
  <si>
    <t>24" BELT SPLICE KITS</t>
  </si>
  <si>
    <t>BELTSERVICE CORPORATION *</t>
  </si>
  <si>
    <t>FLEXCO PART#: 187SJ24NCS—24”</t>
  </si>
  <si>
    <t>EXTERNAL SNAP RING, FOR Ø1 1/2" OD SHAFT, 0.050" THK, 15-7 PH SS</t>
  </si>
  <si>
    <t>MCMASTER PART NUMBER: 91590A139</t>
  </si>
  <si>
    <t>McMASTER# 6436K950</t>
  </si>
  <si>
    <t>BRONZE BUSHING, 1 1/4" X 5/8"OD, 1/2" SHAFT</t>
  </si>
  <si>
    <t>MCMASTER-CARR_x000D_
6391K217</t>
  </si>
  <si>
    <t>DUCT HOSE CLAMP FOR SPIRAL DUCT,  3-1/4" TO 4-3/4" CLAMP ID</t>
  </si>
  <si>
    <t>MCMASTER PART # 45955K71 OR EQUIVALENT</t>
  </si>
  <si>
    <t>1.9  DIA. X 22" LG. PVC CONVEYOR ROLLER</t>
  </si>
  <si>
    <t>MCMASTER P/N: 2255T440</t>
  </si>
  <si>
    <t>Ø2-1/2" DIA. X 1-5/8" LG. ULTRA-QUIET THRDED TRACK ROLLER</t>
  </si>
  <si>
    <t>MCMASTER P/N: 2320K650</t>
  </si>
  <si>
    <t>1-1/2" OD X 1" ID X 3/4" LG. OFF-WHITE NYLON UNTHREADED SPACER</t>
  </si>
  <si>
    <t>MCMASTER P/N: 94639A892</t>
  </si>
  <si>
    <t>1/4 HP PARALLEL HELICAL GEARMOTOR, 0.90 RPM OUTPUT, 1884:1 RATIO, 3PH/60Hz/230-460V, M1 MTG. POS., CLASS "F" INSUL., 120V THERMOSTAT, EI7C ENCODER 24 PPR, OS4 SURFACE PROTECTION, DRAINS, ADD 1/8" DRAIN ADAPTERS</t>
  </si>
  <si>
    <t>SEW P/N: FA67BR37DRN63M4/TH/EI7C/DH</t>
  </si>
  <si>
    <t>DRUM PULLEY, Ø12" CROWN-FACED X 26" WIDE W/  1/2" HERRINGBONE LAGGING, Ø2 7/16" BORE</t>
  </si>
  <si>
    <t>SUPERIOR #: DCEMA-1226CFXT2512H OR EQUIVALENT</t>
  </si>
  <si>
    <t>MARTIN SPROCKET PART#: 38556-24 00 22 T_x000D__x000D_MARTIN ENGINEERING PART # C1QCP3S24S4O0PT</t>
  </si>
  <si>
    <t>1986K21</t>
  </si>
  <si>
    <t>MCMASTER# 6436K34 OR EQUIVALENT</t>
  </si>
  <si>
    <t>GREASE FITTING, 1/8" PTF STRAIGHT MALE THREAD, 303 SS</t>
  </si>
  <si>
    <t>MCMASTER PART#: 1293K11</t>
  </si>
  <si>
    <t>GREASE FITTING, 1/8 PTF THREAD, 90 DEGREE ELBOW, 303 SS</t>
  </si>
  <si>
    <t>MCMASTER PART NUMBER: 1293K12</t>
  </si>
  <si>
    <t>ROLLER, Ø 1.9" CORROISVE RESISTANT CONVEYOR ROLLER</t>
  </si>
  <si>
    <t>VENDOR PART # 2247T4 OR EQUIVALENT</t>
  </si>
  <si>
    <t>1/8" NPT PIPE NIPPLE, BOTH ENDS THD, SCH 40, 20" LG. 304 SS</t>
  </si>
  <si>
    <t>MCMASTER# 4813K153 OR EQUIVALENT</t>
  </si>
  <si>
    <t>1/8" NPT PIPE NIPPLE, BOTH ENDS THD, SCH 40, 24" LG. 304 SS</t>
  </si>
  <si>
    <t>MCMASTER# 4813K310 OR EQUIVALENT</t>
  </si>
  <si>
    <t>1/8" NPT PIPE NIPPLE, BOTH ENDS THREADED, SHC 40, 2" LONG, 304/304L SS</t>
  </si>
  <si>
    <t>MCMASTER PART#: 4830K113</t>
  </si>
  <si>
    <t>1/8" NPT PIPE NIPPLE, BOTH ENDS THREADED, SHC 40, 4" LONG, 304/304L SS</t>
  </si>
  <si>
    <t>MCMASTER PART#: 4830K116</t>
  </si>
  <si>
    <t>1/8" NPT PIPE NIPPLE, BOTH ENDS THREADED, SHC 40, 6" LONG, 304/304L SS</t>
  </si>
  <si>
    <t>MCMASTER PART#: 4830K118</t>
  </si>
  <si>
    <t>1/8" NPT FEMALE PIPE FITTING, 90 DEG ELBOW, 304/304L SS</t>
  </si>
  <si>
    <t>VENDOR PART#: 4464K110</t>
  </si>
  <si>
    <t>TAPER-LOCK BUSHING #2517</t>
  </si>
  <si>
    <t>TSUBAKI# 2517</t>
  </si>
  <si>
    <t>PIPE FLANGE, FOR Ø2" PIPE, 150# ANSI PATTERN, STEEL</t>
  </si>
  <si>
    <t>MCMASTER PART#: 68095K348</t>
  </si>
  <si>
    <t>LONG 90° BUTT WELD ELBOW, 2" PIPE, SCH 40, CARBON</t>
  </si>
  <si>
    <t>MCMASTER PART#: 43425K161</t>
  </si>
  <si>
    <t>1/4" WIRE ROPE PULLEY, Ø 3/4" X ID Ø4" OD</t>
  </si>
  <si>
    <t>MCMASTER P/N: 9466T850</t>
  </si>
  <si>
    <t>WATER-RESISTANT DRY-RUNNING SLEEVE BEARING- Ø1/2"ID X  1"</t>
  </si>
  <si>
    <t>MCMASTER PART#: 6362K219 OR EQUIVALENT</t>
  </si>
  <si>
    <t>EXTERNAL RETAINING RING- Ø 1/2" OD, 15-7 PH SS</t>
  </si>
  <si>
    <t>MCMASTER CARR # : 91590A122 OR EQUIVALENT, PKG: (10)PCS</t>
  </si>
  <si>
    <t>LAD SAF SAFE FALL SYSTEM BRACKETS</t>
  </si>
  <si>
    <t>RAYCO SAFETY</t>
  </si>
  <si>
    <t>RAYCO SAFTY #6116631</t>
  </si>
  <si>
    <t>CABLE  3/8" CABLE</t>
  </si>
  <si>
    <t>RAYCO SAFTEY #6104010</t>
  </si>
  <si>
    <t>CABLE SLEEVE 3/8" CABLE</t>
  </si>
  <si>
    <t>RAYCO SAFETY #6160054</t>
  </si>
  <si>
    <t>MCMASTER#6338K424 OR EQUIVALENT</t>
  </si>
  <si>
    <t>ROUND GRIP PULL HANDLE 6" WIDE 303</t>
  </si>
  <si>
    <t>MCMASTER#11665A32</t>
  </si>
  <si>
    <t>CLEVIS ROD END, 1/2" - 20 UNC X 4 3/16" SHANK CENTER LENGTH</t>
  </si>
  <si>
    <t>MCMASTER P/N: 6071K170</t>
  </si>
  <si>
    <t>HIGH PERFORMANCE WEIGH INDICATOR, S2000A-S-A-N ( NOT SHOWN )</t>
  </si>
  <si>
    <t>KISTLER MORSE PART # S2000A-S-A-N OR EQUIVALENT</t>
  </si>
  <si>
    <t>JUNCTION BOX, JB-S-S2 ( NOT SHOWN )</t>
  </si>
  <si>
    <t>KISTLER MORSE PART # JB-S-S2 OR EQUIVALENT</t>
  </si>
  <si>
    <t>INTERCONNECT CABLE, 33-1008-01 ( NOT SHOWN ), CABLE LENGTH: 200FT</t>
  </si>
  <si>
    <t>KISTLER MORSE PART # 33-1008-01 OR EQUIVALENT</t>
  </si>
  <si>
    <t>TUBE FITTING, MALE CONNECTOR, 1/4" TUBE OD X 1/8" MALE NPT, 316 SS</t>
  </si>
  <si>
    <t>SWAGELOK P/N: SS-400-1-2</t>
  </si>
  <si>
    <t>CITRISURF 2310 SPRAY GEL, 22 OZ</t>
  </si>
  <si>
    <t>CITRISURF 2310</t>
  </si>
  <si>
    <t>OIL-EMBEDDED FLANGED BUSHING 1" SHAFT 1 3/8" OD 3/4" LG</t>
  </si>
  <si>
    <t>MCMASTER#1677K386</t>
  </si>
  <si>
    <t>1" SHAFT TWO-PEICE SHAFT COLLAR 303 SS</t>
  </si>
  <si>
    <t>MCMASTER#6436K38</t>
  </si>
  <si>
    <t>Ø4" SPLIT CAST IRON BEARING, NO LINER</t>
  </si>
  <si>
    <t>BREWTON P/N: KB-400</t>
  </si>
  <si>
    <t>U-GATE SELF CLOSING SAFETY GATE ALUMINUM, OPENING 16" TO 40"</t>
  </si>
  <si>
    <t>GRAINGER</t>
  </si>
  <si>
    <t>GRAINGER P/N: SGR-UAG, OR EQUIVALENT</t>
  </si>
  <si>
    <t>MCMASTER P/N: 46325K310 OR EQUIVALENT</t>
  </si>
  <si>
    <t>SOLENOID VALVE STAINLESS STEEL BODY- 1" NPT</t>
  </si>
  <si>
    <t>ASCO P/N: 8210G89 OR EQUIVALENT</t>
  </si>
  <si>
    <t>VALVE, 3/4IN NPT INTEGRAL PILOT 125PSI 120VAC SOLENOID</t>
  </si>
  <si>
    <t>ASCO P/N: 8353K111H0A00F0</t>
  </si>
  <si>
    <t>5" NPT SCH 40 PIPE, BOTH ENDS THD, 21' LONG, CARBON, COUPLING INCLUDED</t>
  </si>
  <si>
    <t>MCMASTER P/N: 4464K160 OR EQUIVALENT</t>
  </si>
  <si>
    <t>1" NPT PIPE NIPPLE BOTH ENDS THREADED, SHC 40, 3" LONG, 304/304L SS</t>
  </si>
  <si>
    <t>MCMASTER P/N: 4830K225 OR EQUIVALENT</t>
  </si>
  <si>
    <t>MCMASTER P/N: 4813K214 OR EQUIVALENT</t>
  </si>
  <si>
    <t>MCMASTER P/N: 4464K488 OR EQUIVALENT</t>
  </si>
  <si>
    <t>MCMASTER P/N: 4464K316 OR EQUIVALENT</t>
  </si>
  <si>
    <t>GREASE FITTING, 90DEG ELBOW, 1/8" NPTF MALE TO FEMALE</t>
  </si>
  <si>
    <t>MCMASTER P/N: 9006T360</t>
  </si>
  <si>
    <t>GREASE FITTING, STRAIGHT ADAPTER, 1/8 NPT</t>
  </si>
  <si>
    <t>MCMASTER P/N: 5182K491</t>
  </si>
  <si>
    <t>GREASE FITTING, STRAIGHT ADAPTER, 1/8" NPT</t>
  </si>
  <si>
    <t>MCMASTER P/N: 5182K804</t>
  </si>
  <si>
    <t>MCMASTER P/N: 85985K320</t>
  </si>
  <si>
    <t>MCMASTER P/N: 91590A128 OR EQUIVALENT</t>
  </si>
  <si>
    <t>LOAD CELL II LOAD CELL, LOWER CAPACITY, 0.1% ACCURACY, 10000 LB RATED LOAD, AMBIANT TEMP, BRUSHED FINISH</t>
  </si>
  <si>
    <t>VENDOR PART # C1-1-10K-X-50-X OR EQUIVALENT</t>
  </si>
  <si>
    <t>SUPERIOR P/N: 42-325475SS</t>
  </si>
  <si>
    <t>HANGER, Ø 2" COUPLING WITH OIL LINE</t>
  </si>
  <si>
    <t>BOUT</t>
  </si>
  <si>
    <t>TCC PART # 9CH2264-O OR EQUIVALENT</t>
  </si>
  <si>
    <t>SPRING HINGE, SELF-CLOSING, 3 1/4" X 3/4" DOOR LEAF</t>
  </si>
  <si>
    <t>MCMASTER P/N: 15205A122</t>
  </si>
  <si>
    <t>MCMASTER P/N: 9110T380  / OR EQUIVALENT</t>
  </si>
  <si>
    <t>2 1/2" NPT ONE END THREADED PIPE NIPPLE X SHC 40, 6" OAL, 304/304L SS</t>
  </si>
  <si>
    <t>MCMASTER PART #: 9157K901 OR EQUIVALENT_x000D_HMC P/N: 02-TN4-2.5X06</t>
  </si>
  <si>
    <t>EXTERNAL RETAINING RING Ø 3 15/16", 15-7 PH SS</t>
  </si>
  <si>
    <t>MCMASTER PART # 91590A582 OR EQUIVALENT</t>
  </si>
  <si>
    <t>SPROCKET, HB78 T14 COMPACT SHEAR PIN ASSY. SHEAR PIN NECK SIZE: Ø0.32"- Ø2 3/8" BORE</t>
  </si>
  <si>
    <t>TNEMEC POTAPOX PAINTED HUB, 8-10 MILS, 316SS HDW, BREWTON P/N: W-5271 OR EQUIVALENT</t>
  </si>
  <si>
    <t>SPROCKET, HB78 T28, Ø3" SPLIT C HUB, Ø23.30" PD</t>
  </si>
  <si>
    <t>TNEMEC POTAPOX PAINTED HUB, 8-10 MILS, 316SS HDW,BREWTON PART#: W-5271 OR EQUIVALENT</t>
  </si>
  <si>
    <t>SWIVEL HEAVY DUTY V-GROOVE TRACK CASTER, 6-1/2" X 4-1/2" PLATE, Ø6" X 2" WD. IRON WHEEL</t>
  </si>
  <si>
    <t>MCMASTER P/N: 8741T52</t>
  </si>
  <si>
    <t>RIGID HEAVY DUTY V-GROOVE TRACK CASTER, 6-1/2" X 4-1/2" PLATE, Ø6" X 2" WD. IRON WHEEL</t>
  </si>
  <si>
    <t>MCMASTER P/N: 8741T62</t>
  </si>
  <si>
    <t>3/4" SHAFT TWO-PEICE SHAFT COLLAR 303 SS</t>
  </si>
  <si>
    <t>MCMASTER#6436K36</t>
  </si>
  <si>
    <t>ELECTO-MECHANICAL LINEAR ACTUATOR, 1" ACME THREADED BORE NON_RISING</t>
  </si>
  <si>
    <t>ROTORK#IQ3-1SP-THW-A-1</t>
  </si>
  <si>
    <t>IQ12, 115 RPM, 1 1/8"-4TPI-RH-SINGLE LEAD ACME THREADED NUT</t>
  </si>
  <si>
    <t>1/8" NPT STRAIGHT FEMALE COUPLING</t>
  </si>
  <si>
    <t>MCMASTER P/N: 4464k351</t>
  </si>
  <si>
    <t>Ø 2" 4 BOLT FLANGE MOUNT, BALL BEARING WITH SET LOCKING SCREW</t>
  </si>
  <si>
    <t>AMI PART # UCF211-32 OR EQUIVALENT</t>
  </si>
  <si>
    <t>3/8" OD 18-8 Stainless Steel Ring-Grip Quick-Release Pin</t>
  </si>
  <si>
    <t>MCMASTER#98404A390</t>
  </si>
  <si>
    <t>1" SHAFT 2" OD 1/8" T Ultra-Low-Friction Oil-Embedded Thrust Bearing</t>
  </si>
  <si>
    <t>MACMASTER#7421K27</t>
  </si>
  <si>
    <t>LIMIT SWITCH, LEVER TYPE W/SPRING RETURN, 16.5 DEG TO CONTACT, 43 DEG MAX TRAVEL, NEMA 7, EXPLOSION PROOF</t>
  </si>
  <si>
    <t>ALLEN BRADLEY PART #: 802X-A7</t>
  </si>
  <si>
    <t xml:space="preserve"> Ø2-1/2 x 1-1/4" WD. THRDED V-GROOVE TRACK ROLLER W ADJ SHLDR</t>
  </si>
  <si>
    <t>MCMASTER P/N: 2282K53</t>
  </si>
  <si>
    <t>UNIVERSAL TOP ADAPTOR PLATE 150 TO 25K LB , WITH FASTENER, UA1</t>
  </si>
  <si>
    <t>KISTLER MORSE PART #: UA1/ 150 TO 25K LB</t>
  </si>
  <si>
    <t>UNION ELBOW, 1/8 IN TUBE SIZE, METAL, 3/8 IN HEX SIZE, STAINLESS STEEL</t>
  </si>
  <si>
    <t>GRAINGER P#: 2EE2-316</t>
  </si>
  <si>
    <t>COMPRESSION FITTING , 90 DEGREE ELBOW ADAPTER, 1/8 IN TUBE SIZE, STAINLESS STEEL</t>
  </si>
  <si>
    <t>MCMASTER P#: 52245K831</t>
  </si>
  <si>
    <t>Ø2" STAINLESS STEEL FLANGE, SLIP-ON WELD, 150 CLASS</t>
  </si>
  <si>
    <t>MCMASTER PART # 44685K184 OR EQUIVALENT</t>
  </si>
  <si>
    <t>1" NPT FEMALE THREADED PIPE CAP, 304 STAINLESS STEEL</t>
  </si>
  <si>
    <t>MCMASTER # 4464K512 OR EQUIVALENT</t>
  </si>
  <si>
    <t>Ø 10" PIPE SIZE STAINLESS STEEL FLANGE, SLIP-ON WELD</t>
  </si>
  <si>
    <t>MCMASTER PART # 44685K322 OR EQUIVALENT</t>
  </si>
  <si>
    <t>Ø4-1/2" CLAMPING TWO-PIECE SHAFT COLLAR 304SS</t>
  </si>
  <si>
    <t>Ø 12" PIPE SIZE 304L STAINLESS STEEL FLANGE, SLIP-ON WELD</t>
  </si>
  <si>
    <t>MCMASTER PART # 44685K323 OR EQUIVALENT</t>
  </si>
  <si>
    <t>260 SPRING LUBRICATOR 1/8" NPT 6oz RESERVOIR W/ BLUE (LIGHT), SILVER (MEDIUM), RED (HEAVY) SPRINGS</t>
  </si>
  <si>
    <t>DO NOT USE - 260 SPRING LUBRICATOR 1/8" NPT 6oz RESERVOIR W/ RED SPRING, HEAVY</t>
  </si>
  <si>
    <t>LINK SEAL FOR 3" 316 SS HARDWARE</t>
  </si>
  <si>
    <t>LINK SEAL P/N: LS-300-S-10</t>
  </si>
  <si>
    <t>SINGLE VESSEL WEIGHT INDICATOR, SVS2000AA-S-A-N</t>
  </si>
  <si>
    <t>KISTLER MORSE PART # SVS2000AASAN OR EQUIVALENT</t>
  </si>
  <si>
    <t>DRUM PULLEY, Ø12" CROWN-FACED X 26" WIDE W/  3/8" HERRINGBONE LAGGING, Ø2 15/16" BORE</t>
  </si>
  <si>
    <t>SUPERIOR #: DCEMA-1226CFXT3038H OR EQUIVALENT</t>
  </si>
  <si>
    <t>DRUM PULLEY, Ø12" CROWN-FACED X 26" WIDE W/ 3/8" HERRINGBONE LAGGING, Ø2 BORE</t>
  </si>
  <si>
    <t>SUPERIOR #: DPM-1226CFXT2538H OR EQUIVALENT</t>
  </si>
  <si>
    <t>TOP ANGLE TAKE UP 42" TRAVEL BEARING  ETPB22439H 2 7/16 TAKEUP ROLLER BRG</t>
  </si>
  <si>
    <t>SUPERIOR IND PART#: TUTA-300-42</t>
  </si>
  <si>
    <t>Ø 2" NPT STAINLESS STEEL FEMALE BALL VALVE</t>
  </si>
  <si>
    <t>MCMASTER PART# 46495K26 OR EQUIVALENT</t>
  </si>
  <si>
    <t>HIGH PRESSURE, 1/4" NPT THREADED - BUTT-WELD- 316SS</t>
  </si>
  <si>
    <t>MCMASTER PART # 4583T112</t>
  </si>
  <si>
    <t>VEEJET SPRAY NOZZLE, 1/4" NPT 95 DEG. FLAT SPRAY PATTERN 8.6 GPM AT 60 PSI</t>
  </si>
  <si>
    <t>SPARYER SYSTEMS CO. PART#: H1-4U-SS9570</t>
  </si>
  <si>
    <t>U-BOLT 5/16 -1 8, Ø15/16" ID</t>
  </si>
  <si>
    <t>MCMASTER PART#: 29605T1</t>
  </si>
  <si>
    <t>Ø 8" PIPE SIZE STAINLESS STEEL, SLIP-ON WELD, 300 CLASS</t>
  </si>
  <si>
    <t>MCMASTER PART # 4448T43 OR EQUIVALENT</t>
  </si>
  <si>
    <t>Ø2" STAINLESS STEEL FLANGE, SLIP-ON WELD, 300 CLASS</t>
  </si>
  <si>
    <t>Ø4 1/2" BORE- 4 BOLT TYPE, TAPERED ROLLER BEARING, NON- EXPANSION, STANDARD DUTY, CAST IRON</t>
  </si>
  <si>
    <t>DODGE#: F4B-E-408R</t>
  </si>
  <si>
    <t>Ø4 3/8" EXTERNAL RETAINING RING, 304 SS</t>
  </si>
  <si>
    <t>MCMASTER PART#: 91590A259 OR EQUIVALENT</t>
  </si>
  <si>
    <t>Ø4 1/2" EXTERNAL RETAINING RING, 304 SS</t>
  </si>
  <si>
    <t>MCMASTER PART#: 91590A262 OR EQUIVALENT</t>
  </si>
  <si>
    <t>LOAD STAND II 100K- 100,000 LB CAPACITY, 2-HOLE 304 SS JUNCTION BOX WITH ATEX APPROVAL, AMBIENT TEMPERATURE</t>
  </si>
  <si>
    <t>KISTLER MORSE PART#: S2-100K-T-X</t>
  </si>
  <si>
    <t>SVS2000A- SVS2000 SINGLE VESSEL WEIGHT INDICATOR  ( NOT SHOWN )</t>
  </si>
  <si>
    <t>DUAL BELT CLEANER 30"BW, 28"FW, TUNGSTEN ROD</t>
  </si>
  <si>
    <t>SUPERIOR#SFLD1-302030T_x000D_SUPERIOR#SFLD1-302060T (PER ATLANTIC)</t>
  </si>
  <si>
    <t>E-STOP, EXPLOSION PROOF, W/ 2 SP/DT MICROSWITCHES, NEMA 4X</t>
  </si>
  <si>
    <t>NON CONTACT SENSOR FOR MFA-4P  ZERO SPEED SWITCH, EXPLOSION PROOF</t>
  </si>
  <si>
    <t>MFG PART#: XPP-5_x000D_MFG PART#: 7MH7146-0JA (PER SIEMENS)_x000D_15m LENGTH CABLE</t>
  </si>
  <si>
    <t>PULL HANDLE, FOLDING, 3 3/4" HANDLE WIDTH, 165 LBS PULL CAPACITY, 304 SS</t>
  </si>
  <si>
    <t>MCMASTER P/N: 1881A13</t>
  </si>
  <si>
    <t>3" SCH40, 90 DEG ELBOW BUTT WELD, ALUMINUM</t>
  </si>
  <si>
    <t>MCMASTER# 43485K127</t>
  </si>
  <si>
    <t>LOAD STAND II 50K- 50,000 LB CAPACITY, 2-HOLE 304 SS JUNCTION BOX WITH ATEX APPROVAL, AMBIENT TEMPERATURE</t>
  </si>
  <si>
    <t>KISTLER MORSE PART#: S2-50K-T-X</t>
  </si>
  <si>
    <t>EASY AIMER 2, ALUMINUM, 3/4  NPT WITH 1" GALVANIZED COUPLING</t>
  </si>
  <si>
    <t>SIEMNENS PART#: 7ML1830-1AP</t>
  </si>
  <si>
    <t>LEVEL MEASUREMENT, MEASURING RANGE 1…50 FT, OUTPUT 44 KHZ, BEAM ANGLE 6°, PRESSURE 120 PSI G, 1" NPT,  CE, CSA, FM, ATEX, IECEX, COLOR BLUE</t>
  </si>
  <si>
    <t>SIEMENS PART#: XPS-15</t>
  </si>
  <si>
    <t>SELF ADHESIVE-BACK RULER, 8' LG X 3" WIDE, MARKS IN 4THS READS BOTTOM TO TOP</t>
  </si>
  <si>
    <t>MCMASTER PART#: 20335A73 OR EQUIVALENT</t>
  </si>
  <si>
    <t>5/8" SHAFT, 1" HOUSING, 1" LG. OIL EMBEDDED FLANGED SLEEVE BEARING</t>
  </si>
  <si>
    <t>MCMASTER P/N: 6338K577</t>
  </si>
  <si>
    <t>1-1/2" OD X 1" ID X 1" LG. OFF-WHITE NYLON UNTHREADED SPACER</t>
  </si>
  <si>
    <t>MCMASTER P/N: 94639A894</t>
  </si>
  <si>
    <t>Ø4" STAINLESS STEEL FLANGE, SLIP-ON WELD, 150 CLASS</t>
  </si>
  <si>
    <t>MCMASTER CARR PART # 44685K187 OR EQUIVALENT</t>
  </si>
  <si>
    <t>Ø3" SPLIT PILLOW BLOCK ROLLER BEARING WITH GREASE ZERK</t>
  </si>
  <si>
    <t>CRAFT P/N: S1-BCH-300-HD</t>
  </si>
  <si>
    <t>1/8" NPT STRAIGHT FEMALE COUPLING, THREADED BOTH ENDS, CLASS 150, Ø0.547" OD X 1" LG, 316 SS</t>
  </si>
  <si>
    <t>ONLY ORDER FROM HM CRAIG</t>
  </si>
  <si>
    <t>CHAIN COUPLING W/ COVER, 8020F BORED TO Ø2 7/16", 8020 TLF TAPER LOCK Ø3"</t>
  </si>
  <si>
    <t>U.S. TSUBAKI P#:8020TLF-2438 X 300</t>
  </si>
  <si>
    <t>CHAIN COUPLING W/ COVER, 8020F BORED TO Ø2 15/16", 8020 TLF TAPER LOCK Ø3"</t>
  </si>
  <si>
    <t>U.S. TSUBAKI P#:8020TLF-2938 X 300</t>
  </si>
  <si>
    <t>SS CAM ROLLER, 1.5 OD, 7/8" ROLLER WIDTH, 7/16" BORE DIAM, MAX STATIC LOAD 11200 LBS, MAX DYNAMIC LOAD 4350, MAX RPM 2500</t>
  </si>
  <si>
    <t>CARTER PART#: SY-48-S OR EQUIVALENT</t>
  </si>
  <si>
    <t>1" NPT FEMALE TREADED PIPE FITTING, MEDIUM PRESSURE CAP</t>
  </si>
  <si>
    <t>MCMASTER PART# 4464K89 OR EQUIVALENT</t>
  </si>
  <si>
    <t>MCMASTER PART#: 6384K820 OR EQUIVALENT</t>
  </si>
  <si>
    <t>Ø3/16" X 1-1/2" LG. COTTER PIN SS 18-8</t>
  </si>
  <si>
    <t>MCMASTER PART#: 98401A514</t>
  </si>
  <si>
    <t>Ø1-1/2" NPT, 2" LONG, THREADED PIPE NIPPLE</t>
  </si>
  <si>
    <t>FAB</t>
  </si>
  <si>
    <t>Ø3/4" NPT, 1-1/2" LONG, THREADED PIPE NIPPLE</t>
  </si>
  <si>
    <t>PIPE NIPPLE, Ø1/2" NPT X 1 1/2" LG. TBE, 304L SS</t>
  </si>
  <si>
    <t>MCMASTER PART#: 4830K172</t>
  </si>
  <si>
    <t>PIPE NIPPLE, �1/2" NPT X 2" LG. TBE, 304L SS</t>
  </si>
  <si>
    <t>MCMASTER PART#: 4830K173</t>
  </si>
  <si>
    <t>PIPE NIPPLE, Ø1/2" NPT X 4" LG. TBE, 304L SS</t>
  </si>
  <si>
    <t>MCMASTER PART#: 4830K176</t>
  </si>
  <si>
    <t>PIPE NIPPLE, Ø1/2" NPT X 5" LG. TBE, 304L SS</t>
  </si>
  <si>
    <t>MCMASTER PART#: 4830K177</t>
  </si>
  <si>
    <t>PIPE NIPPLE, �1/2" NPT X 6" LG. TBE, 304L SS</t>
  </si>
  <si>
    <t>MCMASTER PART#: 4830K178</t>
  </si>
  <si>
    <t>PIPE NIPPLE, Ø1/2" NPT X 1 1/2" LG. TBE, 316L SS</t>
  </si>
  <si>
    <t>MCMASTER PART#: 4548K172</t>
  </si>
  <si>
    <t>PIPE NIPPLE, Ø1/2" NPT X 4 1/2" LG. TBE, 316L SS</t>
  </si>
  <si>
    <t>MCMASTER PART#: 4548K314</t>
  </si>
  <si>
    <t>PIPE NIPPLE, �1/2" NPT X 6" LG. TBE, 316L SS</t>
  </si>
  <si>
    <t>MCMASTER PART#: 4548K178</t>
  </si>
  <si>
    <t>PIPE NIPPLE, Ø3/4" NPT X 1 1/2" LG. TBE, 316L SS</t>
  </si>
  <si>
    <t>MCMASTER PART#:  4548K192</t>
  </si>
  <si>
    <t>PIPE NIPPLE, Ø3/4" NPT X 2" LG. TBE, 316L SS</t>
  </si>
  <si>
    <t>MCMASTER PART#:  4548K193</t>
  </si>
  <si>
    <t>PIPE NIPPLE, Ø3/4" NPT X 2 1/2" LG. TBE, 316L SS</t>
  </si>
  <si>
    <t>MCMASTER PART#:  4548K194</t>
  </si>
  <si>
    <t>PIPE NIPPLE, Ø3/4" NPT X 3" LG. TBE, 304L SS</t>
  </si>
  <si>
    <t>MCMASTER PART#:  4830K195</t>
  </si>
  <si>
    <t>PIPE NIPPLE, Ø3/4" NPT X 4" LG. TBE, 304L SS</t>
  </si>
  <si>
    <t>MCMASTER PART#:  4830K196</t>
  </si>
  <si>
    <t>PIPE NIPPLE, Ø3/4" NPT X 4 1/2" LG. TBE, 316L SS</t>
  </si>
  <si>
    <t>MCMASTER PART#:  4548K315</t>
  </si>
  <si>
    <t>PIPE NIPPLE, Ø3/4" NPT X 5" LG. TBE, 304L SS</t>
  </si>
  <si>
    <t>MCMASTER PART#:  4830K197</t>
  </si>
  <si>
    <t>PIPE NIPPLE, Ø3/4" NPT X 5 1/2" LG. TBE, 304L SS</t>
  </si>
  <si>
    <t>MCMASTER PART#:  4830K305</t>
  </si>
  <si>
    <t>PIPE NIPPLE, �3/4" NPT X 6" LG. TBE, 304L SS</t>
  </si>
  <si>
    <t>MCMASTER PART#:  4830K198</t>
  </si>
  <si>
    <t>PIPE NIPPLE, Ø3/4" NPT X 8" LG. TBE, 304L SS</t>
  </si>
  <si>
    <t>MCMASTER PART#:  4830K199</t>
  </si>
  <si>
    <t>PIPE NIPPLE, �3/4" NPT X 10 LG. TBE, 304L SS</t>
  </si>
  <si>
    <t>MCMASTER PART#:  4830K211</t>
  </si>
  <si>
    <t>MCMASTER PART#: 4830K324</t>
  </si>
  <si>
    <t>MCMASTER PART#: 4830K148</t>
  </si>
  <si>
    <t>MCMASTER PART#: 4830K226</t>
  </si>
  <si>
    <t>PIPE NIPPLE, Ø1" NPT X 4 1/2" LG. TBE, 304L SS</t>
  </si>
  <si>
    <t>MCMASTER PART#: 4830K336</t>
  </si>
  <si>
    <t>PIPE NIPPLE, Ø1" NPT X 2 1/2" LG. TBE, 316L SS</t>
  </si>
  <si>
    <t>MCMASTER PART#: 4548K224</t>
  </si>
  <si>
    <t>PIPE NIPPLE, Ø1" NPT X 3" LG. TBE, 316L SS</t>
  </si>
  <si>
    <t>MCMASTER PART#: 4548K225</t>
  </si>
  <si>
    <t>PIPE NIPPLE, Ø1" NPT X 3 1/2" LG. TBE, 316L SS</t>
  </si>
  <si>
    <t>MCMASTER PART#: 4548K148</t>
  </si>
  <si>
    <t>PIPE NIPPLE, Ø1" NPT X 4" LG. TBE, 316L SS</t>
  </si>
  <si>
    <t>MCMASTER PART#: 4548K226</t>
  </si>
  <si>
    <t>PIPE NIPPLE, Ø1" NPT X 8" LG. TBE, 316L SS</t>
  </si>
  <si>
    <t>MCMASTER PART#: 4548K229</t>
  </si>
  <si>
    <t>PIPE NIPPLE, Ø1 1/4" NPT X 3" LG. TBE, 304L SS</t>
  </si>
  <si>
    <t>MCMASTER PART#: 4830K245</t>
  </si>
  <si>
    <t>PIPE NIPPLE, �1 1/2" NPT X 2 1/2" LG. TBE, 304L SS</t>
  </si>
  <si>
    <t>MCMASTER PART#: 4830K264</t>
  </si>
  <si>
    <t>PIPE NIPPLE, Ø1 1/2" NPT X 4" LG. TBE, 304L SS</t>
  </si>
  <si>
    <t>MCMASTER PART#: 4830K266</t>
  </si>
  <si>
    <t>PIPE NIPPLE, Ø1/2" NPT X 2 1/2" LG. TOE, 304L SS</t>
  </si>
  <si>
    <t>PIPE NIPPLE, �1/2" NPT X 2" LG. TOE, 316L SS</t>
  </si>
  <si>
    <t>PIPE NIPPLE, Ø3/4" NPT X 2" LG. TOE, 304L SS</t>
  </si>
  <si>
    <t>PIPE NIPPLE, Ø3/4" NPT X 3" LG. TOE, 304L SS</t>
  </si>
  <si>
    <t>PIPE NIPPLE, Ø3/4" NPT X 5" LG. TOE, 304L SS</t>
  </si>
  <si>
    <t>PIPE NIPPLE, Ø3/4" NPT X 5 1/2" LG. TOE, 304L SS</t>
  </si>
  <si>
    <t>PIPE NIPPLE, Ø3/4" NPT X 2" LG. TOE, 316L SS</t>
  </si>
  <si>
    <t>PIPE NIPPLE, Ø3/4" NPT X 3" LG. TOE, 316L SS</t>
  </si>
  <si>
    <t>PIPE NIPPLE, �1" NPT X 2" LG. TOE, 304L SS</t>
  </si>
  <si>
    <t>PIPE NIPPLE, Ø1" NPT X 4" LG. TOE, 316L SS</t>
  </si>
  <si>
    <t>PIPE NIPPLE, Ø1 1/2" NPT X 1 1/2" LG. TOE, 304L SS</t>
  </si>
  <si>
    <t>PIPE NIPPLE, Ø1 1/2" NPT X 2" LG. TOE, 304L SS</t>
  </si>
  <si>
    <t>MCMASTER P/N: 9157K37</t>
  </si>
  <si>
    <t>PIPE NIPPLE, Ø1 1/2" NPT X 2 1/2" LG. TOE, 304L SS</t>
  </si>
  <si>
    <t>PIPE NIPPLE, Ø1 1/2" NPT X 3" LG. TOE, 304L SS</t>
  </si>
  <si>
    <t>PIPE NIPPLE, Ø1 1/2" NPT X 1 1/2" LG. TOE, 316L SS</t>
  </si>
  <si>
    <t>PIPE NIPPLE, Ø1 1/2" NPT X 4" LG. TOE, 316L SS</t>
  </si>
  <si>
    <t>PIPE NIPPLE, Ø2" NPT X 2" LG. TOE, 304L SS</t>
  </si>
  <si>
    <t>PIPE NIPPLE, Ø2" NPT X 3" LG. TOE, 304L SS</t>
  </si>
  <si>
    <t>MCMASTER P/N: 9157K48</t>
  </si>
  <si>
    <t>PIPE NIPPLE, Ø2" NPT X 4" LG. TOE, 304L SS</t>
  </si>
  <si>
    <t>PIPE NIPPLE, Ø2" NPT X 2 1/2" LG. TOE, 316L SS</t>
  </si>
  <si>
    <t>PIPE NIPPLE, Ø2" NPT X 3" LG. TOE, 316L SS</t>
  </si>
  <si>
    <t>PIPE NIPPLE, Ø2" NPT X 4 1/2" LG. TOE, 316L SS</t>
  </si>
  <si>
    <t>MCASTER P/N: 9110T952</t>
  </si>
  <si>
    <t>PIPE NIPPLE, Ø2" NPT X 12" LG. TOE, 316L SS</t>
  </si>
  <si>
    <t>MCMASTER P/N: 9110T957</t>
  </si>
  <si>
    <t>PIPE NIPPLE, Ø3" NPT X 2 1/2" LG. TOE, 304L SS</t>
  </si>
  <si>
    <t>MCMASTER PART#: 4830K297</t>
  </si>
  <si>
    <t>PIPE NIPPLE, Ø3" NPT X 3" LG. TOE, 304L SS</t>
  </si>
  <si>
    <t>1" MALE X 3/4" FEMALE NPT SS THREADED PIPE ADAPTER</t>
  </si>
  <si>
    <t>MCMASTER CARR PART # 4464K385 OR EQUIVALENT</t>
  </si>
  <si>
    <t>MN78 A10 UHMW A-PLATE SPKT, 1.00" BORE</t>
  </si>
  <si>
    <t>BREWTON#MN78 A10 UHMW A-Plate Spkt. – 1.00” Bore</t>
  </si>
  <si>
    <t>NEODYMIUM MAGNET, COUTNERSUNCK BOTH SIDES, 3/4" OD X 1/8" T</t>
  </si>
  <si>
    <t>MCMASTER#5862k225</t>
  </si>
  <si>
    <t>HIGH-PRESSURE BRASS PIPE FITTING, REDUCING ADAPTER, 1/4" NPT FEMALE X 1/8" NPT MALE</t>
  </si>
  <si>
    <t>MCMASTER CARR PART # 50785K260 OR EQUIVALENT</t>
  </si>
  <si>
    <t>304 SS U-BOLT, 1/2"-13 THREAD X 6 3/4" ID</t>
  </si>
  <si>
    <t>MCMASTER P/N OR EQUIVALENT: 8896T32</t>
  </si>
  <si>
    <t>Ø 0.563 NOSE, WELDABLE RETRACTABLE SPRING PLUNGER, T-HANDLE, WELD ON, STAINLESS STEEL</t>
  </si>
  <si>
    <t>MCMASTER PART # 91712A581 OR EQUIVALENT</t>
  </si>
  <si>
    <t>FLEXIBLE DISC MAGNET, 3/16" THK, 1/2" OD, PULL FORCE 0.4 LBS, CERAMIC FERRITE</t>
  </si>
  <si>
    <t>MCMATER PART#: 58145K81</t>
  </si>
  <si>
    <t>Ø 2" MARTIN HARD IRON BEARING W/ OIL</t>
  </si>
  <si>
    <t>VENDOR PART # CHB2204MHI-O OR EQUIVALENT</t>
  </si>
  <si>
    <t>PIANO HINGE W/O HOLES, 4" WIDE X 8' LG.</t>
  </si>
  <si>
    <t>MCMASTER P/N OR EQUIVALENT: 1582A342</t>
  </si>
  <si>
    <t>CORROSION-RESISTANT CLEVIS ROD END, $PRP:"Thread", ZINC PLATED CARBON, JAW OPENING 9/16",  INCLUDES 1/2" CLEVIS PIN, INLUDES COTTER PIN</t>
  </si>
  <si>
    <t>MCMASTER P/N: 1583K61</t>
  </si>
  <si>
    <t>LOOP-GRIP CLEVIS PIN W/ HAIRPIN COTTER PIN, 316SS, Ø3/8" X 3" LG.</t>
  </si>
  <si>
    <t>MCMASTER P/N OR EQUIVALENT: 98412A415</t>
  </si>
  <si>
    <t>SCP1000 SPEED SWITCH 230VAC- P#: 800-021100</t>
  </si>
  <si>
    <t>ELECTRO-SENSORS P#: 800-021100</t>
  </si>
  <si>
    <t>E-STOP PULL CABLE SWITCH FOR NEMA 7 AND 9, 2 DOUBLE POLE DOUBLE THROW MICROSWITCHES, WATERPROOF, EXPLOSION PROOF</t>
  </si>
  <si>
    <t>CONVEYOR COMPONENTS COMPANY PART # PCD-2SX OR EQUIVALENT</t>
  </si>
  <si>
    <t>OIL SEAL, SEAL TYPE 41, 3.437 ID X  4.254 OD X .375 WIDE, REDICOATED, NITRILE</t>
  </si>
  <si>
    <t>TIMKEN PART # 418029 OR EQUIVALENT</t>
  </si>
  <si>
    <t>OIL-EMBEDDED FLANGED SLEEVE BEARING, 7/8" SHAFT DIA AND 1-1/8" HOUSING ID, 1" LONG</t>
  </si>
  <si>
    <t>MCMASTER#6338K435 or equivalent</t>
  </si>
  <si>
    <t>CHUTE CLAMP</t>
  </si>
  <si>
    <t>P/N: CSC-2Sp</t>
  </si>
  <si>
    <t>THRUST BEARING, TAPERED ROLLER, 3.50" ID X 5.25" OD X 1.3124" THK, 26000 LBF RATING</t>
  </si>
  <si>
    <t>TIMKEN PART # T350 OR EQUIVALENT</t>
  </si>
  <si>
    <t>Ø 3-1/2" BORE, 4 BOLT TYPE, NON-EXPANSION, TRIPLE LIP SEAL, STANDARD DUTY</t>
  </si>
  <si>
    <t>BALDOR PART # 023115 OR EQUIVALENT</t>
  </si>
  <si>
    <t>OIL SEAL, SEAL TYPE 41, 3.50 ID X 5.256 OD X .468 WIDE, REDICOATED, NITRILE</t>
  </si>
  <si>
    <t>TIMKEN PART # 415991 OR EQUIVALENT</t>
  </si>
  <si>
    <t>STANDARD DUTY SEAL FOR Ø 3 1/2" SHAFT W/HPDE HOUSING, SS FACE</t>
  </si>
  <si>
    <t>DURASHIELD PART # SDNS-3.50 OR EQUIVALENT</t>
  </si>
  <si>
    <t>Ø 3 1/2" CLIPPER SEAL</t>
  </si>
  <si>
    <t>PARKER PART # 17323 H1L5 OR EQUIVALENT</t>
  </si>
  <si>
    <t>Ø3 1/2" EXTERNAL RETAINING RING, SS</t>
  </si>
  <si>
    <t>MCMASTER CARR PART # 91590A220 OR EQUIVALENT</t>
  </si>
  <si>
    <t>1/8" NPT FEMALE PIPE FITTING, 90 DEGREE ELBOW CONNECTOR, SS</t>
  </si>
  <si>
    <t>MCMASTER CARR PART # 446K11 OR EQUIVALENT</t>
  </si>
  <si>
    <t>OBSOLETE: USE P/N 502893      _x000D_
E-STOP PULL CABLE SWITCH FOR NEMA 4X, 2 DOUBLE POLE DOUBLE THROW MICROSWITCHES</t>
  </si>
  <si>
    <t>CONVEYOR COMPONENTS COMPANY PART # PCD-2S OR EQUIVALENT</t>
  </si>
  <si>
    <t>PIPE FLANGE, Ø6" 150# 316 SS</t>
  </si>
  <si>
    <t>MCMASTER MFG #:44695K188 OR EQUIVALENT</t>
  </si>
  <si>
    <t>Ø8" PIPE SIZE STAINLESS STEEL, SLIP-ON WELD, 150# 316 SS</t>
  </si>
  <si>
    <t>MCMASTER# 44695K163 / OR EQUIVALENT</t>
  </si>
  <si>
    <t>2" HALF-COUPLING, 316 SS</t>
  </si>
  <si>
    <t>MCMASTER# 4452K217 / OR EQUIVALENT SPEC# MSS SP114</t>
  </si>
  <si>
    <t>1/4" WIRE ROPE CLAMP, 316 SS (NOT SHOWN)</t>
  </si>
  <si>
    <t>MCMASTER-CARR P#:3017T999</t>
  </si>
  <si>
    <t>COSTANT-FORCE SPRING, 3000 CYCLES, 36" EXTENDED LENGTH, 28.71 LBS. LOADS</t>
  </si>
  <si>
    <t>MCMASTER#9293K69</t>
  </si>
  <si>
    <t>STRAIGHT ADAPTER, Ø1/4" TUBE X 1/8 NPTF MALE</t>
  </si>
  <si>
    <t>P/N: 52215K439</t>
  </si>
  <si>
    <t>SPIRAL WING PULLEY, Ø12" X 26" WIDE, Ø2 7/16" BORE</t>
  </si>
  <si>
    <t>SUPERIOR #: DCEMA-1226CFXT25SPIRAL OR EQUIVALENT</t>
  </si>
  <si>
    <t>ONE MONROE / MONRO ENGINEERING _x000D_
P/N: PH1225D-20</t>
  </si>
  <si>
    <t>7' ALUMNUM LADDER</t>
  </si>
  <si>
    <t>COTTERMAN P/N: AF8W C50</t>
  </si>
  <si>
    <t>ASCO P/N: EF8210G89 OR EQUIVALENT</t>
  </si>
  <si>
    <t>Ø1-1/2" CLAMPING TWO-PIECE SHAFT COLLAR 304SS</t>
  </si>
  <si>
    <t>MCMASTER CARR PART # -6436K430_x000D_
OR EQUIVALENT</t>
  </si>
  <si>
    <t>SEW ENCODER MODULE EI7.B/DR71</t>
  </si>
  <si>
    <t>MANUFACTURE PART NUMBER: 18254551 (EI7.B/DR71)</t>
  </si>
  <si>
    <t>LIMIT SWITCH LEVER ROD, STAINLESS STEEL</t>
  </si>
  <si>
    <t>SIEMENS PART # US2:3SX03-KL220 OR EQUIVALENT</t>
  </si>
  <si>
    <t>10-32 X 1/2" 18-8SS BUTTON HEAD HEX SCREW</t>
  </si>
  <si>
    <t>MCMASTER P/N: 92949A265</t>
  </si>
  <si>
    <t>#10 INTERNAL-TOOTH LOCK WASHER, 18-8SS</t>
  </si>
  <si>
    <t>MCMASTER P/N: 91757A107</t>
  </si>
  <si>
    <t>CLEVIS, FEMALE, 3/4"-16 TAPPED, 1 1/4" OPENING, PIN Ø3/4" X 2 7/8" LG, 2X SNAP RINGS, 304 SS</t>
  </si>
  <si>
    <t>INDESCO ASSEMBLY#: BDC-07</t>
  </si>
  <si>
    <t>1/2" NPT LOW PRESSURE 304 SS THREADED PIPE CAP</t>
  </si>
  <si>
    <t>MCMASTER PART # 4464K499 OR EQUIVALENT</t>
  </si>
  <si>
    <t>ADHESIVE-BACK RULER, 4' LG X 1/2" WIDE</t>
  </si>
  <si>
    <t>MCMASTER P/N OR EQUIVALENT: 1909A41</t>
  </si>
  <si>
    <t>CLEVIS PIN, Ø3/4" X 2 7/8" LG, ADD 2X 3/4" SNAP RINGS, STEEL</t>
  </si>
  <si>
    <t>INDESCO ASSEMBLY#: BDP-07G-ASSY, PIN #: BDP-07G, SNAP RING #: RING-07</t>
  </si>
  <si>
    <t>Ø2 7/16" ID, HPVT BREWTON BEARING LINER</t>
  </si>
  <si>
    <t>POLYTECH P/N: 13228-A</t>
  </si>
  <si>
    <t>Ø2 1/2" ID, HPVT BREWTON BEARING LINER</t>
  </si>
  <si>
    <t>POLYTECH P/N: 13264-A</t>
  </si>
  <si>
    <t>Ø2 15/16" ID, HPVT BREWTON BEARING LINER</t>
  </si>
  <si>
    <t>POLYTECH P/N: 13264-I</t>
  </si>
  <si>
    <t>Ø3" ID, HPVT BREWTON BEARING LINER</t>
  </si>
  <si>
    <t>POLYTECH P/N: 13264-B</t>
  </si>
  <si>
    <t>Ø3 7/16" ID, HPVT BREWTON BEARING LINER</t>
  </si>
  <si>
    <t>POLYTECH P/N: 13264-J</t>
  </si>
  <si>
    <t>Ø3 1/2" ID, HPVT BREWTON BEARING LINER</t>
  </si>
  <si>
    <t>POLYTECH P/N: 13264-C</t>
  </si>
  <si>
    <t>Ø4" ID, HPVT BREWTON BEARING LINER</t>
  </si>
  <si>
    <t>POLYTECH P/N: 13264-D</t>
  </si>
  <si>
    <t>Ø4 1/2" ID, HPVT BREWTON BEARING LINER</t>
  </si>
  <si>
    <t>POLYTECH P/N: 13264-E</t>
  </si>
  <si>
    <t>Ø5" ID, HPVT BREWTON BEARING LINER</t>
  </si>
  <si>
    <t>POLYTECH P/N: 13264-F</t>
  </si>
  <si>
    <t>Ø5 1/2" ID, HPVT BREWTON BEARING LINER</t>
  </si>
  <si>
    <t>POLYTECH P/N: 13264-G</t>
  </si>
  <si>
    <t>Ø6" ID, HPVT BREWTON BEARING LINER</t>
  </si>
  <si>
    <t>POLYTECH P/N: 13264-H</t>
  </si>
  <si>
    <t>Ø7/8" UHMW SLEEVE BEARING W/ SS HOUSING</t>
  </si>
  <si>
    <t>MCMASTER PART#: 6252K44 OR EQUIVALENT</t>
  </si>
  <si>
    <t>CLEVIS PIN, Ø3/4" X 3 1/8" LG, 2 3/4" USABLE LG, ADD 2X COTTER PIN, 1144 CARBON STL</t>
  </si>
  <si>
    <t>INDESCO# BDP-07H OR EQUIVALENT</t>
  </si>
  <si>
    <t>RTV, WATERPROOF SILICONE SEALANT, GRAY (10.1 fl oz)</t>
  </si>
  <si>
    <t>DAP PART#: 406W24</t>
  </si>
  <si>
    <t>DRUM PULLEY, Ø12" CROWN-FACED X 38" WIDE W/ 3/8" HERRINGBONE LAGGING, Ø2.75" BORE</t>
  </si>
  <si>
    <t>SUPERIOR #: DCEMA-1238CFXT3038H OR EQUIVALENT</t>
  </si>
  <si>
    <t>Ø 18" PIPE SIZE STAINLESS STEEL FLANGE, SLIP-ON WELD, 150 # CLASS</t>
  </si>
  <si>
    <t>TEXAS FLANGE PART # 18-150-SLIP-ON-FF-FLANGE OR EQUIVALENT</t>
  </si>
  <si>
    <t>MCMASTER P/N#: 6494K16</t>
  </si>
  <si>
    <t>SEAL, Ø4 7/16" SHAFT, HARD COATED ANODIZED ALUM WITH O-RING, SLOTS 1", SOLID PTFE ROTOR CUP, SOLID .86" ELASTOMER WITH LUGS</t>
  </si>
  <si>
    <t>CINCHSEAL ASSOCIATES, INC.</t>
  </si>
  <si>
    <t>CINCHSEAL PART#: DWG5607</t>
  </si>
  <si>
    <t>SEAL, SPLIT INTERNALS, Ø4 1/2" SHAFT, HARD COATED ANODIZED ALUM WITH O-RING, SLOTS 1", SPLIT PTFE ROTOR CUP, SOLID .86" ELASTOMER</t>
  </si>
  <si>
    <t>CINCHSEAL PART#: DWG5609</t>
  </si>
  <si>
    <t>LEVELING JACK, RETANGULAR PLATE, SIDE HANDLE, 10-3/8" TO 20-3/8" HIGH</t>
  </si>
  <si>
    <t>MCMASTER CARR PART # 2963T48 OR EQUIVALENT</t>
  </si>
  <si>
    <t>SOLID HARD COAT ANODIZED  ALUMINUM SEAL, Ø3.437" SHAFT, W/SOLID HC ALUM HOUSING WITH O-RING, SOLID HC ALUM FACE PLATE, SPLIT PTFE ROTOR CUPS AND .86" SOLID  ELASTOMER W/LUGS.</t>
  </si>
  <si>
    <t>CINCHSEAL#: 0FSD75503H-SP</t>
  </si>
  <si>
    <t>TUBE FITTING, UNION, 1/4" TUBE OD, 316 SS</t>
  </si>
  <si>
    <t>SWAGELOK P/N: SS-400-6</t>
  </si>
  <si>
    <t>TUBE FITTING, MALE ELBOW, 1/4" TUBE OD X 1/8" MALE NPT, 316 SS</t>
  </si>
  <si>
    <t>SWAGELOK P/N: SS-400-2-2</t>
  </si>
  <si>
    <t>Ø 2" NPT FEMALE HIGH PRESSURE HALF PIPE FITTING, BUTT WELD</t>
  </si>
  <si>
    <t>MCMASTER PART # 45525K579 OR EQUIVALENT</t>
  </si>
  <si>
    <t>GREASE FITTING, 45 DEG, 1/8" MALE X FEMALE NPT, STEEL</t>
  </si>
  <si>
    <t>MCMASTER PART#: 1303K342 OR EQUIVALENT</t>
  </si>
  <si>
    <t>DRUM PULLEY, Ø12" CROWN-FACED X 38" WIDE, Ø2 3/4" BORE</t>
  </si>
  <si>
    <t>SUPERIOR #: DCEMA-1238CFXT30 OR EQUIVALENT</t>
  </si>
  <si>
    <t>SOLID HARD COAT ANODIZED ALUMINUM SEAL FOR A Ø 3.937 SHAFT W/ SOLID HC ALUM 10.00" HOUSING WITH O-RING, SOLID HC ALUM FACE PLATE, SPLIT PTFE ROTOR CUPS AND SOLID .86" ELASTOMER WITH LUGS</t>
  </si>
  <si>
    <t>CINCHSEAL PART # 0FSD76503-SP OR EQUIVALENT</t>
  </si>
  <si>
    <t>SOLID ALUM SEAL FOR A Ø 3.937" SHAFT W/ALUM HOUSING, ALUM END PLATE, PTFE STATOR PLATES, HARD COAT ALUM ROTOR CUPS, AND SOLID ELASTOMER</t>
  </si>
  <si>
    <t>CINCHSEAL PART # 0FSD76203P OR EQUIVALENT</t>
  </si>
  <si>
    <t>Ø4 15/16" SPLIT CAST IRON BEARING, NO LINER</t>
  </si>
  <si>
    <t>BREWTON PART#: KB-415</t>
  </si>
  <si>
    <t>Ø5 7/16" SPLIT CAST IRON BEARING, NO LINER</t>
  </si>
  <si>
    <t>BREWTON PART#: KB-507</t>
  </si>
  <si>
    <t>TURNBUCKLE, 3500 LB CAPACITY, RETRACTED LG 13 1/2", 6" MAX ADJUSTMENT, 5/8"-11 THREAD, 1/2" PIN, NOT FOR LIFITING, 316 SS</t>
  </si>
  <si>
    <t>MCMASTER PART#: 3022T55</t>
  </si>
  <si>
    <t>CORD GRIP, 1/2" MALE NPT, 0.44" - 0.50" CORD OD, STAINLESS STEEL</t>
  </si>
  <si>
    <t>MCMASTER PART#: 7458K160</t>
  </si>
  <si>
    <t>PILLOW BLOCK ROLLER BEARING, Ø2" EXPANSION BEARING</t>
  </si>
  <si>
    <t>SKF P/N: P2B-200-SRB-SRE</t>
  </si>
  <si>
    <t>PILLOW BLOCK ROLLER BEARING, Ø2" NON EXPANSION BEARING</t>
  </si>
  <si>
    <t>SKF P/N: P2B-200-SRB-SRH</t>
  </si>
  <si>
    <t>UNION ELBOW, 1/4 IN TUBE OD, 316 SS</t>
  </si>
  <si>
    <t>SWAGELOK PART#: SS-400-9</t>
  </si>
  <si>
    <t>Ø 6" EXTRA-HIGH CAPACITY BRUTE CASTER, SWIVEL, 2.5" WIDE STEEL WHEEL (5000LB)</t>
  </si>
  <si>
    <t>MCMASTER PART # 23515T41 OR EQUIVALENT</t>
  </si>
  <si>
    <t>LONG 90° BUTT WELD ELBOW, 6" PIPE, 304 SS</t>
  </si>
  <si>
    <t>MCMASTER MFG #:45605K525 OR EQUIVALENT</t>
  </si>
  <si>
    <t>BELT CONVEYOR TAKE-UPS  12"</t>
  </si>
  <si>
    <t>TUTT-250-12SS</t>
  </si>
  <si>
    <t>Ø16" STAINLESS STEEL 90 DEGREE ELBOW SCH 10, LONG RADIUS, 304L</t>
  </si>
  <si>
    <t>FERGUSON PART # IS1S4LW916 OR EQUIVALENT</t>
  </si>
  <si>
    <t>Ø 3/4" ID, 1-1/16" OD, HIGH TEMPERATURE VACUUM-RATED COOLANT HOSE</t>
  </si>
  <si>
    <t>MCMASTER PART # 5133K25 OR EQUIVALANT</t>
  </si>
  <si>
    <t>Ø20" 90 DEGREE ELBOW, LONG RADIUS,SCH 10S, 304L SS</t>
  </si>
  <si>
    <t>FERGUSON PART # IS1S4W920OR EQUIVALENT</t>
  </si>
  <si>
    <t>SVS2000A-SINGLE VESSEL WEIGHT INDICATOR  ( NOT SHOWN )</t>
  </si>
  <si>
    <t>KISTLER MORSE PART # SVS2000AAAAN OR EQUIVALENT</t>
  </si>
  <si>
    <t>LOAD DISC II LOAD CELL,  LOAD CAPACITY, 15K LB RATED LOAD, AMBIANT TEMP, 50FT OF CABLE, BRUSHED FINISH, C1-1-15K-X-050-X</t>
  </si>
  <si>
    <t>KISTLER MORSE PART # C1-1-15K-X-050-X OR EQUIVALENT</t>
  </si>
  <si>
    <t>1" SHAFT OIL EMBEDED BRONZE SLEEVE BEARING, 1 -1/8" ID X 13/16"</t>
  </si>
  <si>
    <t>MCMASTER#6391K541</t>
  </si>
  <si>
    <t>LR120 LEVEL MEASUREMENT, MEASURING RANGE 0…98.4 FT, OUTPUT 80 GHZ, BEAM ANGLE 4°, PRESSURE 14.5...43.51 PSI G, 1" NPT,  CE, CSA, FM, ATEX, IECEX, COLOR WHITE,</t>
  </si>
  <si>
    <t>SIEMENS PART # 7ML532-0-1CA06-0AP0</t>
  </si>
  <si>
    <t>Ø 1" NPT FEMALE, 304 SS PIPE FITTING STRAIGHT CONNECTOR</t>
  </si>
  <si>
    <t>MCMASTER PART # 4464K356 OR EQUIVALENT</t>
  </si>
  <si>
    <t>SEAL, Ø2 7/16" SHAFT, 316 SS HOUSING AND FACE W/ O-RING, SOLID PTFE INTERNALS</t>
  </si>
  <si>
    <t>CINCHSEAL PART#: 0FSD78502H-SO</t>
  </si>
  <si>
    <t>VEE JET SPRAY NOZZLE 1/8" NPT 95 DEG. FLAT SPRAY PATTERN. SS</t>
  </si>
  <si>
    <t>SPRAYING SYSTEMS# H-1/8 VV SS 9508</t>
  </si>
  <si>
    <t>Ø4 15/16" ID, HPVT BREWTON BEARING LINER</t>
  </si>
  <si>
    <t>POLYTECH P/N:</t>
  </si>
  <si>
    <t>Ø5 7/16" ID, HPVT BREWTON BEARING LINER</t>
  </si>
  <si>
    <t>1/8" FEMALE-FEMALE PIPE FITTING, 304</t>
  </si>
  <si>
    <t>MCMASTER#4464K351</t>
  </si>
  <si>
    <t>1/8" NPT 12" L, THREADED BOTH ENDS, 304/304L</t>
  </si>
  <si>
    <t>MCMASTER#2427k341</t>
  </si>
  <si>
    <t>Ø2 7/16" SPLIT CAST IRON BEARING, NO LINER</t>
  </si>
  <si>
    <t>BREWTON PART#: KB-207_x000D_TYPE KB-KL, C.I. PILLOW BLOCK BEARING HSG., 8-10 MILS TNEMEC PAINT, 304SS HDW.</t>
  </si>
  <si>
    <t>POINT LEVEL SENSOR, MODEL MK-2, RF CAPACITANCE, STUB PROBE WIT 1-1/4 NPT ALUM CONNECTION, HAZARDOUS APPROVED, 48-240 VAC OR 24-48 VDC</t>
  </si>
  <si>
    <t>CAROLINA MATERIAL TECHNOLOGIES</t>
  </si>
  <si>
    <t>MONITOR PART#: 11-8513-111</t>
  </si>
  <si>
    <t>BUTTERFLY VALVE, RESILIENT SEATED, EPOXY PATINED DUCTILE IRON, 6" LUGGED CONNECTION, BUNA SEATS, SS DISC, ACTUATOR,  B7 SERIES EXPLOSION PROOF, 120 VAC</t>
  </si>
  <si>
    <t>ASSURED AUTOMATION</t>
  </si>
  <si>
    <t>ASSURE AUTOMATION PART#: MSTLBSB7A _x000D__x000D_ACTUATOR NOTE:_x000D_B7 SERIES EXPLOSION PROOF (NEMA 4, 4X, 7) 120 VAC, SPEED 7SEC 90 DEG: 100% DUTY CYCLE, INTERNAL WIRE TERMINALS, MODEL: BEEM510F-07-C7-02-001, RATED FOR 150 PSI DELTA P</t>
  </si>
  <si>
    <t>EXPLOSION VALVE, VALVEX ASSEMBLY V2 WITH INSTALLATION KIT, DN150 (6"), KST 450 MAX</t>
  </si>
  <si>
    <t>FIKE PART#: E30-047-0150_x000D__x000D_ADDITIONAL INSTALLED COMPONENTS:_x000D__x000D_E30-0653-1, AIR PUSL CLEANING ASSEMBLY VALVEX V2 - ATEX - IECEx_x000D__x000D_02-15850, DUST LAYER ACCUMULATION SENSOR - VALVEX V2 OR DFI VALVE_x000D__x000D_02-15293, INTRINSIC SAFETY BARRIER, SWITCHING AMP, NAMUR OR CONTACT PHONEIX CONTACT P/N 2865984 MACXMCR-EX-SL-2NAM-R-UP, RELAY 2 CHANNEL</t>
  </si>
  <si>
    <t>RADAR LEVEL TRANSMITTER, SITRANS LR560, FLUSH LENS ANTENNA, CONTINUOUS NON-CONTACT, 328 FT (100M) RANGE, PROCESS RANGE 131FT (40M) MAX, -40 C TO +100 C DEG, FLAT FACE 4" ANSI FLANGE WITH INTEGRAL AIMER</t>
  </si>
  <si>
    <t>SIEMENS PART#: 7ML5440-0HA00-0AB2_x000D_
_x000D_
NOTE: MODEL MAY NOT BE ACCURATE TO DECRIPTION, PLEASE SEE DESCRIPTION FOR MORE INFORMATION</t>
  </si>
  <si>
    <t>Ø3IN PILLOW BLOCK BEARING, NON EXPANSION</t>
  </si>
  <si>
    <t>P/N: PB22448H</t>
  </si>
  <si>
    <t>DOWCO INDUSTRIAL</t>
  </si>
  <si>
    <t>30" BELT SPLICE KITS</t>
  </si>
  <si>
    <t>COUPLING CHAIN (8020CC)</t>
  </si>
  <si>
    <t>SUPPLIER P/N: 8020CC</t>
  </si>
  <si>
    <t>COUPLING COVER, 8 3/16" OD X 4" LG (80COVER)</t>
  </si>
  <si>
    <t>SUPPLIER P/N: 80COVER</t>
  </si>
  <si>
    <t>H8020 TLF HUB</t>
  </si>
  <si>
    <t>SUPPLIER P/N: 8020TLF</t>
  </si>
  <si>
    <t>8020 X 3" BUSHING</t>
  </si>
  <si>
    <t>8020 X F 2-7/16" HUB</t>
  </si>
  <si>
    <t>8020 X F 2-15/16" HUB</t>
  </si>
  <si>
    <t>HINGE PIN SS, NYLON COVERED FOR RS187</t>
  </si>
  <si>
    <t>FLEXCO# NCS187-C _x000D_
ITEM CODE: 50674</t>
  </si>
  <si>
    <t>COOPER BEARING, SPLIT ROLLER, 4.5”, 2-BOLT PILLOW BLOCK BASE – EXPANSION TYPE</t>
  </si>
  <si>
    <t>SKF USA INC</t>
  </si>
  <si>
    <t>COOPER PART#: 01BCP408EXAT</t>
  </si>
  <si>
    <t>COOPER BEARING, SPLIT ROLLER, 4.5”, 2-BOLT PILLOW BLOCK BASE – FIXED TYPE</t>
  </si>
  <si>
    <t>COOPER PART#: 01BCP408GRAT</t>
  </si>
  <si>
    <t>ROLLER BEARING, PILLOW BLOCK, Ø 1"</t>
  </si>
  <si>
    <t>REX PART # ZA_2100</t>
  </si>
  <si>
    <t>BEARING, SPLIT ROLLER, Ø2", 2-BOLT PILLOW BLOCK BASE</t>
  </si>
  <si>
    <t>MOTION INDUSTRIES</t>
  </si>
  <si>
    <t>SKF PART#: COP.01EBCP200GRAT</t>
  </si>
  <si>
    <t>Ø1/2" NPT LOW PRESSURE THREADED PIPE FITTING, 316 SS</t>
  </si>
  <si>
    <t>MCMASTER P/N OR EQUIVALENT: 4452K114</t>
  </si>
  <si>
    <t>1/2" NPT FEMALE TO MALE ELBOW THREADED PIPE FITTING, 316 SS</t>
  </si>
  <si>
    <t>MCMASTER P/N: 4452K474</t>
  </si>
  <si>
    <t>1/4" NPT FEMALE TO MALE ELBOW THREADED PIPE FITTING, 316 SS</t>
  </si>
  <si>
    <t>MCMASTER P/N: 4452K472</t>
  </si>
  <si>
    <t>1/8" NPT FEMALE TO MALE ELBOW THREADED PIPE FITTING, 316 SS</t>
  </si>
  <si>
    <t>MCMASTER P/N: 4452K471</t>
  </si>
  <si>
    <t>1/4" NPT FEMALE TO FEMALE THREADED PIPE FITTING, Ø0.722" OD X 1" LG, 316 SS</t>
  </si>
  <si>
    <t>ORDER FROM HM CRAIG ONLY</t>
  </si>
  <si>
    <t>1/2" NPT COMPACT BALL VALVE</t>
  </si>
  <si>
    <t>MCMASTER P/N: 4912K4</t>
  </si>
  <si>
    <t>1/4" NPT COMPACT BALL VALVE</t>
  </si>
  <si>
    <t>MCMASTER P/N: 4912K2</t>
  </si>
  <si>
    <t>1/2" NPT MALE THREADED CONNECTOR, 316 SS</t>
  </si>
  <si>
    <t>MCMASTER P/N: 4452K844</t>
  </si>
  <si>
    <t>1/4" NPT TBE 6" LONG, 316 SS</t>
  </si>
  <si>
    <t>MCMASTER P/N OR EQUIVALENT: 4548K138</t>
  </si>
  <si>
    <t>1/8" NPT TBE 6" LONG, 316 SS</t>
  </si>
  <si>
    <t>MCMASTER P/N OR EQUIVALENT: 4548K118</t>
  </si>
  <si>
    <t>THRUST BEARING FOR 1-3/16" SHAFT DIA, 2" OD, 1/8" THICK, LEADED BRONZE</t>
  </si>
  <si>
    <t>MCMASTER PART# 7814K437 OR EQUIVALENT</t>
  </si>
  <si>
    <t>LONG 90° BUTT WELD ELBOW, 6" PIPE, 316L SS</t>
  </si>
  <si>
    <t>MCMASTER MFG #:45555K525 OR EQUIVALENT</t>
  </si>
  <si>
    <t>Ø3 15/16" ID, UHMW BREWTON BEARING LINER</t>
  </si>
  <si>
    <t>POLYTECH P/N:_x000D__x000D_BREWTON DESCRIPTION: UHMW SPLIT BUSHINGS: 3-15/16" ID X 4-7/16" OD X 8" LG, 1/32" THK SLITTER SAW SPLIT, HALF CIRCULAR &amp; LONGITUDAL GREASE GROOVES IN TOP HALF, Ø11/16" DIA, KL HOLE ON CENTER LINE, Ø1/4" DIA GREASE HOLE, REF. DODGE SAMPLE AND BREWTON DRAWING: W-5421</t>
  </si>
  <si>
    <t>18" BELT SPLICE KIT</t>
  </si>
  <si>
    <t>FLEXCO PART#: RS187SJ18/450NCS_x000D_
_x000D_
REF ITEM CODE: 54615</t>
  </si>
  <si>
    <t>24" BELT SPLICE KIT</t>
  </si>
  <si>
    <t>FLEXCO PART#: RS187SJ24/600NCS_x000D_
_x000D_
REF ITEM CODE: 54617</t>
  </si>
  <si>
    <t>LIMIT SWITCH, LEVER TYPE MAINTAIN POS, 16.5 DEG TO CONTACT, 43 DEG MAX TRAVEL, NEMA 4</t>
  </si>
  <si>
    <t>ALLEN BRADLEY PART #: 802X-AM4</t>
  </si>
  <si>
    <t>LIMIT SWITCH, LEVER TYPE MAINTAIN POS, 16.5 DEG TO CONTACT, 43 DEG MAX TRAVEL, NEMA 7, EXPLOSION PROOF</t>
  </si>
  <si>
    <t>ALLEN BRADLEY PART #: 802X-AM7</t>
  </si>
  <si>
    <t>LIMIT SWITCH, LEVER TYPE W/SPRING RETURN, 16 DEG TO CONTACT, 42 DEG MAX TRAVEL, NEMA 7, EXPLOSION PROOF</t>
  </si>
  <si>
    <t>ALLEN BRADLEY PART #: 802X-AC7</t>
  </si>
  <si>
    <t>DRUM PULLEY, Ø12" CROWN-FACED X 26" WIDE W/ 3/8" HERRINGBONE LAGGING, Ø2" BORE</t>
  </si>
  <si>
    <t>CLAMPING TWO-PIECE SHAFT COLLAR, 1"-11/16" SHAFT, 303 SS</t>
  </si>
  <si>
    <t>MCMASTER#6436K99</t>
  </si>
  <si>
    <t>Ø3/8"-16 X 1 1/4" ALUMINUM HHCS</t>
  </si>
  <si>
    <t>FASTENAL P/N: 0175828</t>
  </si>
  <si>
    <t>Ø3/8"-16 X 3" ALUMINUM HHCS</t>
  </si>
  <si>
    <t>FASTENAL P/N: 0175833</t>
  </si>
  <si>
    <t>Ø3/8" ALUMINUM FLAT WASHER</t>
  </si>
  <si>
    <t>FASTENAL P/N: 76359</t>
  </si>
  <si>
    <t>Ø3/8"-16 ALUMINUM NYLOCK NUT</t>
  </si>
  <si>
    <t>FASTENAL P/N: 0176214</t>
  </si>
  <si>
    <t>Ø3/8"-16 ALUMINUM CAP NUT</t>
  </si>
  <si>
    <t>MCMASTER P/N: 91884A235</t>
  </si>
  <si>
    <t>EPDM CO-EXTRUDED BULB SEAL, 1/4" VINYL GRIP W/ ALUMINUM REINFORCEMENT X ~ 75"</t>
  </si>
  <si>
    <t>UNI-GRIP P/N: SD-12624</t>
  </si>
  <si>
    <t>STYLE 20W, BUTTWELD X BUTTWELD W/ BUNA-N SEALS</t>
  </si>
  <si>
    <t>M/N: 3920WJ-0601-UN</t>
  </si>
  <si>
    <t>DODGE#: EF4B-S2-307RE</t>
  </si>
  <si>
    <t>ADJUSTABLE LEVER ARM, STEEL ROLLER, Ø0.751 OD, 0.251 THK, RADIUS 1.9" TO 3"</t>
  </si>
  <si>
    <t>ALLEN BRADLEY PART#: 802T-W2B</t>
  </si>
  <si>
    <t>UNION ELBOW, 3/4" TUBE OD, 316 SS</t>
  </si>
  <si>
    <t>SWAGELOK PART#: SS-1210-9</t>
  </si>
  <si>
    <t>Ø4 15/16" TWO-PIECE SHAFT COLLAR 316SS</t>
  </si>
  <si>
    <t>Ø5 7/16" TWO-PIECE SHAFT COLLAR 316SS</t>
  </si>
  <si>
    <t>SEALED SET SCREW BALL BEARING, 1" SHAFT, 2.0472" ID,  1C 18CR FINISH</t>
  </si>
  <si>
    <t>TIMKEN#1100KRR</t>
  </si>
  <si>
    <t>STANDARD DUTY SEAL FOR Ø3.00 SHAFT W/ALUMINUM HOUSING, SS FACE</t>
  </si>
  <si>
    <t>DURASHIELD PART#: SDNS-3.00 OR EQUIVALENT</t>
  </si>
  <si>
    <t>Ø5" TWO-PIECE SHAFT COLLAR, 303 SS</t>
  </si>
  <si>
    <t>MCMASTER P/N OR EQUIVALENT: 60665K16_x000D_
ATLANTIC DRIVES: 2SSC-500</t>
  </si>
  <si>
    <t>E-STOP,W/ 2 DP/DT MICROSWITCHES, NO LIGHT, NEMA 4X [RS5]</t>
  </si>
  <si>
    <t>LOAD STAND II 150K- 150,000 LB CAPACITY, 2-HOLE 304 SS JUNCTION BOX WITH ATEX APPROVAL, AMBIENT TEMPERATURE, S2-150K-T-X.</t>
  </si>
  <si>
    <t>KISTLER MORSE PART#: S2-150K-T-X</t>
  </si>
  <si>
    <t>24" X 10" STYLE 271, SINGLE ARCH, NITRILE - EXPANSION JOINTS</t>
  </si>
  <si>
    <t>VALVE &amp; PUMP SPECIALTIES INC</t>
  </si>
  <si>
    <t>PROCO PART#: 24" X 10" STYLE 271, SINGLE ARCH, NITRILE</t>
  </si>
  <si>
    <t>INDESCO PART# RC-1007-316SS OR EQUIVALENT</t>
  </si>
  <si>
    <t>INDESCO PART# BDP-07G-17-4SS OR EQUIVALENT</t>
  </si>
  <si>
    <t>REDUCER ADAPTER, 3/4" NPT MALE X 1/2" NPT FEMALE NPT, HIGH PRESSURE 2500 PSI, 304 SS</t>
  </si>
  <si>
    <t>MCMASTER P/N: 4443K734</t>
  </si>
  <si>
    <t>LOAD DISC II LOAD CELL,  LOAD CAPACITY, 75K LB RATED LOAD, AMBIANT TEMP, 25FT OF CABLE, BRUSHED FINISH, C1-1-75K-X-025-X</t>
  </si>
  <si>
    <t>KISTLER MORSE PART # C1-1-75K-X-025-X OR EQUIVALENT</t>
  </si>
  <si>
    <t>UNIVERSAL TOP ADAPTOR PLATE 35K TO 100K LB , WITH FASTENER, UA2</t>
  </si>
  <si>
    <t>KISTLER MORSE PART #: UA2 / 35K TO 100K lb</t>
  </si>
  <si>
    <t>ROLLER, CEMA C, Ø5" X 48" BW X 20 DEG, MOXIE ROLLER</t>
  </si>
  <si>
    <t>SUPERIOR PART#: 285181 W/ W/STAINLESS STEEL</t>
  </si>
  <si>
    <t>SUPERIOR PART# 333861 W/STAINLESS STEEL  SHAFT</t>
  </si>
  <si>
    <t>Ø3/4" EXTERNAL RETAINING RING, 15-5PH</t>
  </si>
  <si>
    <t>MCMASTER CARR PART # 91590A128 OR EQUIVALENT</t>
  </si>
  <si>
    <t>Ø3/4" X 2" LG. CLEVIS PIN WITH REUSABLE COTTER PIN SS 304, USABLE LENGTH 1 3/4"</t>
  </si>
  <si>
    <t>MCMASTER PART#: 92390A951</t>
  </si>
  <si>
    <t>Ø 1 PIPE ROUTING CLAMP, 304 SS</t>
  </si>
  <si>
    <t>MCMASTER PART# 8897T13 OR EQUIVALENT</t>
  </si>
  <si>
    <t>U-BOLT, 1/4-20 THREAD, 1-3/8" ID, 304 SS</t>
  </si>
  <si>
    <t>MCMASTER PART# 8889T43 OR EQUIVALENT</t>
  </si>
  <si>
    <t>INDESCO #: BDC-07-316SS</t>
  </si>
  <si>
    <t>CLEVIS PIN, Ø3/4" X 2 7/8" LG, 17-4PHSS WITH CHROME PLATE</t>
  </si>
  <si>
    <t>INDESCO #: 093883000P</t>
  </si>
  <si>
    <t>ROLLER, CEMA C, Ø5" X 24" BW X 20 DEG, IMPACT ROLLER</t>
  </si>
  <si>
    <t>IMPACT #C5-EI-24</t>
  </si>
  <si>
    <t>CLEVIS PIN Ø3/4", 1-3/4 USABLE LENGTH WITH RETAINING RING GROOVE, 316 SS</t>
  </si>
  <si>
    <t>MCMASTER PART # 92735A289 OR EQUIVALENT</t>
  </si>
  <si>
    <t>SOLID HOUSING  316 SS  SEAL FOR A Ø 1.5" SHAFT. WITH AIR PRESSURE REGULATOR.</t>
  </si>
  <si>
    <t>CINCHSEAL part#: 7850-1I</t>
  </si>
  <si>
    <t>ROTORK HAND HELD REMOTE BTST, BLUETOOTH SETTING TOOL DEVICE</t>
  </si>
  <si>
    <t>ROTORK CONTROLS, INC*</t>
  </si>
  <si>
    <t>ROTORK PART# : BTST</t>
  </si>
  <si>
    <t>Ø1 1/2" EXTERNAL RETAINING RING, 15-7PH SS</t>
  </si>
  <si>
    <t>MCMASTER CARR PART # 91590A139 OR EQUIVALENT</t>
  </si>
  <si>
    <t>PIPE NIPPLE, Ø1 1/4" NPT X 3" LG. TBE, SCH80, PVC</t>
  </si>
  <si>
    <t>MCMASTER PART#: 4882K46 OR EQUIVALENT</t>
  </si>
  <si>
    <t>STRAIGHT CONNECTOR, 1 1/4" NPT FEMALE TO FEMALE, SCH40, PVC</t>
  </si>
  <si>
    <t>MCMASTER PART#: 4880K295 OR EQUIVALENT</t>
  </si>
  <si>
    <t>ROLLER, DBT  C, Ø5" X 48" BW X 20 DEG, WING MOXIE ROLLER</t>
  </si>
  <si>
    <t>SUPERIOR PART#: C5-180400-MOXIE-SS_x000D__x000D_FACE TO FACE DIM: 6.5"_x000D_CENTER SLOT TO CENTER SLOT DIM: 7.31"</t>
  </si>
  <si>
    <t>ROLLER, DBT C, Ø5" X 48" BW X 20 DEG, CENTER MOXIE ROLLER</t>
  </si>
  <si>
    <t>SUPERIOR PART# C5-360401-MOXIE-SS_x000D__x000D__x000D_FACE TO FACE DIM: 38.5"_x000D_CENTER SLOT TO CENTER SLOT DIM: 39.31"</t>
  </si>
  <si>
    <t>SS CAM ROLLER, 1.625 OD, 7/8" ROLLER WIDTH, 7/16" BORE DIAM, MAX STATIC LOAD 11200 LBS, MAX</t>
  </si>
  <si>
    <t>CARTER PART#: SY-52-S</t>
  </si>
  <si>
    <t>DRUM PULLEY, Ø12" CROWN-FACED X 26" WIDE W/ 3/8" HERRINGBONE LAGGING, Ø1 15/16" BORE</t>
  </si>
  <si>
    <t>SUPERIOR / ATLANTIC #: DCEMA-1226CFXT2538H OR EQUIVALENT</t>
  </si>
  <si>
    <t>8020 X 2 1/2" BUSHING</t>
  </si>
  <si>
    <t>ALTERED 8020 COUPLING, Ø2 1/8" BORE WITH KEYWAY, 2X SET SCREWS (A80B20 F2-1/8)</t>
  </si>
  <si>
    <t>TSUBAKI PART NUMBER: 80BS20 2 1/8</t>
  </si>
  <si>
    <t>ALTERED 8020 COUPLING, Ø2 3/8" BORE WITH KEYWAY, 2X SET SCREWS (8020F 2-3/8)</t>
  </si>
  <si>
    <t xml:space="preserve"> U.S. TSUBAKI PART NUMBER: A80B20 2 5/8</t>
  </si>
  <si>
    <t>T-BOLT HOSE CLAMP, 12.18" TO 12.84" ID, 316 SS</t>
  </si>
  <si>
    <t>WEST MARINE PART#: 118-720-12000S OR EQUIVALENT</t>
  </si>
  <si>
    <t>Ø12" PIPE SIZE 316L SS, SLIP-ON WELD 150# CLASS</t>
  </si>
  <si>
    <t>PIPE PLUG, EXTERNAL SQUARE DRIVE, 1" NPT, 304/304L SS</t>
  </si>
  <si>
    <t>MCMASTER PART#: 502400 OR EQUIVALENT</t>
  </si>
  <si>
    <t>PIPE PLUG, EXTERNAL SQUARE DRIVE, 1" NPT, 316/316L SS</t>
  </si>
  <si>
    <t>MCMASTER PART#: 445K126 OR EQUIVALENT</t>
  </si>
  <si>
    <t>RAIL CLIP, 2" X 2-1/4" X 3/4"</t>
  </si>
  <si>
    <t>CENTRAL RAIL SUPPLY PART # 103 OR EQUIVALENT</t>
  </si>
  <si>
    <t>STRAIGHT ADAPTER, 4" FEMALE PIPE TO 4" MALE NPT, SCH40, PVC</t>
  </si>
  <si>
    <t>MCMASTER PART#: 2389K63_x000D_HARRINGTON P/N: 437-040L</t>
  </si>
  <si>
    <t>STRAIGHT REDUCER, 4" FEMALE PIPE TO 2" FEMALE PIPE, SCH4, PVC</t>
  </si>
  <si>
    <t>MCMASTER PART#: 2389K7_x000D_HARRINGTON P/N: 437-420L</t>
  </si>
  <si>
    <t>2" NPT FEMALE THREADED PIPE CAP, 316/316L SS</t>
  </si>
  <si>
    <t>MCMASTER PART#: 4452K244</t>
  </si>
  <si>
    <t>TEST GAUGE FOR PRESSURE W/ ALUMINIUM CASE, 1/2 NPT MALE CONNECTION</t>
  </si>
  <si>
    <t>MCMASTER PART # 4008K6 OR EQUIVALENT</t>
  </si>
  <si>
    <t>POTA POX PLUS, N140 SERIES,  COLOR 00WH, 2 GAL.</t>
  </si>
  <si>
    <t>TNEMEC COMPANY INC*</t>
  </si>
  <si>
    <t>TNEMEC P/N: N140-00WH-SK</t>
  </si>
  <si>
    <t>1/2" NPT TEE CONNECTOR, HIGH-PRESSURE 304 SS</t>
  </si>
  <si>
    <t>MCMASTER PART# 45525K544 OR EQUIVALENT</t>
  </si>
  <si>
    <t>1/2 NPT QUICK DISCONNECT HOSE COUPLING FOR AIR, STEEL PUSH-TO-CONNECT SOCKET, 3/8 SIZE</t>
  </si>
  <si>
    <t>MCMASTER PART # 95815K28 OR EQUIVALENT</t>
  </si>
  <si>
    <t>BRASS ON/OFF VALVE WITH LEVER, 1/2 NPT FEMALE</t>
  </si>
  <si>
    <t>MCMASTER PART # 47865K23 OR EQUIVALENT</t>
  </si>
  <si>
    <t>Ø2" BLIND PIPE FLANGE, 150# CLASS, 304L SS, UNTHREADED</t>
  </si>
  <si>
    <t>MCMASTER # 43505K386 OR EQUIVALENT</t>
  </si>
  <si>
    <t>EXTERNAL RETAINING RING, SNAP RING, FOR Ø1-3/16" SHAFT</t>
  </si>
  <si>
    <t>MCMASTER PART#: 91590A138 OR EQUIVALENT</t>
  </si>
  <si>
    <t>Ø1-3/16" 4 BOLT FLANGE MOUNT, TAPERED ROLLER, NON-EXPANSION, CAST IRON</t>
  </si>
  <si>
    <t>DODGE PART#: 023093 (OR EQUIVALENT)</t>
  </si>
  <si>
    <t>DRUM PULLEY, Ø12" CROWN-FACED X 26" WIDE, Ø1 15/16" BORE</t>
  </si>
  <si>
    <t>SUPERIOR Part#: DCEMA-1226CFXT25</t>
  </si>
  <si>
    <t>SHOULDER BOLT, Ø5/16" X 2" LG., THREAD 1/4" - 20 X 7/16", 304 SS</t>
  </si>
  <si>
    <t>FASTENAL P/N: 0176917 OR EQUIVALENT</t>
  </si>
  <si>
    <t>Ø2" PIPE, LOW PRESSURE STEEL UNTHREADED PIPE FLANGE</t>
  </si>
  <si>
    <t>MCMASTER PART # 68095K379 OR EQUIVALENT</t>
  </si>
  <si>
    <t>Ø 4" BLIND FLANGE, LOW PRESSURE STEEL UNTHREADED PIPE FLANGE</t>
  </si>
  <si>
    <t>MCMASTER PART # 68095K383 OR EQUIVALENT</t>
  </si>
  <si>
    <t>Ø12" PIPE BLIND FLANGE, LOW PRESSURE STEEL UNTHREADED PIPE FLANGE</t>
  </si>
  <si>
    <t>MCMASTER PART# 68095K61 OR EQUIVALENT</t>
  </si>
  <si>
    <t>Ø18" PIPE FLANGE, LOW PRESSURE UNTHREADED STEEL PIPE FLANGE</t>
  </si>
  <si>
    <t>TBD PART # OR EQUIVALENT</t>
  </si>
  <si>
    <t>PIPE PLUG, Ø2" NPT 304 SS THREADED PIPE FITTING</t>
  </si>
  <si>
    <t>MCMASTER PART # 4464K239 OR EQUIVALENT</t>
  </si>
  <si>
    <t>PIPE FLANGE, �4" 150# 316 SS</t>
  </si>
  <si>
    <t>PIPE NIPPLE, �1/4" NPT X 2" LG. TOE, 316L SS</t>
  </si>
  <si>
    <t>SOLIDS LEVEL RADAR SENSOR, IP68, 2-WIRE, 4-20MA HART, 3” ANTENNA, MNPT 1” CONNECTION, 10M CABLE WITH RIA15 REMOTE DISPLAY</t>
  </si>
  <si>
    <t>ENDRESS HAUSER PART#: FMR20-AAPCNVCEXR02+R4</t>
  </si>
  <si>
    <t>ALIGNMENT DEVICE TTP FAU40, 2” 150LB 304SS FLANGE, NPT 1” SENSOR CONNECTION</t>
  </si>
  <si>
    <t>ENDRESS &amp; HAUSER INC</t>
  </si>
  <si>
    <t>ENDRESS HAUSER PART#: FAU40-2N</t>
  </si>
  <si>
    <t>WING PULLEY, Ø12" CROWN-FACED X 26" WIDE, Ø2" BORE</t>
  </si>
  <si>
    <t>SUPERIOR #: WCEMA-1226CFXT20 OR EQUIVALENT</t>
  </si>
  <si>
    <t>4" NPT FEMALE HALF COUPLING, 316 SS</t>
  </si>
  <si>
    <t>MCMASTER P/N OR EQUIVALENT: 4452K221</t>
  </si>
  <si>
    <t>4" NPT PIPE PLUG, 316 SS</t>
  </si>
  <si>
    <t>MCMASTER P/N OR EQUIVALENT: 4452K153</t>
  </si>
  <si>
    <t>CHAIN COUPLING W/ COVER, 8020F BORED TO Ø1 5/8" FOR RF87, 8020 TLF TAPER LOCK Ø 2 1/2"</t>
  </si>
  <si>
    <t>U.S. TSUBAKI P#:8020TLF-1625 X 250</t>
  </si>
  <si>
    <t>DRUM PULLEY, Ø12" CROWN-FACED X 26" WIDE , Ø1 15/16" BORE</t>
  </si>
  <si>
    <t>SUPERIOR #: DCEMA-1226CFXT2 OR EQUIVALENT</t>
  </si>
  <si>
    <t>OIL-EMBEDDED THRUST BRONZE BEARING, 2" ID X 3" OD X 3/16" THK</t>
  </si>
  <si>
    <t>MCMASTER # 5906K612 OR EQUIVALENT</t>
  </si>
  <si>
    <t>OIL-EMBEDDED THRUST BRONZE BEARING, 2" ID X 3" OD X 1/4" THK</t>
  </si>
  <si>
    <t>MCMASTER # 5906K586 OR EQUIVALENT</t>
  </si>
  <si>
    <t>FLANGE GASKET, 24" ANSI PATTERN, 0.25 THICK - NEOPRENE</t>
  </si>
  <si>
    <t>EYEBOLT FOR ROUTING, GALVANIZED STEEL, 5/16-8 THREAD, 5" SHANK</t>
  </si>
  <si>
    <t>MCMASTER PART # 3016T27 OR EQUIVALENT</t>
  </si>
  <si>
    <t>NYLON UNTHREADED SPACER, OFF-WHITE, 1-3/4" LONG, FOR 3/4" SCREW</t>
  </si>
  <si>
    <t>MCMASTER PART # 94639A970 OR EQUIVALENT</t>
  </si>
  <si>
    <t>Ø 2 1/2" CLAMPING TWO-PIECE SHAFT COLLAR, 303 SS</t>
  </si>
  <si>
    <t>MCMASTER PART # 6436K112 OR EQUIVALENT</t>
  </si>
  <si>
    <t>1/4" NPT FEMALE THREADED PIPE CAP, 304 SS</t>
  </si>
  <si>
    <t>MCMASTER PART# 90691A149 OR EQUIVALENT</t>
  </si>
  <si>
    <t>1/8" NPT FEMALE THREADED PIPE CAP, 304 SS</t>
  </si>
  <si>
    <t>MCMASTER# 4464K496 OR EQUIVALENT</t>
  </si>
  <si>
    <t>Ø2 1/2" SPLIT CAST IRON BEARING, UHMW LINER</t>
  </si>
  <si>
    <t>BREWTON# KB-208</t>
  </si>
  <si>
    <t>PIANO HINGE WITH OUT HOLES, 3" OVERALL WIDTH X 36"L, Ø1/4" PIN DIAM- 304 SS</t>
  </si>
  <si>
    <t>MCMASTER PART#: 15665A429 OR EQUIVALENT</t>
  </si>
  <si>
    <t>PIANO HINGE WITH OUT HOLES, 4" OVERALL WIDTH X 24"L, Ø1/4" PIN DIAM- 304 SS</t>
  </si>
  <si>
    <t>MCMASTER PART#: 1582A342 OR EQUIVALENT</t>
  </si>
  <si>
    <t>CHAIN COUPLING W/ COVER, 10020F BORED TO Ø3 5/8" FOR RF137, 10020 TLF TAPER LOCK Ø3 1/2"</t>
  </si>
  <si>
    <t>U.S. TSUBAKI P#: 10020TLF-350 X 363</t>
  </si>
  <si>
    <t>T-HANDLE MOUNT LATCH- CLOCKWISE TO OPEN- 300 SS</t>
  </si>
  <si>
    <t>MCMASTER# 11055A23 +</t>
  </si>
  <si>
    <t>STRUT CHANNEL NUT, 316 SS, 1/2"-13 THREAD SIZE</t>
  </si>
  <si>
    <t>MCMASTER PART # 3259T48 OR EQUIVALENT</t>
  </si>
  <si>
    <t>MCMASTER PART#: 1582A381 OR EQUIVALENT</t>
  </si>
  <si>
    <t>SAFETY GATE, YELLOW POWDER-COATED STEEL, FOR 34-3/4" TO 38-1/2" OPENING</t>
  </si>
  <si>
    <t>MCMASTER CARR P/N: 4073K17 _x000D_OR EQUIVALENT</t>
  </si>
  <si>
    <t>PURE110+ (20.5 FL. OZ.) EPOXY</t>
  </si>
  <si>
    <t>DEWALT P/N: 08321SD</t>
  </si>
  <si>
    <t>CLEVIS PIN KIT, BENT-PULL STYLE, Ø1/2" X 4-3/4" LG., 3" USABLE LG., 18-8 STAINLESS STEEL</t>
  </si>
  <si>
    <t>MCMASTER PART #: 94563A811 OR EQUIVALENT</t>
  </si>
  <si>
    <t>Ø4" SCH 10 LONG 90° BUTT WELD ELBOW, 316 SS</t>
  </si>
  <si>
    <t>MCMASTER P/N OR EQUIVALENT: 43645K319</t>
  </si>
  <si>
    <t>VERTICAL SIDE GUIDE ROLLER, Ø2" X 4 3/4" FACE, URETHANE, Ø3/4" CARBON SHAFT, OAL 10 1/2"</t>
  </si>
  <si>
    <t>SUPERIOR P/N: 42-020475</t>
  </si>
  <si>
    <t>VERTICAL SIDE GUIDE ROLLER, Ø2" X 4 3/4" FACE, URETHANE, ACCEPTS Ø3/4" SHAFT, SHAFT NOT INCLUDED</t>
  </si>
  <si>
    <t>SUPERIOR P/N: 42-020475 BUT WITH NO SHAFT_x000D_
_x000D_
NOTE: PART NUBMER ABOVE NEEDS TO BE UPDATE TO HAVE A NO SHAFT INCLUDED AFTER RECIEVING I WILL UPDATE.</t>
  </si>
  <si>
    <t>8020 COUPLING, Ø1 5/8" BORE WITH KEYWAY, 2X SET SCREWS (80B20 F1-5/8)</t>
  </si>
  <si>
    <t>ALTERED 8020 COUPLING, Ø2 1/2" BORE WITH KEYWAY, 2X SET SCREWS (8020F 2-1/2)</t>
  </si>
  <si>
    <t>U.S. TSUBAKI PART NUMBER: A80B20 2 1/2</t>
  </si>
  <si>
    <t>SPRING PLUNGER, T-HANDLE LOCKING, 1.5" LG BODY, 0.375" DIAM X .563" LG NOSE, 18-8 SS</t>
  </si>
  <si>
    <t>MCMASTER P/N: 91712A335</t>
  </si>
  <si>
    <t>VERTICAL SIDE GUIDE ROLLER, CONCAVE, Ø3 1/4" X 4 3/4" FACE, URETHANE, ACCEPTS Ø3/4" SHAFT, SHAFT NOT INCLUDED</t>
  </si>
  <si>
    <t>SUPERIOR P/N: 42-325475SS BUT WITH NO SHAFT_x000D_
_x000D_
NOTE: PART NUBMER ABOVE NEEDS TO BE UPDATE TO HAVE A NO SHAFT INCLUDED AFTER RECIEVING I WILL UPDATE.</t>
  </si>
  <si>
    <t>LINK SEAL FOR Ø 4.5" OD AND 5" ID STUFFING BOX, 316 SS HARDWARE</t>
  </si>
  <si>
    <t>LINK SEAL P/N: LS-475-S-10</t>
  </si>
  <si>
    <t>LONG 90° BUTT WELD ELBOW, 6" SCH10 PIPE, 304/304L SS</t>
  </si>
  <si>
    <t>MCMASTER P/N: 45735K222</t>
  </si>
  <si>
    <t>PIPE TEE, BUTT WELD, 6" PIPE X SCH10,  304/304L</t>
  </si>
  <si>
    <t>MCMASTER P/N: 45735K262</t>
  </si>
  <si>
    <t>PIANO HINGE WITH OUT HOLES, 5" OVERALL WIDTH X 36"L, Ø1/4" PIN DIAM- ALUMINUM</t>
  </si>
  <si>
    <t>MCMASTER PART#: 1581A911 OR EQUIVALENT</t>
  </si>
  <si>
    <t>COUPLING CHAIN (10020CC)</t>
  </si>
  <si>
    <t>COUPLING COVER, 10 1/8" OD X 5 1/4" LG (10020COVER)</t>
  </si>
  <si>
    <t>ALTERED 10020 COUPLING, Ø3" BORE WITH KEYWAY, 2X SET SCREWS (10020F-3)</t>
  </si>
  <si>
    <t xml:space="preserve"> U.S. TSUBAKI PART NUMBER: A100B20-3</t>
  </si>
  <si>
    <t>ALTERED 10020 COUPLING, Ø3 5/8" BORE WITH KEYWAY, 2X SET SCREWS (10020F 3 5/8)</t>
  </si>
  <si>
    <t>U.S. TSUBAKI PART NUMBER: A100B20 3 5/8</t>
  </si>
  <si>
    <t>CLEVIS ROD END, 1/2"-20 TAPPED, 9/16" OPENING, PIN HOLE Ø.495", 316 SS</t>
  </si>
  <si>
    <t>MCMASTER P/N: 6071K51 OR EQUIVALENT</t>
  </si>
  <si>
    <t>CAM ROLLER, 2 1/2" OD, 1 1/2" ROLLER WIDTH, 1"14 THREAD SIZE, MAX STATIC LOAD 16400 LBS, MAX DYNAMIC LOAD 11700, MAX RPM 1050</t>
  </si>
  <si>
    <t>MCMASTER P/N: 3376K11 OR EQUIVALENT</t>
  </si>
  <si>
    <t>NEMA 6P LIMIT SWITCH ROLLER TOP -P# SE03-AT3</t>
  </si>
  <si>
    <t>SIEMENS P#: 3SE03-AT3 OR EQUIVALENT</t>
  </si>
  <si>
    <t>SOLID ALUMINUM SEAL FOR A 3.437" SHAFT: W/ SOLID ALUM HOUSING, ALUM FACE PLATE, ALUM STATOR PLATE, SOLID PTFE ROTOR CUPS AND SOLID ELASTOMER</t>
  </si>
  <si>
    <t>CINCHSEAL#: 0FSD75503H</t>
  </si>
  <si>
    <t>U-BOLT, 1/2"-13 THREAD SIZE, Ø3" ID</t>
  </si>
  <si>
    <t>MCMASTER PART #8896T27 OR EQUIVALENT</t>
  </si>
  <si>
    <t>ROLLER, EXALON/DBT , Ø5" X 30" BW, MOXIE RETURN ROLLER, SEALED FOR LIFE, SS SHAFTS</t>
  </si>
  <si>
    <t>ATLANTIC P/N: C5-300401-MOXIE-SS_x000D_
SUPERIOR P/N: 99-006293</t>
  </si>
  <si>
    <t>LINER, FOR �18" SCREW, 4FT LG, 3" PAST ROLL LINE, UHMW WHITE</t>
  </si>
  <si>
    <t>CONVEYORS INC PART#: NA_x000D_
_x000D_
ORIGINAL PROJECT #: 20068_x000D_
QUOTE NUMBER: 0074593</t>
  </si>
  <si>
    <t>LINER, FOR �18" SCREW, 10 7/16" LG, 3" PAST ROLL LINE, UHMW WHITE</t>
  </si>
  <si>
    <t>XOM105879 MOBILGEAR 600 XP 220, QTY IS PER GALLON</t>
  </si>
  <si>
    <t>XOM121928 MOBILGREASE XHP222 13.7 OZ, QTY IS PER TUBE</t>
  </si>
  <si>
    <t>PETROCHOICE</t>
  </si>
  <si>
    <t>CASSIDA FLUID GL 460 FOOD GRADE OIL (1 GALLON)</t>
  </si>
  <si>
    <t>CADENCE PETROLEUM GROUP</t>
  </si>
  <si>
    <t>COUPLING, CONVEYOR, 3" OD X 13" LG, MILD STEEL</t>
  </si>
  <si>
    <t>TCC PART#: CC6 OR EQUIVALENT</t>
  </si>
  <si>
    <t>HANGER BEARING, STYLE 226, FLUSH MOUNT INSIDE TROUGH, MILD STEEL</t>
  </si>
  <si>
    <t>TCC PART#: 14CH2266 OR EQUIVALENT</t>
  </si>
  <si>
    <t>SCREW CONVEYOR 226 HANGER BEARING WITH GREASE LINE, FOR 2" SHAFT</t>
  </si>
  <si>
    <t>TCC PART # 12CH2264  OR EQUIVALENT</t>
  </si>
  <si>
    <t>Ø3" UHMW BREWTON BEARING LINER</t>
  </si>
  <si>
    <t>INSTRINSIC SAFETY BARRIER, SWITCHING AMP, NAMUR OR CONTACT PHOENIX CONTACT P/N 2865984 MACX MCR-EX-SL-2MAM-R-UP.RELAY, 2 CHANNEL</t>
  </si>
  <si>
    <t>FIKE CORPORATION</t>
  </si>
  <si>
    <t>FIKE PART#: 02-15293</t>
  </si>
  <si>
    <t>DUAL-FLAP EXPLOSION ISOLATION (DFI) VALVE, DN150 (6IN) C3 COATED CARBON STEEL, WITH E30-0730 DUST LAYER ACCUMULATION SNESOR KIT, DFI (INCLUDES 02-15850)</t>
  </si>
  <si>
    <t>FIKE PART#: E30-056-0150_x000D_
_x000D_
ADDITIONAL INSTALLED COMPONENTS:_x000D_
_x000D_
E30-0730, DUST LAYER ACCUMULATION SENSOR KIT (INCLUDES 02-15850)_x000D_
_x000D_
LOOSE COMPONENTS THAT SHIP WITH ABOVE:_x000D_
_x000D_
INTERNAL P/N: 502492_x000D_
FIKE NUMBER: E30-066-0150-SST_x000D_
DFI INSTALL KIT WITH STAINLESS STEEL COMPANION FLANGES, SIZE DN150 (6IN)_x000D_
_x000D_
INTERNAL P/N: 502490_x000D_
FIKE NUMBER: 02-15293_x000D_
DESCRIPTION: INTRINSIC SAFETY BARRIER, SWITCHING AMP, NAMUR OR CONTACT PHONEIX CONTACT P/N 2865984 MACXMCR-EX-SL-2NAM-R-UP,RELAY, 2 CHANNEL</t>
  </si>
  <si>
    <t>DFI INSTALL KIT WITH STAINLESS STEEL COMPANION FLANGES, SIZE DN150 (6IN)</t>
  </si>
  <si>
    <t>FIKE PART#: E30-066-150-SST</t>
  </si>
  <si>
    <t>TOGGLE PLIERS, PERMANENTLY ATTACHED, HEX HEAD SPINDLE, WELD/BOLT ON BASE, 300 SERIES SS</t>
  </si>
  <si>
    <t>CARR LANE PART#: CL-325-PL-S</t>
  </si>
  <si>
    <t>INDUCTIVE PROXIMITY SENSOR XS, CYLINDRYICAL M30, PROGRAMMABLE MULTI SYSTEM, SENSING DISTANCE 22MM, 120VAC</t>
  </si>
  <si>
    <t>SCHNEIDER ELECTRIC P/N: XS230SAMAL2</t>
  </si>
  <si>
    <t>Ø4" UHMW BREWTON BEARING LINER</t>
  </si>
  <si>
    <t>Ø 2" NPT 316 STAINLESS STEEL FEMALE BALL VALVE</t>
  </si>
  <si>
    <t>MCMASTER PART# 46325K34 OR EQUIVALENT</t>
  </si>
  <si>
    <t>Ø 2" CAM AND GROOVE HOSE COUPLING, LOCKING LEVERS, 2" NPT MALE END</t>
  </si>
  <si>
    <t>MCMASTER PART # 53015K135 OR EQUIVALENT</t>
  </si>
  <si>
    <t>Ø 2" 316 STAINLESS STEEL CAM-AND-GROOVE HOSE COUPLING END PLUG</t>
  </si>
  <si>
    <t>MCMASTER PART # 53015K75 OR EQUIVALENT</t>
  </si>
  <si>
    <t>LINER, 4'L 1/2" UHMW DUAL COLOR 14" SCREW</t>
  </si>
  <si>
    <t>PUSH-IN PANEL PLUG FOR 5/8" ID</t>
  </si>
  <si>
    <t>MCMASTER# 9600K515</t>
  </si>
  <si>
    <t>STRUT CHANNEL NUT, 316 SS, 3/8"-16 THREAD SIZE</t>
  </si>
  <si>
    <t>MCMASTER PART # 3259T24 OR EQUIVALENT</t>
  </si>
  <si>
    <t>1" NPTF PIPE CAP, 304 SS</t>
  </si>
  <si>
    <t>MCMASTER P/N: 4464K89</t>
  </si>
  <si>
    <t>REXNORD ZA2000, 2000 SERIES SINGLE LOCKING COLLAR SPHERICAL ROLLER BEARING</t>
  </si>
  <si>
    <t>REXNORD PART# ZA-2100 OR EQUIVALENT</t>
  </si>
  <si>
    <t>CLEVIS ROD END, 3/8"-24 TAPPED, 7/16" OPENING, PIN HOLE Ø.375", 316 SS</t>
  </si>
  <si>
    <t>MCMASTER P/N: 6071K49 OR EQUIVALENT</t>
  </si>
  <si>
    <t>CAST IRON SPLIT BEARING, Ø4 7/16" UHMW LINER</t>
  </si>
  <si>
    <t>BREWTON P/N: KB-407UKL</t>
  </si>
  <si>
    <t>Ø2" NTP FEMALE PIPE FITTING, 90 DEGREE ELBOW, 304 SS</t>
  </si>
  <si>
    <t>MCMASTER P/N: 4464K19 OR EQUIVALENT</t>
  </si>
  <si>
    <t>ALTERED 10020 COUPLING, Ø3 1/2" BORE WITH KEYWAY, 2X SET SCREWS (10020F 3 1/2)</t>
  </si>
  <si>
    <t>U.S. TSUBAKI PART NUMBER: A100B20 3 1/2</t>
  </si>
  <si>
    <t>ALTERED 10020 COUPLING, Ø2 3/8" BORE WITH KEYWAY, 2X SET SCREWS (10020F 2 3/8)</t>
  </si>
  <si>
    <t>U.S. TSUBAKI PART NUMBER: A100B20 2 3/8</t>
  </si>
  <si>
    <t>ENCODER CABLE, FEMALE STRAIGHT, M12, 8-POLE. SHIELDED WITH CABLE SLEEVES, 10M LONG</t>
  </si>
  <si>
    <t>SCOTT EQUIPMENT COMPANY, INC</t>
  </si>
  <si>
    <t>MURR ELEKTRONIK P/N: 7000-17121-2911000</t>
  </si>
  <si>
    <t>T-CONNECTOR, 2" NPT  FEMALE, 304 SS</t>
  </si>
  <si>
    <t>MCMASTER P/N: 446K56 OR EQUIVALENT</t>
  </si>
  <si>
    <t>PIPE PLUG, EXTERNAL SQUARE DRIVE, 1/2" NPT, 316/316L SS</t>
  </si>
  <si>
    <t>MCMASTER PART#: 4452K124 OR EQUIVALENT</t>
  </si>
  <si>
    <t>Ø1 7/16" 4 BOLT TYPE, TAPERED ROLLER BEARING, NON-EXPANSION, STANDARD DUTY</t>
  </si>
  <si>
    <t>DODGE#: F4B-E-107R</t>
  </si>
  <si>
    <t>SHOULDER BOLT, Ø1/2" X 2 1/8" LG., THREAD 3/8" - 16 X 5/8", 316 SS</t>
  </si>
  <si>
    <t>MCMASTER P/N: 97345A704 SAME BUT DEF MATERIAL</t>
  </si>
  <si>
    <t>Ø2" NPT STRAIGHT FEMALE COUPLING, THREADED BOTH ENDS, CLASS 150, 2.96" OD X 2-1/2:" LG, 316 SS</t>
  </si>
  <si>
    <t>Ø1 5/16" CLAMPING TWO-PIECE SHAFT COLLAR 316SS</t>
  </si>
  <si>
    <t>MCMASTER# 9633T25 OR EQUIVALENT</t>
  </si>
  <si>
    <t>SHOULDER BOLT, Ø5/16" X 2" LG., THREAD 1/4" - 20 X 7/16", 316 SS</t>
  </si>
  <si>
    <t>MCMASTER P/N: 97345A569 OR EQUIVALENT</t>
  </si>
  <si>
    <t>SPROCKET, NM78, TEETH 42, 6X SEGMENTS, 34.91" PITCH DIAM, 27" ID, 1" THK, 24X 17/32" BOLT HOLES ON 29" BC, UHMW</t>
  </si>
  <si>
    <t>BREWTON P#: W-4387 (UHMW TEETH ONLY)</t>
  </si>
  <si>
    <t>Ø3" SHAFT, FLANGED PACKING GLAND SEAL</t>
  </si>
  <si>
    <t>TCC PART # PGC6  OR EQUIVALENT</t>
  </si>
  <si>
    <t>TYPE S2000 WITH TYPE E HOUSING SPHERICAL ROLLER BEARING, TWO BOLT PILLOW BLOCK, Ø3" SHAFT, EXPANSION, SET SCREW SHAFT ATTACHMENT, TRIPLE-LIP CONTACT SEAL</t>
  </si>
  <si>
    <t>DODGE PART#: EP2B-S2-300RE</t>
  </si>
  <si>
    <t>TYPE E TAPERED ROLLER BEARING, TWO BOLT PILLOW BLOCK, Ø3" SHAFT, NON-EXPANSION, SET SCREW SHAFT ATTACHMENT, TRIPLE-LIP CONTACT SEAL</t>
  </si>
  <si>
    <t>DODGE PART#: P2B-E-300R</t>
  </si>
  <si>
    <t>HIGH-LOAD OIL EMBEDDED SLEEVE BEARING, FLANGED, �3/4" I.D. X 5/8" LONG</t>
  </si>
  <si>
    <t>MCMASTER PART # 2938T22</t>
  </si>
  <si>
    <t>HIGH-LOAD OIL-EMBEDDED SLEEVE BEARING, FLANGED, Ø3/4" I.D. X 1/2" LONG_x000D_
[3:12 PM] Adam Tritz_x000D_
HIGH-LOAD OIL-EMBEDDED SLEEVE BEARING, FLANGED, Ø3/4" I.D. X 1/2" LONG_x000D_
[3:12 PM] Adam Tritz_x000D_
HIGH-LOAD OIL-EMBEDDED SLEEVE BEARING, FLANGED, Ø3/4" I.D. X 1/2" LONG_x000D_
HIGH-LOAD OIL-EMBEDDED SLEEVE BEARING, FLANGED, Ø3/4" I.D. X 1/2" LONG</t>
  </si>
  <si>
    <t>MCMASTER PART#: 2938T702 OR EQUIVALENT</t>
  </si>
  <si>
    <t>Ø3.4375" SHAFT, FLANGED PACKING GLAND SEAL</t>
  </si>
  <si>
    <t>TCC PART # PGC7  OR EQUIVALENT</t>
  </si>
  <si>
    <t>DOUBLE BOLT RISER PIPE CLAMP FOR Ø2-1/2" PIPE</t>
  </si>
  <si>
    <t>EATON PART#: B3144-8 ZN OR EQUIVALENT</t>
  </si>
  <si>
    <t>1/8" NPT FEMALE X BUTT-WELD PIPE FITTING ADPATER, 316 SS</t>
  </si>
  <si>
    <t>MCMASTER P/N: 4452K138</t>
  </si>
  <si>
    <t>STAINLESS STEEL U-BOLT 3/8"</t>
  </si>
  <si>
    <t>MCMASTERCARR #29605T45</t>
  </si>
  <si>
    <t>18-8 STAINLESS STEEL HEX WELD NUT, 1/2-13 THREAD SIZE</t>
  </si>
  <si>
    <t>MCMASTER PART # 95508A500 OR EQUIVALENT</t>
  </si>
  <si>
    <t>GREASE FITTING, 1/8 PTF THREAD, 45 DEGREE ELBOW, 303 SS</t>
  </si>
  <si>
    <t>MCMASTER P/N: 1293K31</t>
  </si>
  <si>
    <t>LOAD DISC II LOAD CELL,  LOAD CAPACITY, 35K LB RATED LOAD, AMBIENT TEMP, 50FT OF CABLE,  BRUSHED FINISH, C1-1-35K-X-050-X</t>
  </si>
  <si>
    <t>KISTLER MORSE PART # C1-1-35K-X-050-X OR EQUIVALENT</t>
  </si>
  <si>
    <t>LINK-BELT P/N: EFR-B22448H</t>
  </si>
  <si>
    <t>Ø3" SEAL, DURASHIELD W/ COMPRESSION SLEEVES</t>
  </si>
  <si>
    <t>SDNS-3</t>
  </si>
  <si>
    <t>Ø3" THRUST BEARING</t>
  </si>
  <si>
    <t>TIMKEN T-301W</t>
  </si>
  <si>
    <t>Ø3" NATIONAL OIL SEAL (DBL LIP)</t>
  </si>
  <si>
    <t>MOTION INDS: 417349-OBS</t>
  </si>
  <si>
    <t>Ø3.9375" SHAFT, FLANGED GLAND SEAL</t>
  </si>
  <si>
    <t>TCC PART # PGC8  OR EQUIVALENT</t>
  </si>
  <si>
    <t>EASY-TO-MACHINE 936 BEARING BRONZE TUBE, 3/8" WALL THICKNESS, 1-1/2" OD, 13" LONG</t>
  </si>
  <si>
    <t>MCMASTER PART#: 8918K125 OR EQUIVALENT</t>
  </si>
  <si>
    <t>Ø3.9375" BORE, TAPERED ROLLER, PILLOW BLOCK BEARING, NON EXPANSION</t>
  </si>
  <si>
    <t>DODGE PART#: P4B-E-315R TYPE E-XTRA</t>
  </si>
  <si>
    <t>TYPE S2000 WITH TYPE E HOUSING SPHERICAL ROLLER BEARING, FOUR BOLT PILLOW BLOCK, Ø3-15/16" SHAFT, EXPANSION, SET SCREW SHAFT ATTACHMENT, TRIPLE-LIP CONTACT SEAL</t>
  </si>
  <si>
    <t>DODGE PART#: EP4B-S2-315RE</t>
  </si>
  <si>
    <t>PIANO HINGE W/O HOLES, 0.060" THICK, 1 1/4" OPEN WIDTH, �1/8" PIN, CUT TO 27 1/2" LG., ALUMINUM</t>
  </si>
  <si>
    <t>MCMASTER P/N OR EQUIVALENT: 1581A511</t>
  </si>
  <si>
    <t>TYPE E TAPERED ROLLER BEARING, FOUR BOLT PILLOW BLOCK, Ø4" SHAFT, NON-EXPANSION, SET SCREW SHAFT ATTACHMENT, TRIPLE-LIP CONTACT SEAL</t>
  </si>
  <si>
    <t>DODGE PART#: P4B-E-400R</t>
  </si>
  <si>
    <t>Ø4.4375" SHAFT, FLANGED PACKING GLAND SEAL</t>
  </si>
  <si>
    <t>TCC PART # PGC9  OR EQUIVALENT</t>
  </si>
  <si>
    <t>SPROCKET, NM78, TEETH 30, 6X SEGMENTS, Ø24.96" P.D., Ø26" O.D., 1" THK., CL 30, PAINTED CAST IRON HUB W/ 5/8" X 5/16" KEYWAY, FOR Ø2-1/2" SHAFT</t>
  </si>
  <si>
    <t>BREWTON P/N: W-6914 (ENITRE SPROCKET, COMPLETE)</t>
  </si>
  <si>
    <t>SPROCKET, NM78, TEETH 10, SOLID BODY, Ø8.44" P.D., Ø9" O.D., 1" THK., CL 35, PAINTED CAST IRON HUB W/ 10MM X 8MM KEYWAY, FOR Ø1-3/8" (35MM) SHAFT</t>
  </si>
  <si>
    <t>BREWTON P/N: W-6913 (ENITRE SPROCKET, COMPLETE)</t>
  </si>
  <si>
    <t>RSEP500VC-316, ROTECH POLY ENCODER 500 PPR PNP/NPN</t>
  </si>
  <si>
    <t>4B COMPONENTS LTD*</t>
  </si>
  <si>
    <t>RSEP500VC-316</t>
  </si>
  <si>
    <t>SPEED RELAY 110/220  VAC 500 PPR</t>
  </si>
  <si>
    <t>SR2V5-500 ASD</t>
  </si>
  <si>
    <t>PADLOCKABLE PUSH-TO-CLOSE LATCH 304, FOR 0" TO 5/16" DOOR OFFSET</t>
  </si>
  <si>
    <t>MCMASTER# 1266A6</t>
  </si>
  <si>
    <t>1-1/2" NPT THREAD PLUG, EXTERNAL SQUARE DRIVE, OAL 1 1/8", 304/304L SS</t>
  </si>
  <si>
    <t>MCMASTER PART#: 4464K238</t>
  </si>
  <si>
    <t>Ø3" M2000 NICKEL PLATED 4-BOLT FLANGED SPHERICAL ROLLER BEARING, WITH GARTER SEAL</t>
  </si>
  <si>
    <t>MOLINE P#:19211300NG</t>
  </si>
  <si>
    <t>Ø1.5" SHAFT, DRY-RUNNING MOUNTED SLEEVE BEARING</t>
  </si>
  <si>
    <t>MCMASTER: 6254K26</t>
  </si>
  <si>
    <t>Ø4" K-WHEEL, 2" WIDE W/ Ø3/4" BORE DELRIN BUSHING</t>
  </si>
  <si>
    <t>MANGNUS P#: KT42D-12</t>
  </si>
  <si>
    <t>THIN-WALL BUTT-WELD PIPE REDUCER FITTING (Ø8" TO Ø6")</t>
  </si>
  <si>
    <t>MCMASTER P/N:45735K129 OR EQUIVALENT</t>
  </si>
  <si>
    <t>PIANO HINGE W/O HOLES, 0.060" THICK, 1 1/4" OPEN WIDTH, Ø1/8" PIN, CUT TO 27 1/2" LG., 304 SS</t>
  </si>
  <si>
    <t>MCMASTER P/N OR EQUIVALENT: 1658A17</t>
  </si>
  <si>
    <t>HANGER BEARING, STYLE 226, 2″ SHAFT SIZE, HARD IRON – DRILLED FOR OIL PIPE</t>
  </si>
  <si>
    <t>TCC PART # CHB2204H OR EQUIVALENT</t>
  </si>
  <si>
    <t>1-1/2" NPT THREAD PLUG, EXTERNAL HEX DRIVE, 316/316L SS</t>
  </si>
  <si>
    <t>MCMASTER PART#: 4452K148</t>
  </si>
  <si>
    <t>HANGER, 226 W/ OIL PIPE, 12″ DIAMETER, 3″ SHAFT SIZE</t>
  </si>
  <si>
    <t>TCC PART # 12CH2266-0 OR EQUIVALENT</t>
  </si>
  <si>
    <t>HANGER BEARING, STYLE 226, 3″ SHAFT SIZE, HARD IRON – DRILLED FOR OIL PIPE</t>
  </si>
  <si>
    <t>TCC PART # CHB2206H OR EQUIVALENT</t>
  </si>
  <si>
    <t>SPROCKET, NM78 12 TOOTH, UHMW-PE TEETH, Ø2-1/8" BORE ASSEMBLY W/ SHEAR PIN HUB</t>
  </si>
  <si>
    <t>BREWTON P/N: HB78T12 STYLE 1 S/P ASSY. COMBO</t>
  </si>
  <si>
    <t>ENCODER MODULE, EI7C/DRN63</t>
  </si>
  <si>
    <t>PER SEW QUOTE: 419940150_x000D_SEW PN: 22658432</t>
  </si>
  <si>
    <t>1/4 HP PARALLEL HELICAL GEARMOTOR, 0.90 RPM OUTPUT, 1884:1 RATIO, 3PH/50Hz/415V, M1 MTG. POS., CLASS "F" INSUL., 120V THERMOSTAT, EI7C ENCODER 24 PPR, OS4 SURFACE PROTECTION, DRAINS, &amp; SPACE HEATER, ADD 1/8" DRAIN ADAPTERS</t>
  </si>
  <si>
    <t>DRUM PULLEY, Ø12" CROWN-FACED X 20" WIDE, Ø1-15/16" BORE W/ 1/4" SMOOTH LAGGING</t>
  </si>
  <si>
    <t>SUPERIOR #: DECEMA-1220CFXT2014S OR EQUIVALENT</t>
  </si>
  <si>
    <t>DRUM PULLEY, Ø12" CROWN-FACED X 20" WIDE, Ø1-15/16" BORE</t>
  </si>
  <si>
    <t>SUPERIOR #: DECEMA1220CFXT20 OR EQUIVALENT</t>
  </si>
  <si>
    <t>STAINLESS STEEL WING NUT, 304 SS, 3/8"-16 THREAD SIZE</t>
  </si>
  <si>
    <t>MCMASTER PART # 92001A339 OR EQUIVALENT</t>
  </si>
  <si>
    <t>Ø1" NPT HALF COUPLING, 304 SS</t>
  </si>
  <si>
    <t>McMaster Carr P/N: 4464K475 / OR EQUIVALENT</t>
  </si>
  <si>
    <t>1/4" NPT FEMALE PIPE FITTING, 90 DEGREE ELBOW CONNECTOR, 316 SS</t>
  </si>
  <si>
    <t>MCMASTER P/N: 4452K412</t>
  </si>
  <si>
    <t>CLEVIS, FEMALE, 1"-14 TAPPED, 1 1/2" OPENING, PIN HOLE Ø1", FORGED STEEL</t>
  </si>
  <si>
    <t>INDESCO PART#: BDC-10</t>
  </si>
  <si>
    <t>CLEVIS PIN, Ø1" X 3 1/2" LG, 3 1/8" USABLE LG, ADD 2X COTTER PIN, 1144 CARBON STL</t>
  </si>
  <si>
    <t>INDESCO# BDP-17H-HY OR EQUIVALENT</t>
  </si>
  <si>
    <t>316 SS SHOULDER SCREW, Ø5/8" SHOULDER, 7/8" SHOULDER LENGTH, 1/2"-13 THREAD SIZE</t>
  </si>
  <si>
    <t>MCMASTER P/N OR EQUIVALENT: 8077A776</t>
  </si>
  <si>
    <t>CAM RING FOR COUPLING HALF - AM213/215</t>
  </si>
  <si>
    <t>Ø16" DIA. X 32" WIDE CROWN FACE PROFILE END DISC DRUM - (2) MXT30 Ø2 15/16</t>
  </si>
  <si>
    <t>0580592M</t>
  </si>
  <si>
    <t>Ø18" DIA. X 32" WIDE CROWN FACE PROFILE END DISC DRUM W/ 3/8" THICK DIAMOND GROOVE SBR 60 DUROMETER LAGGING, (2) - MXT30 Ø2 15/16</t>
  </si>
  <si>
    <t>0580593M</t>
  </si>
  <si>
    <t>DUCT HOSE CLAMP FOR RH SPIRAL DUCT, 17-1/4" TO 18-3/4" I.D.</t>
  </si>
  <si>
    <t>MCMASTER-CARR PART#:45955K81 OR EQUIVALENT</t>
  </si>
  <si>
    <t>SLOTTED SPRING PIN, Ø3/16" OD X 1 1/8" LG, 420 SS</t>
  </si>
  <si>
    <t>MCMASTER PART#: 92383A749</t>
  </si>
  <si>
    <t>Ø5" ID, BRONZE LINER</t>
  </si>
  <si>
    <t>BREWTON</t>
  </si>
  <si>
    <t>CHAIN IDLER SPROCKET, 11T, Ø 1.25" BORE, TYPE A</t>
  </si>
  <si>
    <t>MARTIN PART # 120A11 OR EQUIVALENT</t>
  </si>
  <si>
    <t>CORROSION-RESISTANT SLEEVE BEARING, Ø 7/8 ID, Ø 1" OD, 1-1/2" LONG</t>
  </si>
  <si>
    <t>MCMASTER PART # 2867T66 OR EQUIVALENT</t>
  </si>
  <si>
    <t>ADJUSTABLE SCREW ROLLER CHAIN AND BELT TENSIONER FOR Ø 7/8" IDLER ID</t>
  </si>
  <si>
    <t>MCMASTER PART # 6265K1 OR EQUIVALENT</t>
  </si>
  <si>
    <t>Ø 1" IDLER SHAFT, INCLUDING SET COLLAR, 2.125" LONG,</t>
  </si>
  <si>
    <t>BREWER MACHINE &amp; GEAR PART # NO2 OR EQUIVALENT_x000D_BDI Material: 20096809</t>
  </si>
  <si>
    <t>HIGH LOAD OIL EMBEDDED THRUST BEARING FOR Ø 1" SHAFT, 2" OD, 3/16" THK</t>
  </si>
  <si>
    <t>MCMASTER PART # 2879T16 OR EQUIVALENT</t>
  </si>
  <si>
    <t>PLUG, 1/2" NPTF LOW PRESSURE PLUG, HEX DRIVE, 302 SS</t>
  </si>
  <si>
    <t>MCMASTER PART#: 4464K564</t>
  </si>
  <si>
    <t>PLUG, 3/4" NPTF LOW PRESSURE PLUG, HEX DRIVE, 302 SS</t>
  </si>
  <si>
    <t>MCMASTER PART#: 4464K565</t>
  </si>
  <si>
    <t>Ø3-15/16" EXTERNAL RETAINING RING, CARBON STEEL</t>
  </si>
  <si>
    <t>ROTORCLIP PART#: SH-393</t>
  </si>
  <si>
    <t>14" X 8" STYLE 271, SINGLE ARCH, NITRILE - EXPANSION JOINTS</t>
  </si>
  <si>
    <t>PREMIER WATER</t>
  </si>
  <si>
    <t>PROCO PART#: 14" X 8" STYLE 271, SINGLE ARCH, NITRILE</t>
  </si>
  <si>
    <t>DRUM PULLEY ASSEMBLY, Ø12" DIA. X 26" WIDE CROWN FACED, 3/8" THICK HERRINGBONE SBR 60 DURO LAGGING, MXT30 Ø1 15/16"</t>
  </si>
  <si>
    <t>CMESA1226X30L3H</t>
  </si>
  <si>
    <t>DRUM PULLEY ASSEMBLY, Ø12" DIA. X 26" WIDE CROWN FACE, MXT30 Ø1 15/16"</t>
  </si>
  <si>
    <t>CMESA1226X30</t>
  </si>
  <si>
    <t>SPROCKET, NM78-14T UHMW SPLIT SPKT RIM (TEETH ONLY)</t>
  </si>
  <si>
    <t>U-BOLT PIPE CLAMP FOR Ø2-1/2" PIPE, Ø2-7/8" NOMINAL I.D., TYPE 304SS</t>
  </si>
  <si>
    <t>MCMASTER PART #: 3042T58 OR EQUIVALENT</t>
  </si>
  <si>
    <t>316 STAINLESS STEEL HELICAL INSERT, 7/8"-9 RH THREAD, 1.312" LONG FOR INSERTS 1"-1.999"</t>
  </si>
  <si>
    <t>VENDOR PART # TBD</t>
  </si>
  <si>
    <t>45 DEGREE ELBOW, 316 SS, 3/4 NPT FEMALE, LOW PRESSURE PIPE FITTING</t>
  </si>
  <si>
    <t>MCMASTER PART # 90697A114 OR EQUIVALENT</t>
  </si>
  <si>
    <t>PRESSURE SWITCH, ASHCROFT, P/N: APAN71P024CB04-15/15#NSDDXC4, -15/15 PSI, FIELD ADJUSTABLE, 316SS BODY, EXP PROOF CL.2 DIV.1 GRP E,F,G, SPDT 3A @ 120V, 1/2" MNPT CONNECTION W/ 18 AWG LEADS 24" LENGTH</t>
  </si>
  <si>
    <t>ASHCROFT, P/N: APAN71P024CB04-15/15#NSDDXC4 OR EQUIVALENT</t>
  </si>
  <si>
    <t>HIGH PERFORMANCE WEIGH INDICATOR, SVS2000A-A-S-A-N  ( NOT SHOWN )</t>
  </si>
  <si>
    <t>KISTLER MORSE PART # SVS2000A-A-S-A-N  OR EQUIVALENT</t>
  </si>
  <si>
    <t>Ø 5" SPLIT CAST IRON BEARING, BRONZE LINER, WITH SST. ZERK GREASE LUBRICATION FITTING, AND BRASS REDUCER</t>
  </si>
  <si>
    <t>BREWTON PART#: KB5.00BKL</t>
  </si>
  <si>
    <t>GO SITCH LEVERLESS LIMIT SWITCH MODEL 11, SPDT CONTACTS, 3/8" SIDE SENSING, SS ENCLOSURE, CL 1 DIV 1 RATED, 10A/120VAC, 72" LONG 18GA WIRES</t>
  </si>
  <si>
    <t>TOP WORX PART # 11-11524-A3</t>
  </si>
  <si>
    <t>HANGER STYLE 30, 304 SS</t>
  </si>
  <si>
    <t>TCC PART # 12CH306 OR EQUIVALENT</t>
  </si>
  <si>
    <t>HANGER BEARING TYPE 30, Ø3″ SHAFT DIA, BTONZE OIL IMPREGNATED BRONZE</t>
  </si>
  <si>
    <t>TCC PART # CHB2207-MBR OR EQUIVALENT</t>
  </si>
  <si>
    <t>Ø3 15/16" SPLIT ROLLER BEARING, 2-BOLT PILLOW BLOCK BASE, EXPANSION TYPE</t>
  </si>
  <si>
    <t>COOPER P/N: 01EBCP315EXATL</t>
  </si>
  <si>
    <t>Ø3 15/16" SPLIT ROLLER BEARING, 2-BOLT PILLOW BLOCK BASE, FIXED TYPE</t>
  </si>
  <si>
    <t>COOPER P/N: 01EBCP315GRATL</t>
  </si>
  <si>
    <t>6" X 2.5" V-GROOVE TRACK WHEEL W/ ROLLER BEARING</t>
  </si>
  <si>
    <t>MONROE MAGNUS</t>
  </si>
  <si>
    <t>MONROE: VG625R-16_x000D_
_x000D_
MCMASTER: 2310T71</t>
  </si>
  <si>
    <t>Ø2" NPT THREADED PIPE UNION, 304 STAINLESS STEEL, LOW-PRESSURE, FEMALE</t>
  </si>
  <si>
    <t>MCMASTER P/N: 4464K492 OR EQUIVALENT</t>
  </si>
  <si>
    <t>Ø2" NPT FEMALE LOW-PRESSURE X BUTT WELD FITTING, 1-1/4" LG, 304/304L SS</t>
  </si>
  <si>
    <t>MCMASTER P/N: 4464K478 OR EQUIVALENT</t>
  </si>
  <si>
    <t>WELD-ON PIANO HINGE, 2" WIDTH X 12" LG. X 0.06" THK., TYPE 316 SS</t>
  </si>
  <si>
    <t>MCMASTER P/N: 13795A601</t>
  </si>
  <si>
    <t>SOLENOID VALVE 2-WAY/2-POSITION NORMALLY CLOSED BRASS BODY , EXPOSION PROOF- 1" NPT</t>
  </si>
  <si>
    <t>ASCO P/N: 8210G054_DC OR EQUIVALENT</t>
  </si>
  <si>
    <t>SWITCH, 1/2 NPT 316SS -15/15# 24" LEADS SPDT PRESSURE</t>
  </si>
  <si>
    <t>ASHCROFT P/N: APA-N7-1P-024C-S04-15/15#-NSD-XC4</t>
  </si>
  <si>
    <t>SPROCKET, H40BTL, 30 TEETH, BUSHING STYLE 1610</t>
  </si>
  <si>
    <t>McMaster Carr 2590K44</t>
  </si>
  <si>
    <t>TAPER LOCK BUSHING 1610 STYLE, ID Ø1-1/4", KEYWAY 1/4" X 1/8"</t>
  </si>
  <si>
    <t>McMaster Carr 5709K165</t>
  </si>
  <si>
    <t>SPRING PIN, Ø1/4" x 2-1/4"</t>
  </si>
  <si>
    <t>McMaster Carr 92373A382</t>
  </si>
  <si>
    <t>LOW-PROFILE HOLD-DOWN TOGGLE CLAMP</t>
  </si>
  <si>
    <t>MCMASTER P/N OR EQUIVALENT: 5128A84</t>
  </si>
  <si>
    <t>EXTERNAL RETAINING RING, Ø1-1/4" ID</t>
  </si>
  <si>
    <t>McMaster Carr 91590A137</t>
  </si>
  <si>
    <t>348 SERIES HALF FLIGHTS, 3-3/4" DIA. TWO PIECE UHMW FLIGHTS _x000D_
ON 6 IN CENTERS</t>
  </si>
  <si>
    <t>HAPMAN</t>
  </si>
  <si>
    <t>HAPMAN P/N:  H07182AF-B01</t>
  </si>
  <si>
    <t>936 BEARING BRONZE TUBE, Ø 1-1/2" OD, 3/8 WALL THICKNESS</t>
  </si>
  <si>
    <t>MCMASTER PART # 8918K456 OR EQUIVALENT</t>
  </si>
  <si>
    <t>CLEVIS, 1 11/64" TAPPED, 2.025" OPENING, PIN HOLE  1.379" - STAINLESS STEEL-1-3/8" PIN CP-1345</t>
  </si>
  <si>
    <t>LYNAIR ASSEMBLY#: RC-1712</t>
  </si>
  <si>
    <t>Ø3/4" NPT STRAIGHT FEMALE COUPLING, THREADED BOTH ENDS- 316 SS</t>
  </si>
  <si>
    <t>MCMASTER PART#: 4452K115</t>
  </si>
  <si>
    <t>THREAD PUSH-TO-CONNECT TUBE FITTING,  3/8" OD X 1/2 PIPE SIZE</t>
  </si>
  <si>
    <t>MCMASTER P#: 7397N28 OR EQUIVALENT</t>
  </si>
  <si>
    <t>THREAD PUSH-TO-CONNECT TUBE FITTING,  3/8" OD X 3/8 PIPE SIZE</t>
  </si>
  <si>
    <t>MCMASTER P#: 7397N27 OR EQUIVALENT</t>
  </si>
  <si>
    <t>FLOW-CONTROL MUFFLER, 1/2 NPT MALE, BRASS</t>
  </si>
  <si>
    <t>MCMASTER P#: 9834K44 OR EQUIVALENT</t>
  </si>
  <si>
    <t>THREAD PUSH-TO-CONNECT TUBE FITTING, SHORT 90 DEGREE, 3/8" OD X 3/8 PIPE SIZE</t>
  </si>
  <si>
    <t>MCMASTER P#: 7397N57 OR EQUIVALENT</t>
  </si>
  <si>
    <t>THREAD PUSH-TO-CONNECT TUBE FITTING, SHORT 90 DEGREE, 3/8" OD X 1/2 PIPE SIZE</t>
  </si>
  <si>
    <t>MCMASTER P#: 7397N58 OR EQUIVALENT</t>
  </si>
  <si>
    <t>BRASS BARBED HOSE FITTING , 3/4" HOSE ID X 3/4 NPT MALE</t>
  </si>
  <si>
    <t>MCMASTER P#: 4374N511 OR EQUIVALENT</t>
  </si>
  <si>
    <t>FLOW-CONTROL MUFFLER, 3/4 NPT MALE, BRASS,</t>
  </si>
  <si>
    <t>MCMASTER P#: 9834K35 OR EQUIVALENT</t>
  </si>
  <si>
    <t>BRONZE BARBED HOSE FITTING , 90 DEGREE ELBOW, 3/4" HOSE ID, 3/4 NPT MALE</t>
  </si>
  <si>
    <t>MCMASTER P#:9431K33 OR EQUIVALENT</t>
  </si>
  <si>
    <t>PIPE FITTING, ADAPTER, 3/8" MALE X 1/8" FEMALE, 304 SS</t>
  </si>
  <si>
    <t>MCMASTER P/N: 4464K262</t>
  </si>
  <si>
    <t>SIEMENS LIMIT SWITCH, MODULAR PLUG-IN HOUSING, NEMA 4X ENCLOSURE, SPDT CONTACTS WITH SIDE ROTARY MOMENTARY HEAD</t>
  </si>
  <si>
    <t>CES</t>
  </si>
  <si>
    <t>SIEMENS PART #: 3SE03-AR1</t>
  </si>
  <si>
    <t>ADJUSTABLE RADIUS LEVER ARM, 1-3.5" LENGTH, METAL ROLLER Ø0.75" X 0.31" WIDTH</t>
  </si>
  <si>
    <t>SIEMENS PART#: 3SX03-KL538</t>
  </si>
  <si>
    <t>CLEVIS, 11/16" TAPPED, 1.275" OPENING, PIN HOLE  0.754" - STAINLESS STEEL-3/4" PIN CP-0730</t>
  </si>
  <si>
    <t>LYNAIR ASSEMBLY#: RC-1007</t>
  </si>
  <si>
    <t>GAS MONITOR PANEL, 0-500PPM CARBON MONOXIDE (CO)SENSOR, 0-25% OXYGEN SENSOR (O2), 316SS EXP PROOF SENSORS</t>
  </si>
  <si>
    <t>MSA SAFETY SALES, LLC</t>
  </si>
  <si>
    <t>MSA ENGINEERED SAMPLE FLOW SYSTEM DSK 3054-1895; INCLUDES ONE (1) ULTIMA X5000 CARBON MONOXIDE GAS DETECTOR, 316SS EXP PROOF, MODEL A-X5000-0-M-0-1-0-11-0-0, 10-30VDC 3-WIRE INPUT, FM APPROVAL, OLED DISPLAY, TOUCH BUTTON, STATUS INDICATOR, BLUETOOTH, DUAL 4-20 MA OUTPUT, HART, TWO(2) SPDT ALARM RELAYS, ONE (1) SPDT FAULT RELAY, ONE (1) TRUCAL SENSOR MODULE WITHOUT DIﬀUSION SUPERVISION (REMOTE MOUNT SENSOR), 0-500 PPM CO, AND ONE (1) ULTIMA X5000 OXYGEN GAS DETECTOR, 316SS EXP PROOF, MODEL A-X5000-0-M-0-1-0-15-0-0, 10-30VDC 3-WIRE INPUT, FM APPROVAL, OLED DISPLAY, TOUCH BUTTON, STATUS INDICATOR, BLUETOOTH, DUAL 4-20 MA OUTPUT, HART, TWO(2) SPDT ALARM RELAYS, ONE (1) SPDT FAULT RELAY, ONE (1) XCELL DIGITAL SENSOR MODULE (INTEGRAL MOUNT), 0-25% O2; EXTERNAL POWER SUPPLY MOUNTED AND WIRED TO THE PANEL, AIR ASPIRATOR PUMP, ﬂOW METER, AND ﬂOW SWITCH, ALL MOUNTED TO A 32" X 21" ALUM. BACKPANEL</t>
  </si>
  <si>
    <t>GAS MONITOR SAMPLING VALVE ASSEMBLY W/ MOTT INTERTIAL FILTER</t>
  </si>
  <si>
    <t>MOTT INERTIAL GAS SAMPLING FILTER, MODEL 7611, AND VALVE ASSEMBLY PER GSK _x000D_
3054-1900 DESIGNED FOR HIGH DUST AREAS, REQUIRES COMPRESSED AIR.</t>
  </si>
  <si>
    <t>GAS MONITOR SENSOR CALIBRATION KIT, CO &amp; O2</t>
  </si>
  <si>
    <t>MSA CALIBRATION KIT, MODEL A-CAL-51-G-10027938-00-0-10028028, INCLUDES _x000D_
MODEL 710288 DEMAND REGULATOR, ﬁNGS, AND HARD PLASTIC FOAM INSULATED _x000D_
CARRYING CASE, MSA SPAN CALIBRATION GAS FOR CARBON MONOXIDE (MODEL 10027938, _x000D_
300 PPM CARBON MONOXIDE IN AIR, 65.0 CALIBRATION MINUTES AT 1.5 LPM), AND MSA _x000D_
CALIBRATION ZERO GAS FOR CARBON MONOXIDE AND CALIBRATION SPAN GAS FOR OXYGEN _x000D_
(MODEL 10028028, 20.80% OXYGEN IN NITROGEN, 65.0 CALIBRATION MINUTES AT 1.5 _x000D_
LPM).</t>
  </si>
  <si>
    <t>ANTI-SLIP TAPE: FINE, 80 GRIT SIZE, SOLID, BLACK, 4 IN X 60 FT, 28 MIL TAPE THICK, RUBBER</t>
  </si>
  <si>
    <t>GRAINGER P/N OR EQUIVALENT: 12E850</t>
  </si>
  <si>
    <t>2 BOLT FLANGE BLOCK, BALL BEARING, Ø1-7/16" SHAFT, DODGE F2B-SXR-107</t>
  </si>
  <si>
    <t>DODGE P/N: 131066</t>
  </si>
  <si>
    <t>SHORT 90° BUTT WELD ELBOW, 4" PIPE, SCH 40, CARBON</t>
  </si>
  <si>
    <t>TWO PIECE SET COLLAR-316SS 5" X 6-1/4" X 7/8"</t>
  </si>
  <si>
    <t>ATLANTIC DRIVE P/N OR EQUIVALENT: C2SSC-500</t>
  </si>
  <si>
    <t>DRUM PULLEY, Ø12" CROWN-FACED X 38" WIDE, Ø2.75" BORE</t>
  </si>
  <si>
    <t>HIGH-FLOW PRECISION COMPRESSED AIR REGULATOR (0-2 PSI), RELIEVINV, NPT FEMALE, Ø1/2" PIPE SIZE</t>
  </si>
  <si>
    <t>MCMASTER P/N: 1888K214</t>
  </si>
  <si>
    <t>LOW-PRESSURE PRESS-CONNECT PIPE FITTING, Ø1/2" UNTHREADED FEMALE X Ø1/2" NPT MALE, 316 SS</t>
  </si>
  <si>
    <t>MCMASTER P/N: 3319N96</t>
  </si>
  <si>
    <t>Ø4" SPLIT ROLLER BEARING, 2-BOLT PILLOW BLOCK BASE, FIXED TYPE</t>
  </si>
  <si>
    <t>COOPER P/N: 01EBCP400GRATL</t>
  </si>
  <si>
    <t>Ø4" SPLIT ROLLER BEARING, 2-BOLT PILLOW BLOCK BASE, EXPANSION TYPE</t>
  </si>
  <si>
    <t>COOPER P/N: 01EBCP400EXATL</t>
  </si>
  <si>
    <t>SPROCKET, 13 TOOTH SPROCKET, 1-3/8" BORE</t>
  </si>
  <si>
    <t>TSUBAKI, HB60B13F 13 TOOTH SPROCKET, 1-3/8" BORE</t>
  </si>
  <si>
    <t>Ø4 7/16 SHAFT COLLAR 316 SS</t>
  </si>
  <si>
    <t>STAFFORD MFG PART # 2S407 OR EQUIVALENT</t>
  </si>
  <si>
    <t>SMC 1/4" TUBE OD X 1/8" NPT MALE GREASE FITTING</t>
  </si>
  <si>
    <t>SWAGELOK P/N: SMC 4-2N</t>
  </si>
  <si>
    <t>PIPE FITTING, ADAPTER, 1/4" MALE X 1/8" FEMALE, 316 SS</t>
  </si>
  <si>
    <t>MCMASTER P/N OR EQUIVALENT: 4452K161</t>
  </si>
  <si>
    <t>HANGER BEARING, STYLE 226, 3 7/16″ SHAFT SIZE, UHMW</t>
  </si>
  <si>
    <t>SCP: 9105144</t>
  </si>
  <si>
    <t>TAPER LOCK BUSHING 2012 STYLE, BORE ID Ø1-15/16, KEYWAY 1/2 X 3/16</t>
  </si>
  <si>
    <t>MI ITEM #00222265</t>
  </si>
  <si>
    <t>Ø4" SCH 10 LONG 90° BUTT WELD ELBOW, 304L SS</t>
  </si>
  <si>
    <t>MCMASTER P/N OR EQUIVALENT: 45735K219</t>
  </si>
  <si>
    <t>Ø1/4" NPT FEMALE TOE, 316 SS</t>
  </si>
  <si>
    <t>MCMASTER P/N OR EQUIVALENT: 4452K512</t>
  </si>
  <si>
    <t>Ø1/4" NPT HEX PLUG, 316 SS</t>
  </si>
  <si>
    <t>MCMASTER P/N OR EQUIVALENT: 1799N32</t>
  </si>
  <si>
    <t>MACHINERY EYE BOLT, WITH SHOULDER, 304 SS, 3/4"-10 THREAD SIZE, 2 IN SHANK LG</t>
  </si>
  <si>
    <t>GRAINGER PART#: 19L126</t>
  </si>
  <si>
    <t>SHORT 90° BUTT WELD ELBOW, 4" PIPE, SCH 40, 304 SS</t>
  </si>
  <si>
    <t>MCMASTER PART#: 45605K217</t>
  </si>
  <si>
    <t>CONNECTING LINK FOR 60NP ROLLER CHAIN</t>
  </si>
  <si>
    <t>Ø 3/4" NPT, 316 SS THREADED PIPE FITTING, FEMALE BUTT WELDED</t>
  </si>
  <si>
    <t>MCMASTER PART # 4452K213 OR EQUIVALENT</t>
  </si>
  <si>
    <t>Ø 1/4" O.D. TUBE FITTING, QUICK PUSH TO CONNECT, 1/8" NPT FITTING, 316 SS</t>
  </si>
  <si>
    <t>MCMASTER PART # 7610N115 OR EQUIVALENT</t>
  </si>
  <si>
    <t>Ø 1/4" O.D. TUBE FITTING, 90 DEG ELBOW, QUICK PUSH TO CONNECT, 1/8" NPT FITTING, 316 SS</t>
  </si>
  <si>
    <t>MCMASTER PART # 7610N127 OR EQUIVALENT</t>
  </si>
  <si>
    <t>AUTOMATIC LUBRICATOR SYSTEM, POWER OUTPUT 110V, 8 LITER CAPACITY</t>
  </si>
  <si>
    <t>MFP AUTOMATION ENGINEERING</t>
  </si>
  <si>
    <t>LINCOLN PART # 644-40873-1 OR EQUIVALENT</t>
  </si>
  <si>
    <t>STEEL THRUST BALL BEARING, 1-3/4" ID, 3-3/32" OD, SHIELDED</t>
  </si>
  <si>
    <t>ROTARY SHAFT SEAL, 1-3/4 ID AND 2.25 OD</t>
  </si>
  <si>
    <t>MCMASTER P/N: 5154T29</t>
  </si>
  <si>
    <t>3/4" NPT THREADED PIPE FITTING, PLUG WITH EXTERNAL SQUARE DRIVE, 316 SS</t>
  </si>
  <si>
    <t>MCMASTER P/N OR EQUIVALENT: 4452K125</t>
  </si>
  <si>
    <t>DRUM PULLEY, Ø12" FLAT-FACED X 20" WIDE W/ 3/8" HERRINGBONE LAGGING, Ø2 7/16" BORE</t>
  </si>
  <si>
    <t>SUPERIOR #: DCEMA-1220FFXT2538H OR EQUIVALENT</t>
  </si>
  <si>
    <t>DRUM PULLEY, Ø12" FLAT-FACED X 20" WIDE, Ø1-15/16" BORE</t>
  </si>
  <si>
    <t>SUPERIOR #: DECEMA-1220FFXT25 OR EQUIVALENT</t>
  </si>
  <si>
    <t>ALTERED 10020 COUPLING, Ø4 3/8" BORE WITH KEYWAY, 2X SET SCREWS (10020F 4 3/8)</t>
  </si>
  <si>
    <t>U.S. TSUBAKI PART NUMBER: A100B20 4 3/8</t>
  </si>
  <si>
    <t>SPROCKET, NM78 11 TOOTH, UHMW-PE TEETH, Ø2" BORE</t>
  </si>
  <si>
    <t>BREWTON #: NM78 – 11T – Ø2” PLAIN BORE – BOLTED UHMW SPKT. – Ø9.26” P.D. - 304 SS SINGLE BODY HUB</t>
  </si>
  <si>
    <t>SNAP IDLE CHAIN TENSIONER</t>
  </si>
  <si>
    <t>SNAPIDLE P/N: SI-120</t>
  </si>
  <si>
    <t>DRUM PULLEY, Ø12" FLAT-FACED X 20" WIDE W/ 3/8" HERRINGBONE LAGGING, Ø1 1/2" BORE</t>
  </si>
  <si>
    <t>ALTERED 8020 COUPLING, Ø2 7/8" BORE WITH KEYWAY, 2X SET SCREWS (8020F 2-7/8)</t>
  </si>
  <si>
    <t>U.S. TSUBAKI PART NUMBER: A80B20 2 7/8</t>
  </si>
  <si>
    <t>Moline P/N: 19211208</t>
  </si>
  <si>
    <t>TOGGLE CLAMP, COMPACT, 350LB HOLDING FORCE, 18-8 SS</t>
  </si>
  <si>
    <t>MCMASTER: 5004A14</t>
  </si>
  <si>
    <t>DRUM PULLEY, Ø12" CROWN-FACED X 32" WIDE W/ 3/8" HERRINGBONE LAGGING, Ø2 15/16" BORE</t>
  </si>
  <si>
    <t>SUPERIOR #: DCEMA-1232CFXT3038H OR EQUIVALENT</t>
  </si>
  <si>
    <t>SEW FAN CPL. DRN63/EI7</t>
  </si>
  <si>
    <t>MANUFACTURE PART NUMBER: DRN63/EI7</t>
  </si>
  <si>
    <t>SEW FAN GUARD DR2G63</t>
  </si>
  <si>
    <t>MANUFACTURE PART NUMBER: DR2G63</t>
  </si>
  <si>
    <t>SEW GROMMET EI7</t>
  </si>
  <si>
    <t>MANUFACTURE PART NUMBER: 13637339</t>
  </si>
  <si>
    <t>Ø 3/4" SHAFT DIAMETER AND 1-1/4" HOUSING ID, HIGH LOAD OIL-EMBEDDED 863 SLEEVE BEARING</t>
  </si>
  <si>
    <t>MCMASTER PART # 2868T189 OR EQUIVALENT</t>
  </si>
  <si>
    <t>Ø 1" SHAFT DIAMETER AND 1-1/4" HOUSING ID, 1" LONG, HIGH-LOAD OIL-EMBEDDED 863 SLEEVE BEARING</t>
  </si>
  <si>
    <t>MCMASTER PART # 2868T23 OR EQUIVALENT</t>
  </si>
  <si>
    <t>LOW-PRESSURE CONNECTOR FOR 4-1/2" PIPE OD</t>
  </si>
  <si>
    <t>MCMASTER P/N OR EQUIVALENT: 4693K82</t>
  </si>
  <si>
    <t>Ø 7/8" CLAMPING SHAFT COLLAR, 316 SS</t>
  </si>
  <si>
    <t>MCMASTER PART # 9421T14 OR EQUIVALENT</t>
  </si>
  <si>
    <t>BRONZE THRUST BEARING, 1" ID, 1 3/4" OD, 1/16" THICK</t>
  </si>
  <si>
    <t>MCMASTER: 7814K434</t>
  </si>
  <si>
    <t>BRONZE THRUST BEARING, 7/8" ID, 1 1/2" OD, 1/16" THICK</t>
  </si>
  <si>
    <t>MCMASTER: 7814K33</t>
  </si>
  <si>
    <t>SHAFT COLLAR, 7/8" ID X 1 1/2" OD X 9/16" THK, ZINC PLATED CARBON</t>
  </si>
  <si>
    <t>MCMASTER P/N: 6432K23</t>
  </si>
  <si>
    <t>SHAFT COLLAR, 1" ID X 1 1/2" OD X 5/8" THK, ZINC PLATED CARBON</t>
  </si>
  <si>
    <t>MCMASTER P/N: 6432K25</t>
  </si>
  <si>
    <t>MOBIL POLYREX EM BEARING GREASE 13.7 OZ, QTY IS PER TUBE</t>
  </si>
  <si>
    <t>MSC INDUSTRIAL SUPPLY CO*</t>
  </si>
  <si>
    <t>MOBIL MOBILUX EP2 BEARING GREASE 13.7 OZ, QTY IS PER TUBE</t>
  </si>
  <si>
    <t>Ø 3" SPLIT ROLLER BEARING, 2-BOLT PILLOW BLOCK BASE, FIXED TYP</t>
  </si>
  <si>
    <t>COOPER PART # 01EBCP300GR AT OR EQUIVALENT</t>
  </si>
  <si>
    <t>Ø 3" SPLIT ROLLER BEARING, 2-BOLT PILLOW BLOCK BASE, EXPANSION TYP</t>
  </si>
  <si>
    <t>COOPER PART # 01EBCP300EX AT OR EQUIVALENT</t>
  </si>
  <si>
    <t>Ø3" SPLIT ROLLER BEARING, 2-BOLT PILLOW BLOCK BASE, FIXED/HELD</t>
  </si>
  <si>
    <t>CRAFT PART # S1BCH300HD</t>
  </si>
  <si>
    <t>Ø3" SPLIT ROLLER BEARING, 2-BOLT PILLOW BLOCK BASE, EXPANSION/FLOATING</t>
  </si>
  <si>
    <t>CRAFT PART # S1BCH300FL</t>
  </si>
  <si>
    <t>DRUM PULLEY, Ø12" FLAT FACED X 20" WIDE W/ 3/8" HERRINGBONE LAGGING, Ø1 15/16" BORE</t>
  </si>
  <si>
    <t>SUPERIOR #: DCEMA-1220FFXT2038H OR EQUIVALENT</t>
  </si>
  <si>
    <t>PIN COTTER, 3/8" DIAM X 5" LG, 18-8 SS</t>
  </si>
  <si>
    <t>MCMASTER P/N: 98401A644 OR EQUIVALENT</t>
  </si>
  <si>
    <t>PILLOW BLOCK BEARING-NICKEL PLATED, 1-1/4" BORE</t>
  </si>
  <si>
    <t>ATLANTIC P/N: P3U220NK75</t>
  </si>
  <si>
    <t>CORTEC M-529 OIL BASED CORROSION INHIBITOR (5 GALLONS)</t>
  </si>
  <si>
    <t>RAMP</t>
  </si>
  <si>
    <t>FORGED STEEL HOIST RING FOR LIFTING, BLACK-OXIDE, 3/4"-10 THREAD SIZE, 8-7/8" OVERALL HEIGHT</t>
  </si>
  <si>
    <t>MCMASTER CARR # 2994T73 OR EQUIVALENT</t>
  </si>
  <si>
    <t>TELEMACANIQUE INDUCTIVE PROXIMITY SENSOR XS6, CYLINDRYICAL M30, SENSING DISTANCE 15MM, 24 TO 240 VAC/DC, 2 METER CABLE, P/N: XS630B1MAL2</t>
  </si>
  <si>
    <t>ORDER FROM GRAINGER WITH P/N: 1EXL1_x000D_
SCHNEIDER ELECTRIC P#: XS630B1MAL2</t>
  </si>
  <si>
    <t>SCP P/N: 9105144</t>
  </si>
  <si>
    <t>HANGER, U-TROUGH, STYLE 226, 24″ DIAMETER, 3 7/16″ SHAFT SIZE, STAINLESS STEEL</t>
  </si>
  <si>
    <t>SCP P/N: 9104180</t>
  </si>
  <si>
    <t>PIANO HINGE, 1 1/2" X 48" LG, W/ #6 SCREW HOLES ON 2" CENTERS, 316 SS</t>
  </si>
  <si>
    <t>MCMASTER P/N: 1605A76</t>
  </si>
  <si>
    <t>PIN COTTER, 3/32" DIAM X 3/4" LG, 1004-1045 CARBON STEEL</t>
  </si>
  <si>
    <t>MCMASTER P/N: 90520A103 OR EQUIVALENT</t>
  </si>
  <si>
    <t>SHEAR PIN, Ø3/8" OD X 1 1/8" LG WITH Ø1/4" GROOVE, 1215 CARBON STEEL</t>
  </si>
  <si>
    <t>MCMASTER P/N: 96985A260 OR EQUIVALENT</t>
  </si>
  <si>
    <t>WIRE ROPE COMPRESSION STOP FOR Ø1/4" WIRE, Ø21/32" OD X 11/16", ALUMINUM</t>
  </si>
  <si>
    <t>MCMASTER P/N OR EQUIVALENT: 3914T6</t>
  </si>
  <si>
    <t>DRUM PULLEY, Ø12" FLAT-FACED X 32" WIDE, Ø2 7/16" BORE</t>
  </si>
  <si>
    <t>SUPERIOR #: DCEMA-1332FFXT30 OR EQUIVALENT</t>
  </si>
  <si>
    <t>4P SHEAR PIN, Ø3/8" X 1 1/2" LG W/ Ø3/16" GROOVE</t>
  </si>
  <si>
    <t>McMaster P/N or Equivalent: 96985A240</t>
  </si>
  <si>
    <t>5P SHEAR PIN, Ø3/8" X 1 1/2" LG W/ Ø7/32" GROOVE</t>
  </si>
  <si>
    <t>McMaster P/N or Equivalent: 96985A250</t>
  </si>
  <si>
    <t>6P SHEAR PIN, Ø3/8" X 1 1/8" LG W/ Ø1/4" GROOVE</t>
  </si>
  <si>
    <t>McMaster P/N or Equivalent: 96985A260</t>
  </si>
  <si>
    <t>832 BRONZE SLEEVE BEARING Ø1 3/4" OD X Ø1 1/2" ID X 2 1/2" LG</t>
  </si>
  <si>
    <t>MCMASTER P/N OR EQUIVALENT: 6381K293</t>
  </si>
  <si>
    <t>Ø1-1/2" NPT HALF COUPLING, 2.172 OD X 0.947 LG - 304 SS</t>
  </si>
  <si>
    <t>HM CRAIG P/N: UNKNOWN</t>
  </si>
  <si>
    <t>Ø1-1/2" NPT FULL COUPLING, 2.172 OD X 1.89 LG - 304 SS</t>
  </si>
  <si>
    <t>ELECTRICAL-INSULATING NYLOB 6/6 SLEEVE WASHER FOR Ø1/2" BOLT, 0.312 OVERALL HEIGHT</t>
  </si>
  <si>
    <t>MCMASTER P/N: 91145A289</t>
  </si>
  <si>
    <t>Ø3" SPLIT ROLLER BEARING, 2-BOLT PILLOW BLOCK BASE, FIXED/HELD, TNEMEC COATED</t>
  </si>
  <si>
    <t>CRAFT PART # S1BCH300HDW</t>
  </si>
  <si>
    <t>Ø3" SPLIT ROLLER BEARING, 2-BOLT PILLOW BLOCK BASE, EXPANSION/FLOATING, TNEMEC COATED</t>
  </si>
  <si>
    <t>CRAFT PART # S1BCH300FLW</t>
  </si>
  <si>
    <t>CLARION FOOD MACHINERY GREASE, NO. 2, NSF-61, 35 LB BUCKET</t>
  </si>
  <si>
    <t>DIGILUBE SYSTEMS, INC</t>
  </si>
  <si>
    <t>Ø3/4" O.D. X 3/8" THK. UHMW/LDPE ROUND SPACER FOR Ø3/8" BOLTS</t>
  </si>
  <si>
    <t>MCMASTER PART#: 92825A419 OR EQUIVALENT</t>
  </si>
  <si>
    <t>ELECTRO-LUBER JUMBO 12 MONTH LUBRICATOR W/ 1/2" NPT TO 1/8" NPT ADAPTER, 475cc</t>
  </si>
  <si>
    <t>ORDER FROM A.T.S. ELECTRO-LUBE INTERNATIONAL, INC.</t>
  </si>
  <si>
    <t>GREASE FITTING, 45 DEG, 1/8" MALE X FEMALE NPT, BRASS</t>
  </si>
  <si>
    <t>MCMASTER PART#: 1303K341 OR EQUIVALENT</t>
  </si>
  <si>
    <t>1/4" NPT FEMALE TO FEMALE THREADED PIPE FITTING, Ø0.722" OD X 1" LG, 304 SS</t>
  </si>
  <si>
    <t>DRUM PULLEY, Ø10" FLAT-FACED X 32" WIDE, Ø2 7/16" BORE</t>
  </si>
  <si>
    <t>SUPERIOR #: DCEMA-1032FFXT30 OR EQUIVALENT</t>
  </si>
  <si>
    <t>Ø2 7/16" BORE- 4 BOLT TYPE, SPHERICAL ROLLER BEARING, EXPANSION, STANDARD DUTY, CAST IRON</t>
  </si>
  <si>
    <t>DODGE#: EF4B-S2-207RE</t>
  </si>
  <si>
    <t>ELECTRO-LUBER MINI 12 MONTH LUBRICATOR W/ 1/4" NPT TO 1/8" NPT ADAPTER, 125cc</t>
  </si>
  <si>
    <t>CLAMPING TWO-PIECE SHAFT COLLAR FOR 1-3/8" DIAMETER, 316 STAINLESS STEEL</t>
  </si>
  <si>
    <t>MCMASTER P/N: 9633T26</t>
  </si>
  <si>
    <t>DUCT HOSE CLAMP FOR SPIRAL DUCT, CLAMP RANGE 9 1/4" TO 10 3/4", RIGHT HAND, 301 SS</t>
  </si>
  <si>
    <t>MCMASTER P/N: 45955K76</t>
  </si>
  <si>
    <t>Ø1-5/8" HIGH LOAD OIL EMBEDDED FLANGED SLEEVE BEARING</t>
  </si>
  <si>
    <t>MCMASTER PART NUMBER, OR EQUIVALENT: 3731K28</t>
  </si>
  <si>
    <t>SS CAM ROLLER, 1 3/4" OD, 1" ROLLER WIDTH, 1/2" BORE DIAM, MAX STATIC LOAD 14,800 LBS, MAX DYNAMIC LOAD 5,730, MAX RPM 2,200</t>
  </si>
  <si>
    <t>CARTER MANUFACTURING CO INC</t>
  </si>
  <si>
    <t>CARTER PART#: SY-56-S OR EQUIVALENT</t>
  </si>
  <si>
    <t>SS CAM ROLLER, 1 7/8" OD, 1" ROLLER WIDTH, 1/2" BORE DIAM, MAX STATIC LOAD 14,800 LBS, MAX DYNAMIC LOAD 5,730, MAX RPM 2,000</t>
  </si>
  <si>
    <t>CARTER PART#: SY-60-S OR EQUIVALENT</t>
  </si>
  <si>
    <t>DRUM PULLEY, Ø12" FLAT-FACED X 32" WIDE, Ø2 7/16" BORE, XT25</t>
  </si>
  <si>
    <t>SUPERIOR #: DCEMA-1232FFXT25 OR EQUIVALENT</t>
  </si>
  <si>
    <t>DRUM PULLEY, Ø18" CROWN-FACED X 38" WIDE W/ 1/2" HERRINGBONE LAGGING, Ø3 7/16" BORE</t>
  </si>
  <si>
    <t>SUPERIOR #: DCEMA-1838CFXT3512H OR EQUIVALENT</t>
  </si>
  <si>
    <t>DRUM PULLEY, Ø12" CROWN-FACED X 38" WIDE, Ø2.4375" BORE</t>
  </si>
  <si>
    <t>OS4 SS GRAY 2 TOUCH UP PAINT, 4OZ</t>
  </si>
  <si>
    <t>SEW PART NUMBER: 90373464</t>
  </si>
  <si>
    <t>BEARING, Ø3.4375 IN, PILLOW BLOCK BEARING, NON EXPANSION</t>
  </si>
  <si>
    <t>REXNORD: P-B22455H OR EQUIVALENT</t>
  </si>
  <si>
    <t>MEDIUM DUTY WIRE ROPE THIMBLE, NOT FOR LIFTING, 316 SS, FOR Ø3/8" ROPE (NOT SHOWN)</t>
  </si>
  <si>
    <t>MCMASTER-CARR P#:3868T28</t>
  </si>
  <si>
    <t>3/8" WIRE ROPE CLAMP, 316 SS</t>
  </si>
  <si>
    <t>MCMASTER PART #: 1973N15</t>
  </si>
  <si>
    <t>Ø3/8" THROUGH-HOLE ROUND FLOAT, 316 SS, Ø4" OD</t>
  </si>
  <si>
    <t>MCMASTER PART #: 2885K15</t>
  </si>
  <si>
    <t>EASY AIMER 2, ALUMINUM, 3/4  NPT WITH 1" PVC COUPLING- 7ML1830-1AQ</t>
  </si>
  <si>
    <t>SIEMNENS PART#: 7ML1830-1AQ</t>
  </si>
  <si>
    <t>LEVEL MEASUREMENT, CONTINUOUS, NON-CONTACT, 30 m (98.4 ft) RANGE, FOR LIQUIDS, SLURRIES, AND SOLIDS, INTERGRATED CABLE CONNECTION, HART (4...20 mA), WITH BLUETOOTH FUNCTION. CABLE LENGTH 50 m, NON Ex (ORDINARY LOCATIONS) cFMus, cCSAus, CE, RCM^2), 1" NPT</t>
  </si>
  <si>
    <t>SIEMENS PART#: 7ML532 0-1DA06-0AP0</t>
  </si>
  <si>
    <t>ULTRASONIC LEVEL CONTROLLER, CONTINUOUS, NON-CONTACT, 15 m (50 ft) RANGE, MONITORS LEVEL, VOLUME, AND OPEN CHANNEL FLOW IN LIQUIDS, SLURRIES, AND SOLIDS, 4 BUTTON HMI, WALL MOUNT, STD ENCLOSURE, INPUT VOLTAGE 100... 230V AC. MESUREMENT POINT DUAL POINT MODEL, 6 RELAYS. COMMUNICATION WITHOUT MODULE. APPROVALS GENERAL PURPOSE CE, FM, CSAus/c, UL LISTED, RCM, EAC, KCC</t>
  </si>
  <si>
    <t>SIEMENS PART#: 7ML5034 4AB01</t>
  </si>
  <si>
    <t>1/4" WIRE ROPE CLAMP W/O SADDLE, 316 SS</t>
  </si>
  <si>
    <t>DRUM PULLEY, Ø12" FLAT-FACED X 32" WIDE, Ø2 15/16" BORE</t>
  </si>
  <si>
    <t>1/2" NPT LOW PRESSURE 316 SS THREADED PIPE CAP</t>
  </si>
  <si>
    <t>MCMASTER PART # 4452K238 OR EQUIVALENT</t>
  </si>
  <si>
    <t>3/4" NPT FEMALE THREADED PIPE CAP, 316/316L SS</t>
  </si>
  <si>
    <t>MCMASTER P/N OR EQUIVALENT: 4452K239</t>
  </si>
  <si>
    <t>RIBBED FLEXIBLE HOSE, Ø10" ID, Ø10 9/16" OD 25' COIL</t>
  </si>
  <si>
    <t>McMaster P/N: 5666K921</t>
  </si>
  <si>
    <t>OIL SIGHT GLASS W4089 A2-M12 X 1.5-ST</t>
  </si>
  <si>
    <t>SEW PN: 13321838</t>
  </si>
  <si>
    <t>OIL SIGHT GLASS W4089 A2-M22 X 1.5-ST</t>
  </si>
  <si>
    <t>SEW PN: 13321846</t>
  </si>
  <si>
    <t>3/8"-16 X 1 1/4" LONG, 316 STAINLESS STEEL BUTTON HEAD HEX DRIVE SCREW</t>
  </si>
  <si>
    <t>MCMASTER PART# 98164A305 OR EQUIVALENT</t>
  </si>
  <si>
    <t>WORM GEAR (HALF), 70/35T - Ø24" PIPE</t>
  </si>
  <si>
    <t>LONG 90° BUTT WELD ELBOW, 2" PIPE, 316 SS</t>
  </si>
  <si>
    <t>MCMASTER MFG #:45555K516 OR EQUIVALENT</t>
  </si>
  <si>
    <t>BRASS BARBED HOSE FITTING FOR AIR AND WATER, TEE CONNECTOR FOR 3/4" HOSE ID</t>
  </si>
  <si>
    <t>MCMASTER P#:91355K54 OR EQUIVALENT</t>
  </si>
  <si>
    <t>1" MNPT X3/4" FNPT HEX RED BUSHING, BRASS</t>
  </si>
  <si>
    <t>MCMASTER P/N: 4429K415_x000D_
_x000D_
INDESCO P/N#: 3220-16-12</t>
  </si>
  <si>
    <t>WELDMENT, LIVE BOTTOM TEST PLATE</t>
  </si>
  <si>
    <t>MCMASTER PART #: 4513K74 OR EQUILVALENT</t>
  </si>
  <si>
    <t>TWIN CLAMP SMOOTH BORE 1 1/8</t>
  </si>
  <si>
    <t>INDESCO P/N# TW41125-PPSB</t>
  </si>
  <si>
    <t>Ø12 X SCH 10, LONG 90 DEG BUTT WELD ELBOW</t>
  </si>
  <si>
    <t>MCMASTER P/N: 45735K612 OR EQUIVALENT</t>
  </si>
  <si>
    <t>Ø3" BORE- 4 BOLT TYPE, SPHERICAL ROLLER BEARING, EXPANSION, STANDARD DUTY, CAST IRON</t>
  </si>
  <si>
    <t>DODGE#: EF4B-S2-300RE</t>
  </si>
  <si>
    <t>COMPACT EXTREME-PRESSURE STEEL PIPE FITTING ADAPTER, 1/4" NPT FEMALE TO M12 X 1.5mm MALE</t>
  </si>
  <si>
    <t>MCMASTER P/N: 4936K154</t>
  </si>
  <si>
    <t>COMPACT EXTREME-PRESSURE STEEL PIPE FITTING ADAPTER, 1/2" NPT FEMALE TO M22 X 1.5mm MALE</t>
  </si>
  <si>
    <t>MCMASTER P/N: 4936K452</t>
  </si>
  <si>
    <t>COMPACT EXTREME-PRESSURE STEEL PIPE FITTING ADAPTER, M22 X 1.5mm FEMALE TO M22 X 1.5mm MALE</t>
  </si>
  <si>
    <t>SEW P/N: 13263153</t>
  </si>
  <si>
    <t>1/2" NPT TBE 6" LONG, 316 SS</t>
  </si>
  <si>
    <t>MCMASTER P/N: 4548K178</t>
  </si>
  <si>
    <t>ALTERED 10020 COUPLING, Ø2 11/16" BORE WITH KEYWAY, 2X SET SCREWS (10020F 2 11/16)</t>
  </si>
  <si>
    <t>U.S. TSUBAKI PART NUMBER: A100B20 2 11/16</t>
  </si>
  <si>
    <t>Ø2 11/16" M2000 4-BOLT FLANGED SPHERICAL ROLLER BEARING</t>
  </si>
  <si>
    <t>MOLINE P#:19211211</t>
  </si>
  <si>
    <t>Ø 1" NPT FULL COUPLING, 1.575 OD X 1.69 LG - 316 SS</t>
  </si>
  <si>
    <t>CITRISURF 2310 SPRAY GEL, 5 GAL</t>
  </si>
  <si>
    <t>Ø8" POLYURETHANE WHEEL, PLATE STYLE FIXED MOUNTING, W/ MECHANICAL WHEEL LOCK, SEALED BEARINGS</t>
  </si>
  <si>
    <t>MCMASTER PART #: 2508T98 (OR EQUIVALENT)</t>
  </si>
  <si>
    <t>GEAR OIL SYNTH 460 H1 E1-20L/US1 ( CLP HC NSF H1 VG 460)</t>
  </si>
  <si>
    <t>SEW PART # 3042456 OR EQUIVALENT (20 LITERS)</t>
  </si>
  <si>
    <t>Ø 4"OD EXTERNAL RETAINING RING, 15-7 PH SS</t>
  </si>
  <si>
    <t>MCMASTER CARR PART # 91590A251 OR EQUIVALENT</t>
  </si>
  <si>
    <t>Ø 4 1/2" OD, EXTERNAL RETAINING RING, 15-7 PH STAINLESS STEEL</t>
  </si>
  <si>
    <t>MCMASTER PART # 91590A262 OR EQUIVALENT</t>
  </si>
  <si>
    <t>STANDARD DUTY SEAL Ø3 7/16" SHAFT W/ALUMINUM HOUSING AND FACE</t>
  </si>
  <si>
    <t>DURASHIELD P# SDNS-3.4375</t>
  </si>
  <si>
    <t>SNAP IDLE CHAIN TENSIONER, SI-140</t>
  </si>
  <si>
    <t>SNAPIDLE P/N: SI-140</t>
  </si>
  <si>
    <t>Ø3" SPLIT ROLLER BEARING, NICKEL PLATED, 2-BOLT PILLOW BLOCK BASE, FIXED TYP</t>
  </si>
  <si>
    <t>COOPER PART # 01EBCP300GRATNP OR EQUIVALENT</t>
  </si>
  <si>
    <t>Ø3" SPLIT ROLLER BEARING, NICKEL PLATED, 2-BOLT PILLOW BLOCK BASE, EXPANSION TYP</t>
  </si>
  <si>
    <t>COOPER PART # 01EBCP300EXATNP OR EQUIVALENT</t>
  </si>
  <si>
    <t>CLARION FOOD MACHINERY GREASE FM222 MOBIL, 13 OZ. TUBE</t>
  </si>
  <si>
    <t>CLARION PART # 409515 OR EQUIVALENT</t>
  </si>
  <si>
    <t>WORM DRIVE HOSE CLAMP, Ø1" TO Ø1-3/4" CLAMP RANGE, 304SS</t>
  </si>
  <si>
    <t>MCMASTER P/N: 5661K55 (OR EQUIVALENT)</t>
  </si>
  <si>
    <t>ELECTRIC SOLENOID VALVE FOR Ø3/4" NPT THREADED PIPES, NORMALLY CLOSED, FEMALE CONNECTIONS, 316 SS BODY, 120V AC POWER</t>
  </si>
  <si>
    <t>MCMASTER P/N: 48025K743 (OR EQUIVALENT)</t>
  </si>
  <si>
    <t>Ø4" SPLIT ROLLER BEARING, NICKEL PLATED, 2-BOLT PILLOW BLOCK BASE, POTA-POX N140 WHITE, ALL HARDWARE AND FITTINGS 316 SS, FIXED TYPE</t>
  </si>
  <si>
    <t>Ø4" SPLIT ROLLER BEARING, NICKLE PLATED, 2-BOLT PILLOW BLOCK BASE, POTA-POX N140 WHITE, ALL HARDWARE AND FITTINGS 316 SS, EXPANSION TYPE</t>
  </si>
  <si>
    <t>Ø1-1/2" NPT HALF COUPLING, 2.172 OD X 0.947 LG - 316 SS</t>
  </si>
  <si>
    <t>SPRING PIN, Ø1/8" X 3/4" LONG</t>
  </si>
  <si>
    <t>MCMASTER P/N: 92373A181</t>
  </si>
  <si>
    <t>Ø3/8" ID WASHDOWN SET SCREW SHAFT COLLAR, NYLON</t>
  </si>
  <si>
    <t>MCMASTER P/N: 60475K68</t>
  </si>
  <si>
    <t>WING PULLEY, Ø12" CROWN-FACED X 20" WIDE, Ø1 15/16" BORE</t>
  </si>
  <si>
    <t>SUPERIOR #: WCEMA-1220CFXT25 OR EQUIVALENT</t>
  </si>
  <si>
    <t>DRUM PULLEY, Ø12" CROWN-FACED X 20" WIDE W/ 3/8" HERRINGBONE LAGGING, Ø1 15/16" BORE</t>
  </si>
  <si>
    <t>SUPERIOR #: DCEMA-1220CFXT2538H OR EQUIVALENT</t>
  </si>
  <si>
    <t>QC1+ HD 36" ASSY W/SS MNFRM, 32" SOL ORG URE BLD, &amp; SS TWIST TENS</t>
  </si>
  <si>
    <t>Martin Engineering P/N:_x000D_
C1QCH3S36S4O1FF</t>
  </si>
  <si>
    <t>20" X 8" STYLE 271, SINGLE ARCH, NITRILE - EXPANSION JOINTS</t>
  </si>
  <si>
    <t>PROCO PART# 20" X 8" STYLE 271, SINGLE ARCH, NITRILE</t>
  </si>
  <si>
    <t>THINNER, CLEAR, 1 GAL.</t>
  </si>
  <si>
    <t>TNEMEC P/N: F041-004-1G</t>
  </si>
  <si>
    <t>AUTOMATIC LUBRICATOR SYSTEM, POWER OUTPUT 110V, 8 LITER CAPACITY, W/DIVERTER VALVES</t>
  </si>
  <si>
    <t>ULTRASONIC SENSOR FOR LEVEL AND FLOW MEASUREMENT FOR CONNECTION TO FMU9X</t>
  </si>
  <si>
    <t>ENDRESS HAUSER PART#: PROSONIC S FDU92</t>
  </si>
  <si>
    <t>ULTRASONIC MEASUREMENT TIME-OF-FLIGHT PROSONIC FMU90</t>
  </si>
  <si>
    <t>ENDRESS HAUSER PART#: FMU90-A11CA111AA1A</t>
  </si>
  <si>
    <t>Ø3" MEGA-BEARING UPPER HOUSING RAW CASTING (316SS)</t>
  </si>
  <si>
    <t>13225-A-RC</t>
  </si>
  <si>
    <t>Ø3" MEGA-BEARING LOWER HOUSING RAW CASTING (316SS)</t>
  </si>
  <si>
    <t>13225-B-RC</t>
  </si>
  <si>
    <t>Ø4" MEGA-BEARING UPPER HOUSING RAW CASTING (316SS)</t>
  </si>
  <si>
    <t>13229-A-RC</t>
  </si>
  <si>
    <t>Ø4" MEGA-BEARING LOWER HOUSING RAW CASTING (316SS)</t>
  </si>
  <si>
    <t>13229-B-RC</t>
  </si>
  <si>
    <t>SHEET, 36" X 48" X 1/8" THK BLACK GAROLITE G10/FR4</t>
  </si>
  <si>
    <t>McMASTER-CARR P/N: 85345K652</t>
  </si>
  <si>
    <t>Ø6" FEMALE PIPE CAP, SOCKET-CONNECT, PVC NSF-61</t>
  </si>
  <si>
    <t>MCMASTER P/N: 4880K141</t>
  </si>
  <si>
    <t>E-STOP, ENCLOSED PUSH-BOTTON SWITCH W/ PULL RESET, 2 CIRCUITS</t>
  </si>
  <si>
    <t>MCMASTER P/N: 6785K22</t>
  </si>
  <si>
    <t>CLOSED-CELL POLYURETHANE FOAM, 27oz.</t>
  </si>
  <si>
    <t>SEAL BOSS CAN SEAL FOAM</t>
  </si>
  <si>
    <t>COTTERMAN F30W POWDERCOATED MILD STEEL</t>
  </si>
  <si>
    <t>COTTERMAN P/N: F30W</t>
  </si>
  <si>
    <t>FLOWTECH PART#: 8353K111FNA00F0</t>
  </si>
  <si>
    <t>SITRANS LT500 UNIVERSAL LEVEL CONTROLLER, 0 HYDRORANGER, INPUT TYPE: 4...20 MA INPUT(S), 6 RELAYS (4 FORM A, 2 FORM C), 250 V AC</t>
  </si>
  <si>
    <t>SIEMENS PART#: 7ML6003-0AC00-1AA3</t>
  </si>
  <si>
    <t>3/8"-16 X 2" LONG 316 STAINLESS STEEL BUTTON HEAD HEX DRIVE SCREW</t>
  </si>
  <si>
    <t>MCMASTER PART # 98164A313 OR EQUIVALENT</t>
  </si>
  <si>
    <t>WORM-DRIVE CLAMPS FOR FIRM HOSE AND TUBE, STEEL SCREW, 1/2" BAND WIDTH, 1-13/16" TO 2-3/4" CLAMP ID</t>
  </si>
  <si>
    <t>PULL CORD SAFETY STOP CONTROL UNIT NEMA 1, 3, 3R, 4, 4X DUAL ENDED UNIT WITH 2 SINGLE POLE DOUBLE THROW (SP/DT) MICROSWITCHES PER END</t>
  </si>
  <si>
    <t>CONVEYOR COMPONENTS COMPANY PART # PCD-4S</t>
  </si>
  <si>
    <t>18-8 SS THREADED ON ONE END STUD, 3/8"-16, 1" LONG</t>
  </si>
  <si>
    <t>LOW-PROFILE SWIVEL CASTER WITH BRAKE AND 2" DIA RUBBER WHEEL MCMASTER PART # 2390T6</t>
  </si>
  <si>
    <t>PULL CORD SAFETY STOP CONTROL UNIT NEMA 7 &amp; 9 DUAL ENDED UNIT WITH 2 SINGLE POLE DOUBLE THROW (SP/DT) MICROSWITCHES PER END</t>
  </si>
  <si>
    <t>CONVEYOR COMPONENTS COMPANY PART # PCD-4SX</t>
  </si>
  <si>
    <t>Ø1/2" TUBING, 100FT, CRACK RESISTANT FLEXIBLE POLYETHILENE, BLACK, 4" MIN BEND RADIUS, 125 PSI MAX AT 72°F</t>
  </si>
  <si>
    <t>MCMASTER P/N: 5180K74 100FT PIECE_x000D_FOR 25FT PIECE - USE P/N 501268</t>
  </si>
  <si>
    <t>2" ID, 2-1/2" OD, COOLANT HOSE, 36"</t>
  </si>
  <si>
    <t>MCMASTER PART # 5285K153 OR EQUIVALENT</t>
  </si>
  <si>
    <t>3/4-16 SAE FULL COUPLING, 316L SS</t>
  </si>
  <si>
    <t>ANCHOE FLUID POWER PART#: 830-8-SS OR EQUIVALENT</t>
  </si>
  <si>
    <t>9/16-18 SAE FULL COUPLING, 316L SS</t>
  </si>
  <si>
    <t>ANCHOE FLUID POWER PART#: 830-6-SS OR EQUIVALENT</t>
  </si>
  <si>
    <t>18-8 STAINLESS STEEL WIRE-LOCK CLEVIS PIN, Ø1/4" X 1 1/8" LG</t>
  </si>
  <si>
    <t>MCMASTER P'N: 98480A009</t>
  </si>
  <si>
    <t>Ø3.5" MEGA-BEARING UPPER HOUSING RAW CASTING (316SS)</t>
  </si>
  <si>
    <t>13233-A-RC           308SS</t>
  </si>
  <si>
    <t>Ø3.5" MEGA-BEARING LOWER HOUSING RAW CASTING (316SS)</t>
  </si>
  <si>
    <t>13225-B-RC           308SS</t>
  </si>
  <si>
    <t>SENSOR MSD CONTROL UNIT. ADJUSTABLE 0 TO 1000 RPM RANGE. 50 SEGMENT DISK INSIDE. 12 VDC INPUT FROM CONTROL UNIT. NEMA TYPE 3, 4, 4X.</t>
  </si>
  <si>
    <t>CONVYEYOR COMPONENTS COMPANY PART# MSD-1</t>
  </si>
  <si>
    <t>MSD-800 CONTROLLER ASSEMBLY: 120-240 VAC PROGRAMMABLE W/2 UNDERSPEED OR OVERSPEED SET POINTS OR 1 OF EACH. DIGITAL RPM</t>
  </si>
  <si>
    <t>CONVYEYOR COMPONENTS COMPANY PART#:  MSD-800</t>
  </si>
  <si>
    <t>Ø1" X 12" DELRIN ROD (WHITE)</t>
  </si>
  <si>
    <t>MCMASTER CARR P/N 8572K61 OR EQUIVALENT</t>
  </si>
  <si>
    <t>CLEVIS PIN - Ø3/4" X 1 3/4" LG</t>
  </si>
  <si>
    <t>MCMASTER P/N: 92401A755</t>
  </si>
  <si>
    <t>Ø3/4" SHAFT, Ø1" HOUSING, 5/8" LG. HIGH-LOAD OIL-EMBEDDED FLANGED SLEEVE BEARING</t>
  </si>
  <si>
    <t>MCMASTER P/N: 2938T22</t>
  </si>
  <si>
    <t>Ø2" FLANGED BALL BEARING, STANDARD DUTY, CAST IRON, 4 BOLT, SETSCREW LOCKING, SINGLE LIP CONTACT SEAL</t>
  </si>
  <si>
    <t>REXNORD/LINK-BELT P/N: F3U232N</t>
  </si>
  <si>
    <t>4" 150LB ANSI FLANGE SLIP-ON - 304/304L STAINLESS STEEL</t>
  </si>
  <si>
    <t>MCMASTER PART# 44685K187</t>
  </si>
  <si>
    <t>6" 150LB ANSI FLANGE SLIP-ON - 304/304L STAINLESS STEEL</t>
  </si>
  <si>
    <t>MCMASTER PART# 44685K188 OR EQUIVALENT</t>
  </si>
  <si>
    <t>BARBED HOSE FITTING, Ø1" ID X 1 NPT MALE, AIR AND WATER, 303/304 STAINLESS STEEL ADAPTER</t>
  </si>
  <si>
    <t>MCMASTER PART # 5361K48 OR EQUIVALENT</t>
  </si>
  <si>
    <t>BARBED HOSE FITTING, Ø 1/4" ID X 1/4 NPT MALE, AIR AND WATER, 303/304 STAINLESS STEEL ADAPTER</t>
  </si>
  <si>
    <t>MCMASTER PART # 5361K32 OR EQUIVALENT</t>
  </si>
  <si>
    <t>BARBED HOSE FITTING, Ø 1/2" ID X 1/2 NPT MALE, AIR AND WATER, 303/304 STAINLESS STEEL ADAPTER</t>
  </si>
  <si>
    <t>MCMASTER PART # 5361K42 OR EQUIVALENT</t>
  </si>
  <si>
    <t>Ø 1" ID, 1-3/8" OD SEMI-CLEAR SOFT PVC PLASTIC TUBING, 50FT LENGTH</t>
  </si>
  <si>
    <t>MCMASTER PART # 3602N93 OR EQUIVALENT</t>
  </si>
  <si>
    <t>Ø 1/4" ID, 3/8" OD, SEMI-CLEAR SOFT TYGON PVC TUBING, 50FT LENGTH</t>
  </si>
  <si>
    <t>MCMASTER PART # 5552K25 OR EQUIVALENT</t>
  </si>
  <si>
    <t>Ø 1/2" ID, 3/4" OD, SEMI-CLEAR SOFT TYGON PVC TUBING, 10FT LENGTH</t>
  </si>
  <si>
    <t>MCMASTER PART # 5552K42 OR EQUIVALENT</t>
  </si>
  <si>
    <t>Ø 5/16" O.D. TUBE FITTING, QUICK PUSH TO CONNECT, 1/8" NPT FITTING, 316 SS</t>
  </si>
  <si>
    <t>MCMASTER PART #7610N158 OR EQUIVALENT</t>
  </si>
  <si>
    <t>JMS MEGA-BEARING KEY LOCK</t>
  </si>
  <si>
    <t>ENSINGER P/N: 13223-C</t>
  </si>
  <si>
    <t>Ø2" NPT MALE TO EASY-FIT BARBED FOR 2" HOSING ADAPTER</t>
  </si>
  <si>
    <t>MCMASTER PART#: 5363K56</t>
  </si>
  <si>
    <t>Ø2" NPT STRAIGHT FEMALE COUPLING, THREADED BOTH ENDS, 304 SS</t>
  </si>
  <si>
    <t>MCMASTER PART #: 4464K359</t>
  </si>
  <si>
    <t>Ø 2" PVC 90° ELBOW, FEMALE</t>
  </si>
  <si>
    <t>MCMASTER PART#: 4880K26</t>
  </si>
  <si>
    <t>CLARION FOOD MACHINERY HT EP GREASE, MATERIAL CODE 655700009, 120LB</t>
  </si>
  <si>
    <t>CLARION MATERIAL CODE # 655700009 OR EQUIVALENT</t>
  </si>
  <si>
    <t>CLARION FOOD MACHINERY HT EP GREASE, MATERIAL CODE 655700009, 14oz</t>
  </si>
  <si>
    <t>2 NPT THREADED PIPE FITTING, PLUG WITH EXTERNAL HEX DRIVE, 316 SS</t>
  </si>
  <si>
    <t>MULTIRANGER 100/200 ULTRASONIC LEVEL CONTROLLER: CONTINUOUS, NON-CONTACT, 15 M (50 FT) RANGE. MONITORS LEVEL, VOLUME, INPUT VOLTAGE: 100 TO 230 VAC. PART#: 7ML5033-2AA10-2A.</t>
  </si>
  <si>
    <t>SIEMENS PART#: 7ML5033-2AA10-2A</t>
  </si>
  <si>
    <t>7P SHEAR PIN, Ø3/8" X 1 1/8" LG W/ Ø9/32" GROOVE</t>
  </si>
  <si>
    <t>MCMASTER P/N: 96985A270</t>
  </si>
  <si>
    <t>McMaster P/N or Equivalent: 96985A270</t>
  </si>
  <si>
    <t>8P SHEAR PIN, Ø3/8" X 1 1/8" LG W/ Ø5/16" GROOVE</t>
  </si>
  <si>
    <t>McMaster P/N or Equivalent: 96985A280</t>
  </si>
  <si>
    <t>SITRANS LT500 UNIVERSAL LEVEL CONTROLLER, 0 HYDRORANGER, 6 RELAYS (4 FORM A, 2 FORM C), 250 V AC-  MODEL 7ML6003-1BC00-1AA3</t>
  </si>
  <si>
    <t>SIEMENS PART#: 7ML6003-1BC00-1AA3</t>
  </si>
  <si>
    <t>Ø3/8"-16 NYLON-INSERT FLANGE LOCKNUT, 18-8 SS</t>
  </si>
  <si>
    <t>MCMASTER P/N: 94238A103</t>
  </si>
  <si>
    <t>440C STAINLESS STEEL Ø 0.625" ID X Ø 3/4" OD, 1" LONG, CORROSION-RESISTANT PRESS-FIT DRILL BUSHING</t>
  </si>
  <si>
    <t>MCMASTER PART # 4208A45 OR EQUIVALENT</t>
  </si>
  <si>
    <t>Ø 5/8" SCREW SIZE, 0.64" ID, 1.071" OD, 18-8 STAINLESS STEEL INTERNAL-TOOTH LOCK WASHER</t>
  </si>
  <si>
    <t>MCMASTER PART # 91757A128 OR EQUIVALENT</t>
  </si>
  <si>
    <t>Ø2 1/2" TYPE E FLANGED ROLLER BEARING</t>
  </si>
  <si>
    <t>MOLINE P/N: 19311208</t>
  </si>
  <si>
    <t>ULTRASONIC MEASUREMENT TIME-OF-FLIGHT PROSONIC- RIA15</t>
  </si>
  <si>
    <t>ENDRESS HAUSER PART#:  RIA15</t>
  </si>
  <si>
    <t>SOLIDS LEVEL RADAR SENSOR, OUTPUT; OPERATION: 2-WIRE; 4-20MA, MEASURING RANGE: 40MM/1-1/2"; 15M LIQUID, HREAD ASME MNPT1- PART#: FMR20</t>
  </si>
  <si>
    <t>ENDRESS HAUSER PART#: FMR20-CAPBMVCEVEE1</t>
  </si>
  <si>
    <t>440C STAINLESS STEEL Ø 0.625" ID X Ø 7/8" OD, 3/4" LONG, CORROSION-RESISTANT PRESS-FIT DRILL BUSHING</t>
  </si>
  <si>
    <t>MCMASTER PART # 4208A47 OR EQUIVALENT</t>
  </si>
  <si>
    <t>SPRING PIN, Ø1/8" X 7/8" LONG, SLOTTED, 316 STAINLESS STEEL</t>
  </si>
  <si>
    <t>MCMASTER PART # 90209A129 OR EQIVALENT</t>
  </si>
  <si>
    <t>Ø 5/8" OD PUSH ON EXTERNAL RETAINING RING, 15-7 PH STAINLESS STEEL</t>
  </si>
  <si>
    <t>MCMASTER PART # 97622A130 OR EQUIVALENT</t>
  </si>
  <si>
    <t>VIRGIN GRAY UHMW TRIP LEVER ONLY, 3/4" X 2 1/4 LG</t>
  </si>
  <si>
    <t>BREWTON: W-5271LG</t>
  </si>
  <si>
    <t>SEW GEAR OIL, SYNTH220E1-5L</t>
  </si>
  <si>
    <t>SEW PART # 3042537 OR EQUIVALENT (5 LITERS)</t>
  </si>
  <si>
    <t>SEW GEAR OIL, SYNTH220E1-1L</t>
  </si>
  <si>
    <t>SEW PART # 3044270 OR EQUIVALENT (1 LITER)</t>
  </si>
  <si>
    <t>SEW GEAR OIL, SYNTH220E1-20L</t>
  </si>
  <si>
    <t>SEW PART # 3042405 OR EQUIVALENT (20 LITERS)</t>
  </si>
  <si>
    <t>DESTACO SERIES 325-SS SQUEEZE ACTION CLAMPS</t>
  </si>
  <si>
    <t>GRAINGER PART # 3CXR3 OR EQUIVALENT</t>
  </si>
  <si>
    <t>SPROCKET TEETH, HB78 T14, FOR COMPACT SHEAR PIN ASSEMBLY</t>
  </si>
  <si>
    <t>REFERENCE BREWTON DRAWING W-5271</t>
  </si>
  <si>
    <t>Ø 5/16-18 18-8 STAINLESS STEEL SHOULDER SCREW, 3/8" SHOULDER DIAMETER, 3/4" SHOULDER LENGTH, TRIP SCREW</t>
  </si>
  <si>
    <t>MCMASTER PART # 90298A622 OR EQUIVALENT</t>
  </si>
  <si>
    <t>ROLLER, EXALON/DBT , Ø5" X 36" BW, MOXIE TROUGHING ROLLER, SEALED FOR LIFE, SS SHAFTS</t>
  </si>
  <si>
    <t>EXALON, DBT ROLLER_x000D_
ATLANTIC P/N: C5-360400-MOXIE-SS_x000D_
SUPERIOR P/N: 99-006292</t>
  </si>
  <si>
    <t>ROLLER, EXALON/DBT , Ø5" X 36" BW, MOXIE RETURN ROLLER, SEALED FOR LIFE, SS SHAFTS</t>
  </si>
  <si>
    <t>EXALON, DBT ROLLER_x000D_
ATLANTIC P/N: C5-360401-MOXIE-SS_x000D_
SUPERIOR P/N:</t>
  </si>
  <si>
    <t>EXTERNAL RETAINING RING 1" OD, 15-7 PH STAINLESS STEEL</t>
  </si>
  <si>
    <t>MCMASTER 91590A133</t>
  </si>
  <si>
    <t>HANGER BEARING, STYLE 226, 2″ SHAFT SIZE, HARD IRON</t>
  </si>
  <si>
    <t>SCP P/N: 9105104</t>
  </si>
  <si>
    <t>HANGER, U-TROUGH, STYLE 226, 9″ DIAMETER, 2″ SHAFT SIZE, STAINLESS STEEL</t>
  </si>
  <si>
    <t>SCP P/N: 9104169</t>
  </si>
  <si>
    <t>ROLLER, EXALON/DBT , Ø5" X 24" BW X 20 DEG, MOXIE TROUGHING ROLLER, SEALED FOR LIFE, SS SHAFTS</t>
  </si>
  <si>
    <t>EXALON, DBT ROLLER_x000D_ATLANTIC P/N: C5-240400-MOXIE-SS</t>
  </si>
  <si>
    <t>ROLLER, EXALON/DBT , Ø5" X 24" BW, MOXIE RETURN ROLLER, SEALED FOR LIFE, SS SHAFTS</t>
  </si>
  <si>
    <t>EXALON, DBT ROLLER_x000D_ATLANTIC P/N: C5-240401-MOXIE-SS</t>
  </si>
  <si>
    <t>MARTIN #: CMES1226X25 OR EQUIVALENT</t>
  </si>
  <si>
    <t>1" NPT PIPE NIPPLE BOTH ENDS THREADED, SHC 40, 22" LONG, 316/316L SS</t>
  </si>
  <si>
    <t>MCMASTER P/N: 4816K214 OR EQUIVALENT</t>
  </si>
  <si>
    <t>PIANO HINGE, W/ HOLES 1 1/2" X 48", 316 SS</t>
  </si>
  <si>
    <t>MCMASTER PART#: 1605A76 OR EQUIVALENT</t>
  </si>
  <si>
    <t>U-BOLT, 1/2-13 THREAD, 4-9/16" ID, 304 SS</t>
  </si>
  <si>
    <t>MCMASTER PART# 8889T49 OR EQUIVALENT</t>
  </si>
  <si>
    <t>ULTRASONIC LEVEL TRANSDUSER CONTINUOUS, ECHO MAX XPS-15, NON-CONTACT, 15M RANGE, 1”NPT, 10MM CABLE LENGTH, ATEX II2GD EX MB IIC T4 GB.</t>
  </si>
  <si>
    <t>SIEMENS PART#:7ML1118-0CA30</t>
  </si>
  <si>
    <t>MULTIPURPOSE NEOPRENE FOAM SHEET, 1/2" THICK, 36" X 36" ( SPECS MET: ASTM D1056 2C1, ASTM D6576, FMVSS NO. 302, UL 94 HF-1</t>
  </si>
  <si>
    <t>MCMASTER PART # 1601N233 OR EQUIVALENT</t>
  </si>
  <si>
    <t>SPROCKET TEETH, T14, FOR NM82 HUB, 6 3/4" BORE, 3.075 PITCH 1.219" RD, UHMW-PE</t>
  </si>
  <si>
    <t>CAN USE REFERENCE BREWTON DRAWING W-5693,CAD DATA FOR VISUAL ONLY, DIMENSIONALLY ACCURATE</t>
  </si>
  <si>
    <t>3/4 NPT THREADED PIPE CAP, 316 SS, MEDIUM PRESSURE</t>
  </si>
  <si>
    <t>MCMASTER PART # 4452K455 OR EQUIVALENT</t>
  </si>
  <si>
    <t>1/4 HP PARALLEL HELICAL GEARMOTOR, 0.90 RPM OUTPUT, 1884:1 RATIO, 3PH/60Hz/230-460V, M1 MTG. POS., CLASS "F" INSUL., 120V THERMOSTAT, EI7C ENCODER 24 PPR, OS4 SURFACE PROTECTION, DRAINS, ADD 1/8" DRAIN ADAPTERS &amp; 115V STRIP HEATER PER ASSEMBLY SPEC. 77251xx17</t>
  </si>
  <si>
    <t>SEW P/N: FA67BR37DRN63M4/TF/EI7C/DH, PER QUOTE: 0423622527</t>
  </si>
  <si>
    <t>1/4 HP AC MOTOR, 60Hz/230-460V, M1 MTG. POS., TEMPERATURE SENSOR, EI7C ENCODER 24 PPR, OS4 SURFACE PROTECTION, DRAINS, ADD 1/8" DRAIN ADAPTERS &amp; 115V STRIP HEATER PER ASSEMBLY SPEC. 77251xx17</t>
  </si>
  <si>
    <t>SEW P/N: DRN63M4/FG/TF/EI7C/DH, PER QUOTE: 0423622527</t>
  </si>
  <si>
    <t>ENCODER CABLE, FEMALE STRAIGHT, M12, 8-POLE. SHIELDED WITH CABLE SLEEVES, 30M LONG</t>
  </si>
  <si>
    <t>MURR ELEKTRONIK P/N: 7000-17121-2913000</t>
  </si>
  <si>
    <t>PROXIMITY SENSOR CABLE, WK4.4T-30, 30 METER CORD W/ M12 EUROFAST CONNECTOR</t>
  </si>
  <si>
    <t>TURCK P/N: S771</t>
  </si>
  <si>
    <t>SEW VENT VALVE, W4086, S-M10X1-NIRO-HEI</t>
  </si>
  <si>
    <t>SEW P/N: 136239_x000D_W4086 S-M10X1-NIRO-HEI</t>
  </si>
  <si>
    <t>LINK SEAL P/N: LS-475-S</t>
  </si>
  <si>
    <t>SEW, 173649, OIL SEAL W B1SF55X84X8/11,5-FKM</t>
  </si>
  <si>
    <t>SEW, 177644, OIL SEAL W BASF55X90X10-NBR</t>
  </si>
  <si>
    <t>1/4 HP AC MOTOR, 60Hz/230-460V, M1 MTG. POS., 120V THERMOSTAT, EI7C ENCODER 24 PPR, OS4</t>
  </si>
  <si>
    <t>SEW P/N: DRN63M4/FG/TH/EI7C/DH, PER QUOTE 423665844</t>
  </si>
  <si>
    <t>PARALLEL SHAFT HELICAL GEAR UNIT, 1884:1 RATIO, M1 MTG. POS.</t>
  </si>
  <si>
    <t>SEW P/N: FA67BR37/A, PER QUOTE 423665844</t>
  </si>
  <si>
    <t>SPROCKET, NM78-C-36T PR20, Ø4" BORE, SPLIT C.I. HUB, W/ UHMW-PE SEGMENTAL TEETH</t>
  </si>
  <si>
    <t>BREWTON P/N: PR-250, W-6212 (ENITRE SPROCKET, COMPLETE)</t>
  </si>
  <si>
    <t>1/4"-20 U-BOLT, Ø1 1/2" ID, 304 SS</t>
  </si>
  <si>
    <t>MCMASTER P/N OR EQUIVALENT: 8896T105</t>
  </si>
  <si>
    <t>Ø1 1/2" TWO-PIECE SHAFT COLLAR, WHITE ACETAL PLASTIC</t>
  </si>
  <si>
    <t>MCMASTER P/N OR EQUIVALENT: 9708T24</t>
  </si>
  <si>
    <t>CLEVIS PIN, Ø3/4" X 2 7/8" LG, 316SS- WITH COTTER PIN</t>
  </si>
  <si>
    <t>MCMASTER PART#: 92401A755 OR EQUIVALENT</t>
  </si>
  <si>
    <t>CHAIN INSTALL TOOL, HB78</t>
  </si>
  <si>
    <t>MAXCO CHAIN LTD</t>
  </si>
  <si>
    <t>MAXCO_x000D_
UNIVERSAL BENDTING TOOL FOR HB78, SAV709 AND SAV715</t>
  </si>
  <si>
    <t>BEARING, KB208 Ø2-7/16" BORE, W/ UHMW LINER, SS HRDW, POTAPOX PAINT</t>
  </si>
  <si>
    <t>BREWTON KB208 BEARING 2-7/16 BORE W/ UHMW LINER</t>
  </si>
  <si>
    <t>SPROCKET, DOUBLE STRAND 120 1.5" PITCH, B TYPE HUB 15 TEETH, 3-5/8" BORE</t>
  </si>
  <si>
    <t>ATLANTIC PN: D120B15F3-5/8</t>
  </si>
  <si>
    <t>SPROCKET, DOUBLE STRAND 120 1.5" PITCH, C TYPE HUB 45 TEETH, BORE 3-7/16"</t>
  </si>
  <si>
    <t>ATLANTIC PN: D120C45F3-7/16</t>
  </si>
  <si>
    <t>CHAIN, DOUBLE STRAND, 120 CHAIN 1-1/2" PITCH, NICKLE PLATED, 10FT SECTION</t>
  </si>
  <si>
    <t>ATLANTIC PN: 120-2NP</t>
  </si>
  <si>
    <t>CHAIN CONNECTING LINK, 120-2 CHAIN, NICKLE PLATED</t>
  </si>
  <si>
    <t>ATLANTIC PN: 120-2NP C/L</t>
  </si>
  <si>
    <t>SPROCKET, 15 TOOTH W/ HARDEND TEETH, SIZE 80 1" PITCH, B TYPE HUB</t>
  </si>
  <si>
    <t>ATLANTIC PN: H80B15F2-1/8</t>
  </si>
  <si>
    <t>SPROCKET, QD, 15 TOOTH SIZE 80 1-1/2" PITCH, SINGLE STRAND, SF TAPER BUSHING</t>
  </si>
  <si>
    <t>ATLANTIC PN: 80SF40</t>
  </si>
  <si>
    <t>QD BUSHING, 2-7/16" BORE</t>
  </si>
  <si>
    <t>ATLANTIC PN: SF2-7/16</t>
  </si>
  <si>
    <t>ROLLER CHAIN, SIZE 80 1" PITCH, RIVETED, NICKLE PLATED, 10FT SECTION</t>
  </si>
  <si>
    <t>ATLANTIC PN: 80RNP</t>
  </si>
  <si>
    <t>CHAIN CONNECTING LINK, 80NP</t>
  </si>
  <si>
    <t>ATLANTIC PN: 80NP C/L</t>
  </si>
  <si>
    <t>FLANGE ROLLER BEARING, Ø3 7/16" BORE,4 BOLT TYPE FLANGE, STANDARD DUTY, CAST IRON</t>
  </si>
  <si>
    <t>LINK-BELT P/N: F3-U255N</t>
  </si>
  <si>
    <t>SEW OIL SEAL W/B1SF55X84X8-11.5-FKM</t>
  </si>
  <si>
    <t>SEW P/N: 173649_x000D_W/B1SF55X84X8-11.5-FKM</t>
  </si>
  <si>
    <t>SEW OIL SEAL,  W BASF55X90X10-NBR</t>
  </si>
  <si>
    <t>SEW P/N: 177644_x000D_W BASF55X90X10-NBR</t>
  </si>
  <si>
    <t>SEW VENT VALVE, W4086, RS57, S-M10X1-NIRO-HEI</t>
  </si>
  <si>
    <t>SEW P/N: 136239</t>
  </si>
  <si>
    <t>COMPRESSION SPRING, .75"OD X 0.54"ID X 2.5"LG 302 SS</t>
  </si>
  <si>
    <t>MCMASTER#:1986K137</t>
  </si>
  <si>
    <t>60 DUROMETER IS STANDARD FOR SUPERIOR</t>
  </si>
  <si>
    <t>CAROLINA FASTENER &amp; FITTING</t>
  </si>
  <si>
    <t>PHOENIX METALS COMPANY</t>
  </si>
  <si>
    <t>MCMASTER-CARR SUPPLY CO</t>
  </si>
  <si>
    <t>JOSEPH T RYERSON &amp; SON INC</t>
  </si>
  <si>
    <t>CAROLINA SPECIALTY METALS</t>
  </si>
  <si>
    <t>BAR FLAT 1 1/2" X 1/2" T-316L SS PER A276 MILL FINISH</t>
  </si>
  <si>
    <t>BAR FLAT 1 1/2" X 1/2" T-304L SS PER A276 MILL FINISH</t>
  </si>
  <si>
    <t>FASTENAL COMPANY</t>
  </si>
  <si>
    <t>BAR RD Ø1 15/16" OD 17-4PH PER A693 MILL FINISH</t>
  </si>
  <si>
    <t>BAR RD Ø3/8" OD 1215 CARBON STEEL PER ASTM A108</t>
  </si>
  <si>
    <t>MCMASTER P/N: 4416T94_x000D_AVAILABLE IN 36", 48", 72" OR 96" LENGTHS_x000D_DIAMETER TOLERANCE -0.002 TO 0"</t>
  </si>
  <si>
    <t>PIPE Ø5" NOM X .500" SCH 120 T-304L SS PER A312 MILL FINISH</t>
  </si>
  <si>
    <t>MARMON KEYSTONE LLC</t>
  </si>
  <si>
    <t>CHATHAM STEEL CORPORATION</t>
  </si>
  <si>
    <t>THREADLINE PRODUCTS</t>
  </si>
  <si>
    <t>BAR SQ 2 1/2" 6061-T6 ALUMINUM PER B221 MILL FINISH</t>
  </si>
  <si>
    <t>PIEDMONT PLASTICS INC</t>
  </si>
  <si>
    <t>CATAWBA INDUSTRIAL RUBBER</t>
  </si>
  <si>
    <t>ALL STATE BELTING LLC</t>
  </si>
  <si>
    <t>HARRINGTON INDUST PLASTICS</t>
  </si>
  <si>
    <t>PIPE 1/2" NOM X .109" WALL SCH 40 DARK GRAY PVC PER D1784 MILL FINISH</t>
  </si>
  <si>
    <t>ThicknessIn</t>
  </si>
  <si>
    <t>ThicknessGauge</t>
  </si>
  <si>
    <t>FinalPrice</t>
  </si>
  <si>
    <t>QuoteDate</t>
  </si>
  <si>
    <t>Phoenix Metals</t>
  </si>
  <si>
    <t>Merged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</si>
</sst>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9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0.0000"/>
    <numFmt numFmtId="167" formatCode="0_);\(0\)"/>
    <numFmt numFmtId="168" formatCode="0\-\i\n"/>
    <numFmt numFmtId="169" formatCode="0.00_);\(0.00\)"/>
    <numFmt numFmtId="170" formatCode="&quot;$&quot;#,##0"/>
    <numFmt numFmtId="171" formatCode="000\-\h\r\s"/>
    <numFmt numFmtId="172" formatCode="&quot;$&quot;#,##0.00"/>
    <numFmt numFmtId="173" formatCode="#,000\-\h\r\s"/>
    <numFmt numFmtId="174" formatCode="00\-\h\r\s"/>
    <numFmt numFmtId="175" formatCode="#,##0\-\l\b\s"/>
    <numFmt numFmtId="176" formatCode="0\-\h\r\s"/>
    <numFmt numFmtId="177" formatCode="0.0_);\(0.0\)"/>
    <numFmt numFmtId="178" formatCode="0\ &quot;''&quot;"/>
    <numFmt numFmtId="179" formatCode="0.000\ &quot;''&quot;"/>
    <numFmt numFmtId="180" formatCode="0.0000\ &quot;''&quot;"/>
    <numFmt numFmtId="181" formatCode="#,##0.00\-\l\b\s&quot;&quot;"/>
    <numFmt numFmtId="182" formatCode="#,##0.000&quot;-mm&quot;"/>
    <numFmt numFmtId="183" formatCode="0.0000\-\i\n"/>
    <numFmt numFmtId="184" formatCode="#,##0&quot;-Ga&quot;"/>
    <numFmt numFmtId="185" formatCode="@\ &quot;in&quot;"/>
    <numFmt numFmtId="186" formatCode="@&quot;-in&quot;"/>
    <numFmt numFmtId="187" formatCode="#,##0.00\ &quot;hrs&quot;"/>
    <numFmt numFmtId="188" formatCode="&quot;$&quot;#,##0.00\-\l\b\s&quot;&quot;"/>
    <numFmt numFmtId="189" formatCode="&quot;$&quot;#,##0.00\-\f\t"/>
    <numFmt numFmtId="190" formatCode="&quot;$&quot;#,##0.00\-\E\A&quot;&quot;"/>
    <numFmt numFmtId="191" formatCode="&quot;$&quot;#,##0.00\-\f\t\²"/>
    <numFmt numFmtId="192" formatCode="#?/?"/>
    <numFmt numFmtId="193" formatCode="0,000\-\h\r\s"/>
    <numFmt numFmtId="194" formatCode="mm/dd/yy;@"/>
    <numFmt numFmtId="195" formatCode="_(&quot;$&quot;* #,##0_);_(&quot;$&quot;* \(#,##0\);_(&quot;$&quot;* &quot;-&quot;??_);_(@_)"/>
    <numFmt numFmtId="196" formatCode="0.0%"/>
    <numFmt numFmtId="197" formatCode="0.000000"/>
  </numFmts>
  <fonts count="6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2"/>
      <name val="Arial MT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10"/>
      <color theme="1"/>
      <name val="Calibri"/>
      <family val="2"/>
    </font>
    <font>
      <sz val="10"/>
      <color rgb="FF0070C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9"/>
      <color indexed="8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theme="0"/>
      <name val="Calibri"/>
      <family val="2"/>
      <scheme val="minor"/>
    </font>
    <font>
      <u/>
      <sz val="10"/>
      <color theme="10"/>
      <name val="Arial"/>
      <family val="2"/>
    </font>
    <font>
      <b/>
      <u/>
      <sz val="10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MS Sans Serif"/>
    </font>
    <font>
      <sz val="10"/>
      <name val="MS Sans Serif"/>
      <family val="2"/>
    </font>
    <font>
      <b/>
      <sz val="11"/>
      <color rgb="FFFF0000"/>
      <name val="Calibri"/>
      <family val="2"/>
      <scheme val="minor"/>
    </font>
    <font>
      <sz val="9"/>
      <color indexed="81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8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D6AF4"/>
        <bgColor indexed="64"/>
      </patternFill>
    </fill>
    <fill>
      <patternFill patternType="solid">
        <fgColor rgb="FFE2B2DF"/>
        <bgColor indexed="64"/>
      </patternFill>
    </fill>
    <fill>
      <patternFill patternType="solid">
        <fgColor rgb="FFEAA3F1"/>
        <bgColor indexed="64"/>
      </patternFill>
    </fill>
    <fill>
      <patternFill patternType="solid">
        <fgColor rgb="FF0371B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06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99CCFF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30">
    <xf numFmtId="0" fontId="0" fillId="0" borderId="0"/>
    <xf numFmtId="0" fontId="9" fillId="0" borderId="0"/>
    <xf numFmtId="0" fontId="15" fillId="0" borderId="0"/>
    <xf numFmtId="0" fontId="16" fillId="6" borderId="36" applyNumberFormat="0" applyAlignment="0" applyProtection="0"/>
    <xf numFmtId="0" fontId="17" fillId="7" borderId="37" applyNumberFormat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8" borderId="38" applyNumberFormat="0" applyFont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9" fontId="39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4" fontId="44" fillId="0" borderId="0" applyFont="0" applyFill="0" applyBorder="0" applyAlignment="0" applyProtection="0"/>
    <xf numFmtId="0" fontId="9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49" fillId="0" borderId="0"/>
    <xf numFmtId="0" fontId="50" fillId="0" borderId="0"/>
    <xf numFmtId="0" fontId="5" fillId="0" borderId="0"/>
    <xf numFmtId="0" fontId="54" fillId="59" borderId="0" applyNumberFormat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</cellStyleXfs>
  <cellXfs count="1764">
    <xf numFmtId="0" fontId="0" fillId="0" borderId="0" xfId="0"/>
    <xf numFmtId="0" fontId="9" fillId="0" borderId="0" xfId="1"/>
    <xf numFmtId="0" fontId="9" fillId="0" borderId="0" xfId="0" applyFont="1"/>
    <xf numFmtId="0" fontId="8" fillId="0" borderId="0" xfId="0" applyFont="1"/>
    <xf numFmtId="0" fontId="0" fillId="0" borderId="11" xfId="0" applyBorder="1"/>
    <xf numFmtId="1" fontId="11" fillId="0" borderId="0" xfId="0" applyNumberFormat="1" applyFont="1"/>
    <xf numFmtId="0" fontId="0" fillId="0" borderId="0" xfId="0" applyAlignment="1">
      <alignment horizontal="center"/>
    </xf>
    <xf numFmtId="0" fontId="20" fillId="11" borderId="0" xfId="1" applyFont="1" applyFill="1" applyAlignment="1">
      <alignment horizontal="right" vertical="center"/>
    </xf>
    <xf numFmtId="0" fontId="21" fillId="12" borderId="3" xfId="3" applyNumberFormat="1" applyFont="1" applyFill="1" applyBorder="1" applyAlignment="1" applyProtection="1">
      <alignment horizontal="center" vertical="center"/>
      <protection locked="0"/>
    </xf>
    <xf numFmtId="0" fontId="20" fillId="0" borderId="4" xfId="1" applyFont="1" applyBorder="1" applyAlignment="1">
      <alignment vertical="center"/>
    </xf>
    <xf numFmtId="0" fontId="20" fillId="11" borderId="0" xfId="1" applyFont="1" applyFill="1" applyAlignment="1">
      <alignment vertical="center"/>
    </xf>
    <xf numFmtId="0" fontId="23" fillId="0" borderId="0" xfId="3" applyFont="1" applyFill="1" applyBorder="1" applyAlignment="1" applyProtection="1">
      <alignment horizontal="center" vertical="center"/>
      <protection locked="0"/>
    </xf>
    <xf numFmtId="0" fontId="20" fillId="11" borderId="5" xfId="1" applyFont="1" applyFill="1" applyBorder="1" applyAlignment="1">
      <alignment vertical="center"/>
    </xf>
    <xf numFmtId="0" fontId="20" fillId="11" borderId="1" xfId="1" applyFont="1" applyFill="1" applyBorder="1" applyAlignment="1">
      <alignment vertical="center"/>
    </xf>
    <xf numFmtId="0" fontId="20" fillId="11" borderId="1" xfId="1" applyFont="1" applyFill="1" applyBorder="1" applyAlignment="1">
      <alignment horizontal="right" vertical="center"/>
    </xf>
    <xf numFmtId="167" fontId="21" fillId="0" borderId="1" xfId="3" applyNumberFormat="1" applyFont="1" applyFill="1" applyBorder="1" applyAlignment="1" applyProtection="1">
      <alignment horizontal="center" vertical="center"/>
      <protection locked="0"/>
    </xf>
    <xf numFmtId="0" fontId="23" fillId="0" borderId="1" xfId="3" applyFont="1" applyFill="1" applyBorder="1" applyAlignment="1" applyProtection="1">
      <alignment horizontal="center" vertical="center"/>
      <protection locked="0"/>
    </xf>
    <xf numFmtId="0" fontId="21" fillId="11" borderId="3" xfId="3" applyNumberFormat="1" applyFont="1" applyFill="1" applyBorder="1" applyAlignment="1" applyProtection="1">
      <alignment horizontal="center" vertical="center"/>
      <protection locked="0"/>
    </xf>
    <xf numFmtId="0" fontId="23" fillId="11" borderId="1" xfId="3" applyFont="1" applyFill="1" applyBorder="1" applyAlignment="1" applyProtection="1">
      <alignment horizontal="center" vertical="center"/>
      <protection locked="0"/>
    </xf>
    <xf numFmtId="1" fontId="21" fillId="11" borderId="1" xfId="3" applyNumberFormat="1" applyFont="1" applyFill="1" applyBorder="1" applyAlignment="1" applyProtection="1">
      <alignment horizontal="center" vertical="center"/>
      <protection locked="0"/>
    </xf>
    <xf numFmtId="170" fontId="21" fillId="11" borderId="6" xfId="3" applyNumberFormat="1" applyFont="1" applyFill="1" applyBorder="1" applyAlignment="1" applyProtection="1">
      <alignment horizontal="center" vertical="center"/>
      <protection locked="0"/>
    </xf>
    <xf numFmtId="0" fontId="19" fillId="0" borderId="0" xfId="1" applyFont="1" applyAlignment="1">
      <alignment horizontal="center" vertical="center"/>
    </xf>
    <xf numFmtId="0" fontId="24" fillId="11" borderId="7" xfId="5" applyFont="1" applyFill="1" applyBorder="1" applyAlignment="1" applyProtection="1">
      <alignment horizontal="center" vertical="center"/>
      <protection locked="0"/>
    </xf>
    <xf numFmtId="0" fontId="24" fillId="11" borderId="8" xfId="5" applyFont="1" applyFill="1" applyBorder="1" applyAlignment="1" applyProtection="1">
      <alignment vertical="center"/>
      <protection locked="0"/>
    </xf>
    <xf numFmtId="0" fontId="24" fillId="11" borderId="8" xfId="5" applyFont="1" applyFill="1" applyBorder="1" applyAlignment="1" applyProtection="1">
      <alignment horizontal="center" vertical="center"/>
      <protection locked="0"/>
    </xf>
    <xf numFmtId="0" fontId="25" fillId="11" borderId="8" xfId="5" applyFont="1" applyFill="1" applyBorder="1" applyAlignment="1" applyProtection="1">
      <alignment horizontal="center" vertical="center"/>
      <protection locked="0"/>
    </xf>
    <xf numFmtId="0" fontId="18" fillId="11" borderId="0" xfId="1" applyFont="1" applyFill="1" applyAlignment="1" applyProtection="1">
      <alignment horizontal="center" vertical="center"/>
      <protection locked="0"/>
    </xf>
    <xf numFmtId="0" fontId="9" fillId="0" borderId="3" xfId="1" applyBorder="1"/>
    <xf numFmtId="175" fontId="20" fillId="11" borderId="0" xfId="4" applyNumberFormat="1" applyFont="1" applyFill="1" applyBorder="1" applyAlignment="1" applyProtection="1">
      <alignment horizontal="center" vertical="center"/>
      <protection locked="0"/>
    </xf>
    <xf numFmtId="172" fontId="23" fillId="11" borderId="0" xfId="7" applyNumberFormat="1" applyFont="1" applyFill="1" applyBorder="1" applyAlignment="1" applyProtection="1">
      <alignment horizontal="center" vertical="center"/>
      <protection locked="0"/>
    </xf>
    <xf numFmtId="0" fontId="20" fillId="11" borderId="0" xfId="1" applyFont="1" applyFill="1" applyAlignment="1" applyProtection="1">
      <alignment horizontal="center" vertical="center"/>
      <protection locked="0"/>
    </xf>
    <xf numFmtId="0" fontId="21" fillId="12" borderId="0" xfId="1" applyFont="1" applyFill="1" applyAlignment="1" applyProtection="1">
      <alignment horizontal="center" vertical="center"/>
      <protection locked="0"/>
    </xf>
    <xf numFmtId="0" fontId="21" fillId="12" borderId="0" xfId="9" applyNumberFormat="1" applyFont="1" applyFill="1" applyBorder="1" applyAlignment="1" applyProtection="1">
      <alignment horizontal="center" vertical="center"/>
      <protection locked="0"/>
    </xf>
    <xf numFmtId="5" fontId="21" fillId="12" borderId="0" xfId="9" applyNumberFormat="1" applyFont="1" applyFill="1" applyBorder="1" applyAlignment="1" applyProtection="1">
      <alignment horizontal="center" vertical="center"/>
      <protection locked="0"/>
    </xf>
    <xf numFmtId="170" fontId="21" fillId="12" borderId="0" xfId="1" applyNumberFormat="1" applyFont="1" applyFill="1" applyAlignment="1" applyProtection="1">
      <alignment horizontal="center" vertical="center"/>
      <protection locked="0"/>
    </xf>
    <xf numFmtId="0" fontId="9" fillId="11" borderId="5" xfId="1" applyFill="1" applyBorder="1" applyAlignment="1" applyProtection="1">
      <alignment vertical="center"/>
      <protection locked="0"/>
    </xf>
    <xf numFmtId="0" fontId="9" fillId="11" borderId="1" xfId="1" applyFill="1" applyBorder="1" applyAlignment="1" applyProtection="1">
      <alignment vertical="center"/>
      <protection locked="0"/>
    </xf>
    <xf numFmtId="170" fontId="9" fillId="11" borderId="1" xfId="1" applyNumberFormat="1" applyFill="1" applyBorder="1" applyAlignment="1" applyProtection="1">
      <alignment horizontal="center" vertical="center"/>
      <protection locked="0"/>
    </xf>
    <xf numFmtId="0" fontId="9" fillId="0" borderId="0" xfId="1" applyAlignment="1">
      <alignment horizontal="center"/>
    </xf>
    <xf numFmtId="0" fontId="20" fillId="11" borderId="4" xfId="1" applyFont="1" applyFill="1" applyBorder="1" applyAlignment="1">
      <alignment vertical="center"/>
    </xf>
    <xf numFmtId="167" fontId="21" fillId="0" borderId="0" xfId="3" applyNumberFormat="1" applyFont="1" applyFill="1" applyBorder="1" applyAlignment="1" applyProtection="1">
      <alignment horizontal="center" vertical="center"/>
      <protection locked="0"/>
    </xf>
    <xf numFmtId="1" fontId="21" fillId="0" borderId="1" xfId="3" applyNumberFormat="1" applyFont="1" applyFill="1" applyBorder="1" applyAlignment="1" applyProtection="1">
      <alignment horizontal="center" vertical="center"/>
      <protection locked="0"/>
    </xf>
    <xf numFmtId="178" fontId="9" fillId="0" borderId="0" xfId="1" applyNumberFormat="1" applyAlignment="1">
      <alignment horizontal="center"/>
    </xf>
    <xf numFmtId="178" fontId="21" fillId="0" borderId="0" xfId="3" applyNumberFormat="1" applyFont="1" applyFill="1" applyBorder="1" applyAlignment="1" applyProtection="1">
      <alignment horizontal="center" vertical="center"/>
      <protection locked="0"/>
    </xf>
    <xf numFmtId="179" fontId="21" fillId="0" borderId="0" xfId="3" applyNumberFormat="1" applyFont="1" applyFill="1" applyBorder="1" applyAlignment="1" applyProtection="1">
      <alignment horizontal="center" vertical="center"/>
      <protection locked="0"/>
    </xf>
    <xf numFmtId="180" fontId="21" fillId="0" borderId="0" xfId="3" applyNumberFormat="1" applyFont="1" applyFill="1" applyBorder="1" applyAlignment="1" applyProtection="1">
      <alignment horizontal="center" vertical="center"/>
    </xf>
    <xf numFmtId="0" fontId="21" fillId="0" borderId="0" xfId="3" applyNumberFormat="1" applyFont="1" applyFill="1" applyBorder="1" applyAlignment="1" applyProtection="1">
      <alignment horizontal="center" vertical="center"/>
      <protection locked="0"/>
    </xf>
    <xf numFmtId="170" fontId="21" fillId="0" borderId="0" xfId="3" applyNumberFormat="1" applyFont="1" applyFill="1" applyBorder="1" applyAlignment="1" applyProtection="1">
      <alignment horizontal="center" vertical="center"/>
      <protection locked="0"/>
    </xf>
    <xf numFmtId="168" fontId="21" fillId="0" borderId="0" xfId="3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Alignment="1" applyProtection="1">
      <alignment horizontal="center" vertical="center"/>
      <protection locked="0"/>
    </xf>
    <xf numFmtId="10" fontId="26" fillId="0" borderId="0" xfId="6" applyNumberFormat="1" applyFont="1" applyFill="1" applyBorder="1" applyAlignment="1" applyProtection="1">
      <alignment horizontal="center" vertical="center"/>
      <protection locked="0"/>
    </xf>
    <xf numFmtId="0" fontId="20" fillId="11" borderId="1" xfId="1" applyFont="1" applyFill="1" applyBorder="1" applyAlignment="1">
      <alignment horizontal="center" vertical="center"/>
    </xf>
    <xf numFmtId="0" fontId="19" fillId="10" borderId="39" xfId="1" applyFont="1" applyFill="1" applyBorder="1" applyAlignment="1">
      <alignment horizontal="center" vertical="center"/>
    </xf>
    <xf numFmtId="0" fontId="20" fillId="11" borderId="1" xfId="1" applyFont="1" applyFill="1" applyBorder="1" applyAlignment="1">
      <alignment horizontal="left" vertical="center"/>
    </xf>
    <xf numFmtId="0" fontId="21" fillId="12" borderId="0" xfId="3" applyNumberFormat="1" applyFont="1" applyFill="1" applyBorder="1" applyAlignment="1" applyProtection="1">
      <alignment horizontal="center" vertical="center"/>
      <protection locked="0"/>
    </xf>
    <xf numFmtId="0" fontId="33" fillId="11" borderId="0" xfId="10" applyFont="1" applyFill="1" applyAlignment="1">
      <alignment horizontal="center" vertical="center"/>
    </xf>
    <xf numFmtId="0" fontId="7" fillId="0" borderId="0" xfId="10"/>
    <xf numFmtId="0" fontId="34" fillId="16" borderId="11" xfId="10" applyFont="1" applyFill="1" applyBorder="1" applyAlignment="1">
      <alignment horizontal="left" vertical="center"/>
    </xf>
    <xf numFmtId="0" fontId="26" fillId="11" borderId="11" xfId="10" applyFont="1" applyFill="1" applyBorder="1" applyAlignment="1">
      <alignment horizontal="center" vertical="center"/>
    </xf>
    <xf numFmtId="49" fontId="26" fillId="11" borderId="11" xfId="10" applyNumberFormat="1" applyFont="1" applyFill="1" applyBorder="1" applyAlignment="1">
      <alignment horizontal="center" vertical="center"/>
    </xf>
    <xf numFmtId="183" fontId="26" fillId="11" borderId="11" xfId="10" applyNumberFormat="1" applyFont="1" applyFill="1" applyBorder="1" applyAlignment="1">
      <alignment horizontal="center" vertical="center" wrapText="1"/>
    </xf>
    <xf numFmtId="184" fontId="26" fillId="11" borderId="11" xfId="10" applyNumberFormat="1" applyFont="1" applyFill="1" applyBorder="1" applyAlignment="1">
      <alignment horizontal="center" vertical="center" wrapText="1"/>
    </xf>
    <xf numFmtId="185" fontId="26" fillId="11" borderId="11" xfId="10" applyNumberFormat="1" applyFont="1" applyFill="1" applyBorder="1" applyAlignment="1">
      <alignment horizontal="center" vertical="center" wrapText="1"/>
    </xf>
    <xf numFmtId="0" fontId="26" fillId="11" borderId="11" xfId="10" applyFont="1" applyFill="1" applyBorder="1" applyAlignment="1">
      <alignment horizontal="center" vertical="center" wrapText="1"/>
    </xf>
    <xf numFmtId="0" fontId="20" fillId="11" borderId="11" xfId="10" applyFont="1" applyFill="1" applyBorder="1" applyAlignment="1">
      <alignment horizontal="center" vertical="center"/>
    </xf>
    <xf numFmtId="0" fontId="26" fillId="0" borderId="11" xfId="10" applyFont="1" applyBorder="1" applyAlignment="1">
      <alignment horizontal="center" vertical="center"/>
    </xf>
    <xf numFmtId="49" fontId="26" fillId="0" borderId="11" xfId="10" applyNumberFormat="1" applyFont="1" applyBorder="1" applyAlignment="1">
      <alignment horizontal="center" vertical="center"/>
    </xf>
    <xf numFmtId="49" fontId="20" fillId="0" borderId="11" xfId="10" applyNumberFormat="1" applyFont="1" applyBorder="1" applyAlignment="1">
      <alignment horizontal="center" vertical="center"/>
    </xf>
    <xf numFmtId="186" fontId="26" fillId="11" borderId="11" xfId="10" applyNumberFormat="1" applyFont="1" applyFill="1" applyBorder="1" applyAlignment="1">
      <alignment horizontal="center" vertical="center" wrapText="1"/>
    </xf>
    <xf numFmtId="172" fontId="7" fillId="0" borderId="0" xfId="10" applyNumberFormat="1"/>
    <xf numFmtId="187" fontId="7" fillId="0" borderId="0" xfId="10" applyNumberFormat="1"/>
    <xf numFmtId="0" fontId="18" fillId="0" borderId="32" xfId="10" applyFont="1" applyBorder="1" applyAlignment="1">
      <alignment horizontal="center" vertical="center"/>
    </xf>
    <xf numFmtId="0" fontId="18" fillId="0" borderId="32" xfId="10" applyFont="1" applyBorder="1" applyAlignment="1">
      <alignment horizontal="center" vertical="center" wrapText="1"/>
    </xf>
    <xf numFmtId="0" fontId="18" fillId="18" borderId="32" xfId="10" applyFont="1" applyFill="1" applyBorder="1" applyAlignment="1">
      <alignment horizontal="center" vertical="center" wrapText="1"/>
    </xf>
    <xf numFmtId="0" fontId="7" fillId="2" borderId="41" xfId="10" applyFill="1" applyBorder="1" applyAlignment="1">
      <alignment horizontal="center" vertical="center"/>
    </xf>
    <xf numFmtId="172" fontId="7" fillId="0" borderId="41" xfId="10" applyNumberFormat="1" applyBorder="1" applyAlignment="1">
      <alignment horizontal="center"/>
    </xf>
    <xf numFmtId="0" fontId="7" fillId="0" borderId="41" xfId="10" applyBorder="1" applyAlignment="1">
      <alignment horizontal="center"/>
    </xf>
    <xf numFmtId="0" fontId="7" fillId="20" borderId="0" xfId="10" applyFill="1" applyAlignment="1">
      <alignment horizontal="center" vertical="center"/>
    </xf>
    <xf numFmtId="0" fontId="7" fillId="20" borderId="8" xfId="10" applyFill="1" applyBorder="1" applyAlignment="1">
      <alignment horizontal="center"/>
    </xf>
    <xf numFmtId="0" fontId="7" fillId="20" borderId="8" xfId="10" applyFill="1" applyBorder="1" applyAlignment="1">
      <alignment horizontal="center" vertical="center"/>
    </xf>
    <xf numFmtId="2" fontId="7" fillId="20" borderId="0" xfId="10" applyNumberFormat="1" applyFill="1" applyAlignment="1">
      <alignment horizontal="center" vertical="center"/>
    </xf>
    <xf numFmtId="181" fontId="7" fillId="20" borderId="0" xfId="10" applyNumberFormat="1" applyFill="1" applyAlignment="1">
      <alignment horizontal="center" vertical="center"/>
    </xf>
    <xf numFmtId="172" fontId="7" fillId="20" borderId="0" xfId="10" applyNumberFormat="1" applyFill="1" applyAlignment="1">
      <alignment horizontal="center" vertical="center"/>
    </xf>
    <xf numFmtId="8" fontId="7" fillId="0" borderId="0" xfId="10" applyNumberFormat="1"/>
    <xf numFmtId="0" fontId="7" fillId="21" borderId="0" xfId="10" applyFill="1" applyAlignment="1">
      <alignment horizontal="center" vertical="center"/>
    </xf>
    <xf numFmtId="0" fontId="7" fillId="21" borderId="0" xfId="10" applyFill="1" applyAlignment="1">
      <alignment horizontal="center"/>
    </xf>
    <xf numFmtId="2" fontId="7" fillId="21" borderId="0" xfId="10" applyNumberFormat="1" applyFill="1" applyAlignment="1">
      <alignment horizontal="center" vertical="center"/>
    </xf>
    <xf numFmtId="181" fontId="7" fillId="21" borderId="0" xfId="10" applyNumberFormat="1" applyFill="1" applyAlignment="1">
      <alignment horizontal="center" vertical="center"/>
    </xf>
    <xf numFmtId="188" fontId="7" fillId="21" borderId="0" xfId="10" applyNumberFormat="1" applyFill="1" applyAlignment="1">
      <alignment horizontal="center" vertical="center"/>
    </xf>
    <xf numFmtId="0" fontId="7" fillId="20" borderId="0" xfId="10" applyFill="1" applyAlignment="1">
      <alignment horizontal="center"/>
    </xf>
    <xf numFmtId="0" fontId="7" fillId="22" borderId="0" xfId="10" applyFill="1" applyAlignment="1">
      <alignment horizontal="center" vertical="center"/>
    </xf>
    <xf numFmtId="0" fontId="7" fillId="23" borderId="0" xfId="10" applyFill="1" applyAlignment="1">
      <alignment horizontal="center" vertical="center"/>
    </xf>
    <xf numFmtId="190" fontId="7" fillId="20" borderId="0" xfId="10" applyNumberFormat="1" applyFill="1" applyAlignment="1">
      <alignment horizontal="center" vertical="center"/>
    </xf>
    <xf numFmtId="0" fontId="7" fillId="20" borderId="0" xfId="10" applyFill="1"/>
    <xf numFmtId="0" fontId="7" fillId="20" borderId="0" xfId="10" applyFill="1" applyAlignment="1">
      <alignment horizontal="right"/>
    </xf>
    <xf numFmtId="172" fontId="7" fillId="20" borderId="0" xfId="10" applyNumberFormat="1" applyFill="1" applyAlignment="1">
      <alignment horizontal="center"/>
    </xf>
    <xf numFmtId="0" fontId="18" fillId="20" borderId="0" xfId="10" applyFont="1" applyFill="1" applyAlignment="1">
      <alignment horizontal="right"/>
    </xf>
    <xf numFmtId="0" fontId="7" fillId="2" borderId="11" xfId="10" applyFill="1" applyBorder="1" applyAlignment="1">
      <alignment horizontal="center" vertical="center"/>
    </xf>
    <xf numFmtId="172" fontId="7" fillId="0" borderId="11" xfId="10" applyNumberFormat="1" applyBorder="1" applyAlignment="1">
      <alignment horizontal="center"/>
    </xf>
    <xf numFmtId="0" fontId="7" fillId="0" borderId="11" xfId="10" applyBorder="1" applyAlignment="1">
      <alignment horizontal="center"/>
    </xf>
    <xf numFmtId="0" fontId="7" fillId="0" borderId="0" xfId="10" quotePrefix="1"/>
    <xf numFmtId="0" fontId="7" fillId="21" borderId="0" xfId="10" applyFill="1"/>
    <xf numFmtId="0" fontId="7" fillId="21" borderId="0" xfId="10" applyFill="1" applyAlignment="1">
      <alignment horizontal="right"/>
    </xf>
    <xf numFmtId="172" fontId="7" fillId="21" borderId="0" xfId="10" applyNumberFormat="1" applyFill="1" applyAlignment="1">
      <alignment horizontal="center"/>
    </xf>
    <xf numFmtId="0" fontId="18" fillId="21" borderId="0" xfId="10" applyFont="1" applyFill="1" applyAlignment="1">
      <alignment horizontal="right"/>
    </xf>
    <xf numFmtId="0" fontId="7" fillId="4" borderId="0" xfId="10" applyFill="1" applyAlignment="1">
      <alignment horizontal="center" vertical="center"/>
    </xf>
    <xf numFmtId="0" fontId="7" fillId="4" borderId="8" xfId="10" applyFill="1" applyBorder="1" applyAlignment="1">
      <alignment horizontal="center"/>
    </xf>
    <xf numFmtId="0" fontId="7" fillId="4" borderId="8" xfId="10" applyFill="1" applyBorder="1" applyAlignment="1">
      <alignment horizontal="center" vertical="center"/>
    </xf>
    <xf numFmtId="2" fontId="7" fillId="4" borderId="0" xfId="10" applyNumberFormat="1" applyFill="1" applyAlignment="1">
      <alignment horizontal="center" vertical="center"/>
    </xf>
    <xf numFmtId="181" fontId="7" fillId="4" borderId="0" xfId="10" applyNumberFormat="1" applyFill="1" applyAlignment="1">
      <alignment horizontal="center" vertical="center"/>
    </xf>
    <xf numFmtId="172" fontId="7" fillId="4" borderId="0" xfId="10" applyNumberFormat="1" applyFill="1" applyAlignment="1">
      <alignment horizontal="center" vertical="center"/>
    </xf>
    <xf numFmtId="0" fontId="7" fillId="4" borderId="0" xfId="10" applyFill="1" applyAlignment="1">
      <alignment horizontal="center"/>
    </xf>
    <xf numFmtId="0" fontId="7" fillId="18" borderId="0" xfId="10" applyFill="1" applyAlignment="1">
      <alignment horizontal="center" vertical="center"/>
    </xf>
    <xf numFmtId="0" fontId="7" fillId="4" borderId="0" xfId="10" applyFill="1"/>
    <xf numFmtId="0" fontId="7" fillId="4" borderId="0" xfId="10" applyFill="1" applyAlignment="1">
      <alignment horizontal="right"/>
    </xf>
    <xf numFmtId="172" fontId="7" fillId="4" borderId="0" xfId="10" applyNumberFormat="1" applyFill="1" applyAlignment="1">
      <alignment horizontal="center"/>
    </xf>
    <xf numFmtId="0" fontId="18" fillId="4" borderId="0" xfId="10" applyFont="1" applyFill="1" applyAlignment="1">
      <alignment horizontal="right"/>
    </xf>
    <xf numFmtId="0" fontId="7" fillId="18" borderId="8" xfId="10" applyFill="1" applyBorder="1" applyAlignment="1">
      <alignment horizontal="center" vertical="center"/>
    </xf>
    <xf numFmtId="0" fontId="7" fillId="5" borderId="0" xfId="10" applyFill="1" applyAlignment="1">
      <alignment horizontal="center" vertical="center"/>
    </xf>
    <xf numFmtId="0" fontId="7" fillId="5" borderId="8" xfId="10" applyFill="1" applyBorder="1" applyAlignment="1">
      <alignment horizontal="center"/>
    </xf>
    <xf numFmtId="0" fontId="7" fillId="5" borderId="8" xfId="10" applyFill="1" applyBorder="1" applyAlignment="1">
      <alignment horizontal="center" vertical="center"/>
    </xf>
    <xf numFmtId="0" fontId="7" fillId="26" borderId="8" xfId="10" applyFill="1" applyBorder="1" applyAlignment="1">
      <alignment horizontal="center" vertical="center"/>
    </xf>
    <xf numFmtId="2" fontId="7" fillId="5" borderId="0" xfId="10" applyNumberFormat="1" applyFill="1" applyAlignment="1">
      <alignment horizontal="center" vertical="center"/>
    </xf>
    <xf numFmtId="181" fontId="7" fillId="5" borderId="0" xfId="10" applyNumberFormat="1" applyFill="1" applyAlignment="1">
      <alignment horizontal="center" vertical="center"/>
    </xf>
    <xf numFmtId="0" fontId="7" fillId="26" borderId="0" xfId="10" applyFill="1" applyAlignment="1">
      <alignment horizontal="center" vertical="center"/>
    </xf>
    <xf numFmtId="0" fontId="7" fillId="5" borderId="0" xfId="10" applyFill="1" applyAlignment="1">
      <alignment horizontal="center"/>
    </xf>
    <xf numFmtId="0" fontId="7" fillId="0" borderId="7" xfId="10" applyBorder="1"/>
    <xf numFmtId="0" fontId="7" fillId="0" borderId="8" xfId="10" applyBorder="1"/>
    <xf numFmtId="0" fontId="7" fillId="0" borderId="2" xfId="10" applyBorder="1"/>
    <xf numFmtId="0" fontId="7" fillId="0" borderId="5" xfId="10" applyBorder="1"/>
    <xf numFmtId="172" fontId="7" fillId="0" borderId="1" xfId="10" applyNumberFormat="1" applyBorder="1" applyAlignment="1">
      <alignment horizontal="center"/>
    </xf>
    <xf numFmtId="172" fontId="7" fillId="0" borderId="6" xfId="10" applyNumberFormat="1" applyBorder="1" applyAlignment="1">
      <alignment horizontal="center"/>
    </xf>
    <xf numFmtId="0" fontId="18" fillId="27" borderId="32" xfId="10" applyFont="1" applyFill="1" applyBorder="1" applyAlignment="1">
      <alignment horizontal="center" vertical="center" wrapText="1"/>
    </xf>
    <xf numFmtId="172" fontId="7" fillId="0" borderId="41" xfId="10" applyNumberFormat="1" applyBorder="1"/>
    <xf numFmtId="0" fontId="7" fillId="0" borderId="41" xfId="10" applyBorder="1"/>
    <xf numFmtId="0" fontId="7" fillId="28" borderId="0" xfId="10" applyFill="1" applyAlignment="1">
      <alignment horizontal="center" vertical="center"/>
    </xf>
    <xf numFmtId="0" fontId="7" fillId="28" borderId="8" xfId="10" applyFill="1" applyBorder="1" applyAlignment="1">
      <alignment horizontal="center"/>
    </xf>
    <xf numFmtId="0" fontId="7" fillId="28" borderId="8" xfId="10" applyFill="1" applyBorder="1" applyAlignment="1">
      <alignment horizontal="center" vertical="center"/>
    </xf>
    <xf numFmtId="2" fontId="7" fillId="28" borderId="0" xfId="10" applyNumberFormat="1" applyFill="1" applyAlignment="1">
      <alignment horizontal="center" vertical="center"/>
    </xf>
    <xf numFmtId="181" fontId="7" fillId="28" borderId="0" xfId="10" applyNumberFormat="1" applyFill="1" applyAlignment="1">
      <alignment horizontal="center" vertical="center"/>
    </xf>
    <xf numFmtId="189" fontId="7" fillId="28" borderId="0" xfId="10" applyNumberFormat="1" applyFill="1" applyAlignment="1">
      <alignment horizontal="center" vertical="center"/>
    </xf>
    <xf numFmtId="172" fontId="7" fillId="28" borderId="0" xfId="10" applyNumberFormat="1" applyFill="1" applyAlignment="1">
      <alignment horizontal="center" vertical="center"/>
    </xf>
    <xf numFmtId="0" fontId="7" fillId="29" borderId="0" xfId="10" applyFill="1" applyAlignment="1">
      <alignment horizontal="center" vertical="center"/>
    </xf>
    <xf numFmtId="0" fontId="7" fillId="29" borderId="0" xfId="10" applyFill="1" applyAlignment="1">
      <alignment horizontal="center"/>
    </xf>
    <xf numFmtId="2" fontId="7" fillId="29" borderId="0" xfId="10" applyNumberFormat="1" applyFill="1" applyAlignment="1">
      <alignment horizontal="center" vertical="center"/>
    </xf>
    <xf numFmtId="181" fontId="7" fillId="29" borderId="0" xfId="10" applyNumberFormat="1" applyFill="1" applyAlignment="1">
      <alignment horizontal="center" vertical="center"/>
    </xf>
    <xf numFmtId="172" fontId="7" fillId="29" borderId="0" xfId="10" applyNumberFormat="1" applyFill="1" applyAlignment="1">
      <alignment horizontal="center" vertical="center"/>
    </xf>
    <xf numFmtId="0" fontId="7" fillId="28" borderId="0" xfId="10" applyFill="1" applyAlignment="1">
      <alignment horizontal="center"/>
    </xf>
    <xf numFmtId="188" fontId="7" fillId="28" borderId="0" xfId="10" applyNumberFormat="1" applyFill="1" applyAlignment="1">
      <alignment horizontal="center" vertical="center"/>
    </xf>
    <xf numFmtId="0" fontId="7" fillId="29" borderId="0" xfId="10" applyFill="1"/>
    <xf numFmtId="0" fontId="7" fillId="29" borderId="0" xfId="10" applyFill="1" applyAlignment="1">
      <alignment horizontal="right"/>
    </xf>
    <xf numFmtId="172" fontId="7" fillId="29" borderId="0" xfId="10" applyNumberFormat="1" applyFill="1" applyAlignment="1">
      <alignment horizontal="center"/>
    </xf>
    <xf numFmtId="0" fontId="18" fillId="29" borderId="0" xfId="10" applyFont="1" applyFill="1" applyAlignment="1">
      <alignment horizontal="right"/>
    </xf>
    <xf numFmtId="172" fontId="7" fillId="0" borderId="11" xfId="10" applyNumberFormat="1" applyBorder="1"/>
    <xf numFmtId="0" fontId="7" fillId="0" borderId="11" xfId="10" applyBorder="1"/>
    <xf numFmtId="0" fontId="7" fillId="31" borderId="0" xfId="10" applyFill="1" applyAlignment="1">
      <alignment horizontal="center" vertical="center"/>
    </xf>
    <xf numFmtId="0" fontId="7" fillId="31" borderId="0" xfId="10" applyFill="1" applyAlignment="1">
      <alignment horizontal="center"/>
    </xf>
    <xf numFmtId="2" fontId="7" fillId="31" borderId="0" xfId="10" applyNumberFormat="1" applyFill="1" applyAlignment="1">
      <alignment horizontal="center" vertical="center"/>
    </xf>
    <xf numFmtId="181" fontId="7" fillId="31" borderId="0" xfId="10" applyNumberFormat="1" applyFill="1" applyAlignment="1">
      <alignment horizontal="center" vertical="center"/>
    </xf>
    <xf numFmtId="0" fontId="7" fillId="32" borderId="0" xfId="10" applyFill="1" applyAlignment="1">
      <alignment horizontal="center" vertical="center"/>
    </xf>
    <xf numFmtId="0" fontId="7" fillId="32" borderId="0" xfId="10" applyFill="1" applyAlignment="1">
      <alignment horizontal="center"/>
    </xf>
    <xf numFmtId="2" fontId="7" fillId="32" borderId="0" xfId="10" applyNumberFormat="1" applyFill="1" applyAlignment="1">
      <alignment horizontal="center" vertical="center"/>
    </xf>
    <xf numFmtId="181" fontId="7" fillId="32" borderId="0" xfId="10" applyNumberFormat="1" applyFill="1" applyAlignment="1">
      <alignment horizontal="center" vertical="center"/>
    </xf>
    <xf numFmtId="0" fontId="7" fillId="32" borderId="0" xfId="10" applyFill="1"/>
    <xf numFmtId="0" fontId="7" fillId="32" borderId="0" xfId="10" applyFill="1" applyAlignment="1">
      <alignment horizontal="right"/>
    </xf>
    <xf numFmtId="172" fontId="7" fillId="32" borderId="0" xfId="10" applyNumberFormat="1" applyFill="1" applyAlignment="1">
      <alignment horizontal="center"/>
    </xf>
    <xf numFmtId="0" fontId="18" fillId="32" borderId="0" xfId="10" applyFont="1" applyFill="1" applyAlignment="1">
      <alignment horizontal="right"/>
    </xf>
    <xf numFmtId="0" fontId="7" fillId="34" borderId="0" xfId="10" applyFill="1" applyAlignment="1">
      <alignment horizontal="center" vertical="center"/>
    </xf>
    <xf numFmtId="0" fontId="7" fillId="34" borderId="0" xfId="10" applyFill="1" applyAlignment="1">
      <alignment horizontal="center"/>
    </xf>
    <xf numFmtId="2" fontId="7" fillId="34" borderId="0" xfId="10" applyNumberFormat="1" applyFill="1" applyAlignment="1">
      <alignment horizontal="center" vertical="center"/>
    </xf>
    <xf numFmtId="181" fontId="7" fillId="34" borderId="0" xfId="10" applyNumberFormat="1" applyFill="1" applyAlignment="1">
      <alignment horizontal="center" vertical="center"/>
    </xf>
    <xf numFmtId="0" fontId="7" fillId="35" borderId="0" xfId="10" applyFill="1" applyAlignment="1">
      <alignment horizontal="center" vertical="center"/>
    </xf>
    <xf numFmtId="0" fontId="7" fillId="35" borderId="0" xfId="10" applyFill="1" applyAlignment="1">
      <alignment horizontal="center"/>
    </xf>
    <xf numFmtId="2" fontId="7" fillId="35" borderId="0" xfId="10" applyNumberFormat="1" applyFill="1" applyAlignment="1">
      <alignment horizontal="center" vertical="center"/>
    </xf>
    <xf numFmtId="181" fontId="7" fillId="35" borderId="0" xfId="10" applyNumberFormat="1" applyFill="1" applyAlignment="1">
      <alignment horizontal="center" vertical="center"/>
    </xf>
    <xf numFmtId="0" fontId="7" fillId="35" borderId="0" xfId="10" applyFill="1"/>
    <xf numFmtId="0" fontId="7" fillId="35" borderId="0" xfId="10" applyFill="1" applyAlignment="1">
      <alignment horizontal="right"/>
    </xf>
    <xf numFmtId="172" fontId="7" fillId="35" borderId="0" xfId="10" applyNumberFormat="1" applyFill="1" applyAlignment="1">
      <alignment horizontal="center"/>
    </xf>
    <xf numFmtId="0" fontId="18" fillId="35" borderId="0" xfId="10" applyFont="1" applyFill="1" applyAlignment="1">
      <alignment horizontal="right"/>
    </xf>
    <xf numFmtId="0" fontId="7" fillId="37" borderId="0" xfId="10" applyFill="1" applyAlignment="1">
      <alignment horizontal="center" vertical="center"/>
    </xf>
    <xf numFmtId="0" fontId="7" fillId="37" borderId="8" xfId="10" applyFill="1" applyBorder="1" applyAlignment="1">
      <alignment horizontal="center"/>
    </xf>
    <xf numFmtId="0" fontId="7" fillId="37" borderId="8" xfId="10" applyFill="1" applyBorder="1" applyAlignment="1">
      <alignment horizontal="center" vertical="center"/>
    </xf>
    <xf numFmtId="2" fontId="7" fillId="37" borderId="0" xfId="10" applyNumberFormat="1" applyFill="1" applyAlignment="1">
      <alignment horizontal="center" vertical="center"/>
    </xf>
    <xf numFmtId="181" fontId="7" fillId="37" borderId="0" xfId="10" applyNumberFormat="1" applyFill="1" applyAlignment="1">
      <alignment horizontal="center" vertical="center"/>
    </xf>
    <xf numFmtId="0" fontId="7" fillId="38" borderId="0" xfId="10" applyFill="1" applyAlignment="1">
      <alignment horizontal="center" vertical="center"/>
    </xf>
    <xf numFmtId="0" fontId="7" fillId="38" borderId="0" xfId="10" applyFill="1" applyAlignment="1">
      <alignment horizontal="center"/>
    </xf>
    <xf numFmtId="2" fontId="7" fillId="38" borderId="0" xfId="10" applyNumberFormat="1" applyFill="1" applyAlignment="1">
      <alignment horizontal="center" vertical="center"/>
    </xf>
    <xf numFmtId="181" fontId="7" fillId="38" borderId="0" xfId="10" applyNumberFormat="1" applyFill="1" applyAlignment="1">
      <alignment horizontal="center" vertical="center"/>
    </xf>
    <xf numFmtId="0" fontId="7" fillId="37" borderId="0" xfId="10" applyFill="1" applyAlignment="1">
      <alignment horizontal="center"/>
    </xf>
    <xf numFmtId="0" fontId="7" fillId="37" borderId="0" xfId="10" applyFill="1"/>
    <xf numFmtId="0" fontId="7" fillId="37" borderId="0" xfId="10" applyFill="1" applyAlignment="1">
      <alignment horizontal="right"/>
    </xf>
    <xf numFmtId="172" fontId="7" fillId="37" borderId="0" xfId="10" applyNumberFormat="1" applyFill="1" applyAlignment="1">
      <alignment horizontal="center"/>
    </xf>
    <xf numFmtId="0" fontId="18" fillId="37" borderId="0" xfId="10" applyFont="1" applyFill="1" applyAlignment="1">
      <alignment horizontal="right"/>
    </xf>
    <xf numFmtId="0" fontId="7" fillId="41" borderId="0" xfId="10" applyFill="1" applyAlignment="1">
      <alignment horizontal="center" vertical="center"/>
    </xf>
    <xf numFmtId="0" fontId="7" fillId="41" borderId="8" xfId="10" applyFill="1" applyBorder="1" applyAlignment="1">
      <alignment horizontal="center"/>
    </xf>
    <xf numFmtId="0" fontId="7" fillId="41" borderId="8" xfId="10" applyFill="1" applyBorder="1" applyAlignment="1">
      <alignment horizontal="center" vertical="center"/>
    </xf>
    <xf numFmtId="2" fontId="7" fillId="41" borderId="0" xfId="10" applyNumberFormat="1" applyFill="1" applyAlignment="1">
      <alignment horizontal="center" vertical="center"/>
    </xf>
    <xf numFmtId="181" fontId="7" fillId="41" borderId="0" xfId="10" applyNumberFormat="1" applyFill="1" applyAlignment="1">
      <alignment horizontal="center" vertical="center"/>
    </xf>
    <xf numFmtId="188" fontId="7" fillId="41" borderId="0" xfId="10" applyNumberFormat="1" applyFill="1" applyAlignment="1">
      <alignment horizontal="center" vertical="center"/>
    </xf>
    <xf numFmtId="0" fontId="7" fillId="42" borderId="0" xfId="10" applyFill="1" applyAlignment="1">
      <alignment horizontal="center" vertical="center"/>
    </xf>
    <xf numFmtId="0" fontId="7" fillId="42" borderId="0" xfId="10" applyFill="1" applyAlignment="1">
      <alignment horizontal="center"/>
    </xf>
    <xf numFmtId="2" fontId="7" fillId="42" borderId="0" xfId="10" applyNumberFormat="1" applyFill="1" applyAlignment="1">
      <alignment horizontal="center" vertical="center"/>
    </xf>
    <xf numFmtId="181" fontId="7" fillId="42" borderId="0" xfId="10" applyNumberFormat="1" applyFill="1" applyAlignment="1">
      <alignment horizontal="center" vertical="center"/>
    </xf>
    <xf numFmtId="0" fontId="7" fillId="41" borderId="0" xfId="10" applyFill="1" applyAlignment="1">
      <alignment horizontal="center"/>
    </xf>
    <xf numFmtId="0" fontId="7" fillId="41" borderId="0" xfId="10" applyFill="1"/>
    <xf numFmtId="0" fontId="7" fillId="41" borderId="0" xfId="10" applyFill="1" applyAlignment="1">
      <alignment horizontal="right"/>
    </xf>
    <xf numFmtId="172" fontId="7" fillId="41" borderId="0" xfId="10" applyNumberFormat="1" applyFill="1" applyAlignment="1">
      <alignment horizontal="center"/>
    </xf>
    <xf numFmtId="0" fontId="18" fillId="41" borderId="0" xfId="10" applyFont="1" applyFill="1" applyAlignment="1">
      <alignment horizontal="right"/>
    </xf>
    <xf numFmtId="0" fontId="7" fillId="44" borderId="0" xfId="10" applyFill="1" applyAlignment="1">
      <alignment horizontal="center" vertical="center"/>
    </xf>
    <xf numFmtId="0" fontId="7" fillId="44" borderId="8" xfId="10" applyFill="1" applyBorder="1" applyAlignment="1">
      <alignment horizontal="center"/>
    </xf>
    <xf numFmtId="0" fontId="7" fillId="44" borderId="8" xfId="10" applyFill="1" applyBorder="1" applyAlignment="1">
      <alignment horizontal="center" vertical="center"/>
    </xf>
    <xf numFmtId="2" fontId="7" fillId="44" borderId="0" xfId="10" applyNumberFormat="1" applyFill="1" applyAlignment="1">
      <alignment horizontal="center" vertical="center"/>
    </xf>
    <xf numFmtId="181" fontId="7" fillId="44" borderId="0" xfId="10" applyNumberFormat="1" applyFill="1" applyAlignment="1">
      <alignment horizontal="center" vertical="center"/>
    </xf>
    <xf numFmtId="0" fontId="7" fillId="45" borderId="0" xfId="10" applyFill="1" applyAlignment="1">
      <alignment horizontal="center" vertical="center"/>
    </xf>
    <xf numFmtId="0" fontId="7" fillId="45" borderId="0" xfId="10" applyFill="1" applyAlignment="1">
      <alignment horizontal="center"/>
    </xf>
    <xf numFmtId="2" fontId="7" fillId="45" borderId="0" xfId="10" applyNumberFormat="1" applyFill="1" applyAlignment="1">
      <alignment horizontal="center" vertical="center"/>
    </xf>
    <xf numFmtId="181" fontId="7" fillId="45" borderId="0" xfId="10" applyNumberFormat="1" applyFill="1" applyAlignment="1">
      <alignment horizontal="center" vertical="center"/>
    </xf>
    <xf numFmtId="0" fontId="7" fillId="44" borderId="0" xfId="10" applyFill="1" applyAlignment="1">
      <alignment horizontal="center"/>
    </xf>
    <xf numFmtId="0" fontId="7" fillId="45" borderId="0" xfId="10" applyFill="1"/>
    <xf numFmtId="0" fontId="7" fillId="46" borderId="0" xfId="10" applyFill="1" applyAlignment="1">
      <alignment horizontal="right"/>
    </xf>
    <xf numFmtId="172" fontId="7" fillId="46" borderId="0" xfId="10" applyNumberFormat="1" applyFill="1" applyAlignment="1">
      <alignment horizontal="center"/>
    </xf>
    <xf numFmtId="0" fontId="18" fillId="45" borderId="0" xfId="10" applyFont="1" applyFill="1" applyAlignment="1">
      <alignment horizontal="right"/>
    </xf>
    <xf numFmtId="0" fontId="7" fillId="44" borderId="0" xfId="10" applyFill="1"/>
    <xf numFmtId="0" fontId="7" fillId="44" borderId="0" xfId="10" applyFill="1" applyAlignment="1">
      <alignment horizontal="right"/>
    </xf>
    <xf numFmtId="172" fontId="7" fillId="44" borderId="0" xfId="10" applyNumberFormat="1" applyFill="1" applyAlignment="1">
      <alignment horizontal="center"/>
    </xf>
    <xf numFmtId="0" fontId="18" fillId="44" borderId="0" xfId="10" applyFont="1" applyFill="1" applyAlignment="1">
      <alignment horizontal="right"/>
    </xf>
    <xf numFmtId="0" fontId="7" fillId="47" borderId="0" xfId="10" applyFill="1" applyAlignment="1">
      <alignment horizontal="center" vertical="center"/>
    </xf>
    <xf numFmtId="0" fontId="7" fillId="47" borderId="8" xfId="10" applyFill="1" applyBorder="1" applyAlignment="1">
      <alignment horizontal="center"/>
    </xf>
    <xf numFmtId="0" fontId="7" fillId="47" borderId="8" xfId="10" applyFill="1" applyBorder="1" applyAlignment="1">
      <alignment horizontal="center" vertical="center"/>
    </xf>
    <xf numFmtId="2" fontId="7" fillId="47" borderId="0" xfId="10" applyNumberFormat="1" applyFill="1" applyAlignment="1">
      <alignment horizontal="center" vertical="center"/>
    </xf>
    <xf numFmtId="181" fontId="7" fillId="47" borderId="0" xfId="10" applyNumberFormat="1" applyFill="1" applyAlignment="1">
      <alignment horizontal="center" vertical="center"/>
    </xf>
    <xf numFmtId="0" fontId="7" fillId="47" borderId="0" xfId="10" applyFill="1" applyAlignment="1">
      <alignment horizontal="center"/>
    </xf>
    <xf numFmtId="0" fontId="7" fillId="31" borderId="0" xfId="10" applyFill="1"/>
    <xf numFmtId="0" fontId="7" fillId="31" borderId="0" xfId="10" applyFill="1" applyAlignment="1">
      <alignment horizontal="right"/>
    </xf>
    <xf numFmtId="172" fontId="7" fillId="31" borderId="0" xfId="10" applyNumberFormat="1" applyFill="1" applyAlignment="1">
      <alignment horizontal="center"/>
    </xf>
    <xf numFmtId="0" fontId="18" fillId="31" borderId="0" xfId="10" applyFont="1" applyFill="1" applyAlignment="1">
      <alignment horizontal="right"/>
    </xf>
    <xf numFmtId="0" fontId="7" fillId="39" borderId="0" xfId="10" applyFill="1" applyAlignment="1">
      <alignment horizontal="center" vertical="center"/>
    </xf>
    <xf numFmtId="0" fontId="7" fillId="39" borderId="0" xfId="10" applyFill="1" applyAlignment="1">
      <alignment horizontal="center"/>
    </xf>
    <xf numFmtId="0" fontId="7" fillId="36" borderId="0" xfId="10" applyFill="1" applyAlignment="1">
      <alignment horizontal="center" vertical="center"/>
    </xf>
    <xf numFmtId="2" fontId="7" fillId="39" borderId="0" xfId="10" applyNumberFormat="1" applyFill="1" applyAlignment="1">
      <alignment horizontal="center" vertical="center"/>
    </xf>
    <xf numFmtId="181" fontId="7" fillId="39" borderId="0" xfId="10" applyNumberFormat="1" applyFill="1" applyAlignment="1">
      <alignment horizontal="center" vertical="center"/>
    </xf>
    <xf numFmtId="0" fontId="7" fillId="48" borderId="0" xfId="10" applyFill="1" applyAlignment="1">
      <alignment horizontal="center" vertical="center"/>
    </xf>
    <xf numFmtId="0" fontId="7" fillId="48" borderId="0" xfId="10" applyFill="1" applyAlignment="1">
      <alignment horizontal="center"/>
    </xf>
    <xf numFmtId="2" fontId="7" fillId="48" borderId="0" xfId="10" applyNumberFormat="1" applyFill="1" applyAlignment="1">
      <alignment horizontal="center" vertical="center"/>
    </xf>
    <xf numFmtId="181" fontId="7" fillId="48" borderId="0" xfId="10" applyNumberFormat="1" applyFill="1" applyAlignment="1">
      <alignment horizontal="center" vertical="center"/>
    </xf>
    <xf numFmtId="172" fontId="7" fillId="48" borderId="0" xfId="10" applyNumberFormat="1" applyFill="1" applyAlignment="1">
      <alignment horizontal="center" vertical="center"/>
    </xf>
    <xf numFmtId="0" fontId="7" fillId="48" borderId="0" xfId="10" applyFill="1"/>
    <xf numFmtId="0" fontId="7" fillId="48" borderId="0" xfId="10" applyFill="1" applyAlignment="1">
      <alignment horizontal="right"/>
    </xf>
    <xf numFmtId="172" fontId="7" fillId="48" borderId="0" xfId="10" applyNumberFormat="1" applyFill="1" applyAlignment="1">
      <alignment horizontal="center"/>
    </xf>
    <xf numFmtId="0" fontId="18" fillId="48" borderId="0" xfId="10" applyFont="1" applyFill="1" applyAlignment="1">
      <alignment horizontal="right"/>
    </xf>
    <xf numFmtId="0" fontId="7" fillId="49" borderId="0" xfId="10" applyFill="1" applyAlignment="1">
      <alignment horizontal="center" vertical="center"/>
    </xf>
    <xf numFmtId="0" fontId="7" fillId="49" borderId="0" xfId="10" applyFill="1" applyAlignment="1">
      <alignment horizontal="center"/>
    </xf>
    <xf numFmtId="2" fontId="7" fillId="49" borderId="0" xfId="10" applyNumberFormat="1" applyFill="1" applyAlignment="1">
      <alignment horizontal="center" vertical="center"/>
    </xf>
    <xf numFmtId="181" fontId="7" fillId="49" borderId="0" xfId="10" applyNumberFormat="1" applyFill="1" applyAlignment="1">
      <alignment horizontal="center" vertical="center"/>
    </xf>
    <xf numFmtId="0" fontId="7" fillId="28" borderId="0" xfId="10" applyFill="1"/>
    <xf numFmtId="0" fontId="7" fillId="28" borderId="0" xfId="10" applyFill="1" applyAlignment="1">
      <alignment horizontal="right"/>
    </xf>
    <xf numFmtId="172" fontId="7" fillId="28" borderId="0" xfId="10" applyNumberFormat="1" applyFill="1" applyAlignment="1">
      <alignment horizontal="center"/>
    </xf>
    <xf numFmtId="0" fontId="18" fillId="28" borderId="0" xfId="10" applyFont="1" applyFill="1" applyAlignment="1">
      <alignment horizontal="right"/>
    </xf>
    <xf numFmtId="0" fontId="7" fillId="31" borderId="8" xfId="10" applyFill="1" applyBorder="1" applyAlignment="1">
      <alignment horizontal="center"/>
    </xf>
    <xf numFmtId="0" fontId="7" fillId="31" borderId="8" xfId="10" applyFill="1" applyBorder="1" applyAlignment="1">
      <alignment horizontal="center" vertical="center"/>
    </xf>
    <xf numFmtId="0" fontId="7" fillId="3" borderId="0" xfId="10" applyFill="1" applyAlignment="1">
      <alignment horizontal="center" vertical="center"/>
    </xf>
    <xf numFmtId="0" fontId="7" fillId="3" borderId="0" xfId="10" applyFill="1" applyAlignment="1">
      <alignment horizontal="center"/>
    </xf>
    <xf numFmtId="2" fontId="7" fillId="3" borderId="0" xfId="10" applyNumberFormat="1" applyFill="1" applyAlignment="1">
      <alignment horizontal="center" vertical="center"/>
    </xf>
    <xf numFmtId="181" fontId="7" fillId="3" borderId="0" xfId="10" applyNumberFormat="1" applyFill="1" applyAlignment="1">
      <alignment horizontal="center" vertical="center"/>
    </xf>
    <xf numFmtId="172" fontId="7" fillId="3" borderId="0" xfId="10" applyNumberFormat="1" applyFill="1" applyAlignment="1">
      <alignment horizontal="center" vertical="center"/>
    </xf>
    <xf numFmtId="191" fontId="7" fillId="31" borderId="0" xfId="10" applyNumberFormat="1" applyFill="1" applyAlignment="1">
      <alignment horizontal="center" vertical="center"/>
    </xf>
    <xf numFmtId="0" fontId="7" fillId="50" borderId="0" xfId="10" applyFill="1" applyAlignment="1">
      <alignment horizontal="center" vertical="center"/>
    </xf>
    <xf numFmtId="164" fontId="7" fillId="3" borderId="0" xfId="10" applyNumberFormat="1" applyFill="1" applyAlignment="1">
      <alignment horizontal="center" vertical="center"/>
    </xf>
    <xf numFmtId="190" fontId="7" fillId="3" borderId="0" xfId="10" applyNumberFormat="1" applyFill="1" applyAlignment="1">
      <alignment horizontal="center" vertical="center"/>
    </xf>
    <xf numFmtId="0" fontId="7" fillId="0" borderId="8" xfId="10" applyBorder="1" applyAlignment="1">
      <alignment horizontal="center"/>
    </xf>
    <xf numFmtId="0" fontId="7" fillId="0" borderId="2" xfId="10" applyBorder="1" applyAlignment="1">
      <alignment horizontal="center"/>
    </xf>
    <xf numFmtId="187" fontId="7" fillId="0" borderId="1" xfId="10" applyNumberFormat="1" applyBorder="1" applyAlignment="1">
      <alignment horizontal="center"/>
    </xf>
    <xf numFmtId="0" fontId="18" fillId="33" borderId="32" xfId="10" applyFont="1" applyFill="1" applyBorder="1" applyAlignment="1">
      <alignment horizontal="center" vertical="center" wrapText="1"/>
    </xf>
    <xf numFmtId="0" fontId="18" fillId="33" borderId="35" xfId="10" applyFont="1" applyFill="1" applyBorder="1" applyAlignment="1">
      <alignment horizontal="center" vertical="center" wrapText="1"/>
    </xf>
    <xf numFmtId="0" fontId="7" fillId="0" borderId="0" xfId="10" applyAlignment="1">
      <alignment horizontal="center"/>
    </xf>
    <xf numFmtId="0" fontId="7" fillId="2" borderId="11" xfId="10" applyFill="1" applyBorder="1" applyAlignment="1">
      <alignment horizontal="center"/>
    </xf>
    <xf numFmtId="0" fontId="7" fillId="52" borderId="8" xfId="10" applyFill="1" applyBorder="1" applyAlignment="1">
      <alignment horizontal="center" vertical="center"/>
    </xf>
    <xf numFmtId="0" fontId="18" fillId="27" borderId="40" xfId="10" applyFont="1" applyFill="1" applyBorder="1" applyAlignment="1">
      <alignment horizontal="center" vertical="center" wrapText="1"/>
    </xf>
    <xf numFmtId="0" fontId="37" fillId="0" borderId="43" xfId="10" applyFont="1" applyBorder="1" applyAlignment="1">
      <alignment horizontal="center" vertical="center"/>
    </xf>
    <xf numFmtId="2" fontId="7" fillId="29" borderId="0" xfId="10" applyNumberFormat="1" applyFill="1" applyAlignment="1">
      <alignment horizontal="left" vertical="center"/>
    </xf>
    <xf numFmtId="2" fontId="7" fillId="28" borderId="0" xfId="10" applyNumberFormat="1" applyFill="1" applyAlignment="1">
      <alignment horizontal="left" vertical="center"/>
    </xf>
    <xf numFmtId="0" fontId="37" fillId="0" borderId="0" xfId="10" applyFont="1" applyAlignment="1">
      <alignment horizontal="center" vertical="center"/>
    </xf>
    <xf numFmtId="0" fontId="18" fillId="0" borderId="0" xfId="10" applyFont="1" applyAlignment="1">
      <alignment horizontal="center" vertical="center"/>
    </xf>
    <xf numFmtId="0" fontId="18" fillId="0" borderId="8" xfId="10" applyFont="1" applyBorder="1" applyAlignment="1">
      <alignment horizontal="center" vertical="center"/>
    </xf>
    <xf numFmtId="0" fontId="7" fillId="29" borderId="0" xfId="10" applyFill="1" applyAlignment="1">
      <alignment vertical="center"/>
    </xf>
    <xf numFmtId="2" fontId="7" fillId="29" borderId="0" xfId="10" applyNumberFormat="1" applyFill="1" applyAlignment="1">
      <alignment vertical="center"/>
    </xf>
    <xf numFmtId="12" fontId="7" fillId="29" borderId="0" xfId="10" applyNumberFormat="1" applyFill="1" applyAlignment="1">
      <alignment horizontal="center" vertical="center"/>
    </xf>
    <xf numFmtId="0" fontId="20" fillId="11" borderId="8" xfId="1" applyFont="1" applyFill="1" applyBorder="1" applyAlignment="1">
      <alignment vertical="center"/>
    </xf>
    <xf numFmtId="0" fontId="20" fillId="11" borderId="8" xfId="1" applyFont="1" applyFill="1" applyBorder="1" applyAlignment="1">
      <alignment horizontal="center" vertical="center"/>
    </xf>
    <xf numFmtId="0" fontId="19" fillId="10" borderId="39" xfId="1" applyFont="1" applyFill="1" applyBorder="1" applyAlignment="1">
      <alignment vertical="center"/>
    </xf>
    <xf numFmtId="0" fontId="18" fillId="24" borderId="39" xfId="10" applyFont="1" applyFill="1" applyBorder="1" applyAlignment="1">
      <alignment horizontal="center" vertical="center"/>
    </xf>
    <xf numFmtId="0" fontId="18" fillId="33" borderId="39" xfId="10" applyFont="1" applyFill="1" applyBorder="1" applyAlignment="1">
      <alignment horizontal="center" vertical="center"/>
    </xf>
    <xf numFmtId="1" fontId="7" fillId="2" borderId="11" xfId="10" applyNumberFormat="1" applyFill="1" applyBorder="1" applyAlignment="1">
      <alignment horizontal="center" vertical="center"/>
    </xf>
    <xf numFmtId="0" fontId="19" fillId="10" borderId="35" xfId="1" applyFont="1" applyFill="1" applyBorder="1" applyAlignment="1">
      <alignment vertical="center"/>
    </xf>
    <xf numFmtId="172" fontId="0" fillId="0" borderId="1" xfId="11" applyNumberFormat="1" applyFont="1" applyBorder="1" applyAlignment="1">
      <alignment horizontal="center"/>
    </xf>
    <xf numFmtId="178" fontId="21" fillId="12" borderId="32" xfId="3" applyNumberFormat="1" applyFont="1" applyFill="1" applyBorder="1" applyAlignment="1" applyProtection="1">
      <alignment horizontal="center" vertical="center"/>
      <protection locked="0"/>
    </xf>
    <xf numFmtId="0" fontId="0" fillId="30" borderId="32" xfId="0" applyFill="1" applyBorder="1"/>
    <xf numFmtId="0" fontId="0" fillId="53" borderId="32" xfId="0" applyFill="1" applyBorder="1"/>
    <xf numFmtId="0" fontId="21" fillId="54" borderId="3" xfId="3" applyNumberFormat="1" applyFont="1" applyFill="1" applyBorder="1" applyAlignment="1" applyProtection="1">
      <alignment horizontal="center" vertical="center"/>
      <protection locked="0"/>
    </xf>
    <xf numFmtId="0" fontId="9" fillId="11" borderId="0" xfId="1" applyFill="1" applyAlignment="1">
      <alignment vertical="center"/>
    </xf>
    <xf numFmtId="0" fontId="0" fillId="2" borderId="17" xfId="0" applyFill="1" applyBorder="1" applyAlignment="1">
      <alignment horizontal="center" vertical="center"/>
    </xf>
    <xf numFmtId="172" fontId="0" fillId="0" borderId="11" xfId="0" applyNumberFormat="1" applyBorder="1"/>
    <xf numFmtId="0" fontId="0" fillId="2" borderId="32" xfId="0" applyFill="1" applyBorder="1"/>
    <xf numFmtId="0" fontId="21" fillId="11" borderId="0" xfId="3" applyNumberFormat="1" applyFont="1" applyFill="1" applyBorder="1" applyAlignment="1" applyProtection="1">
      <alignment horizontal="center" vertical="center"/>
    </xf>
    <xf numFmtId="178" fontId="0" fillId="0" borderId="0" xfId="0" applyNumberFormat="1"/>
    <xf numFmtId="0" fontId="9" fillId="0" borderId="0" xfId="0" quotePrefix="1" applyFont="1"/>
    <xf numFmtId="0" fontId="26" fillId="11" borderId="11" xfId="1" applyFont="1" applyFill="1" applyBorder="1" applyAlignment="1" applyProtection="1">
      <alignment horizontal="center" vertical="center" wrapText="1"/>
      <protection locked="0"/>
    </xf>
    <xf numFmtId="0" fontId="26" fillId="11" borderId="41" xfId="1" applyFont="1" applyFill="1" applyBorder="1" applyAlignment="1" applyProtection="1">
      <alignment horizontal="center" vertical="center" wrapText="1"/>
      <protection locked="0"/>
    </xf>
    <xf numFmtId="0" fontId="19" fillId="10" borderId="16" xfId="1" applyFont="1" applyFill="1" applyBorder="1" applyAlignment="1">
      <alignment horizontal="center" vertical="center"/>
    </xf>
    <xf numFmtId="0" fontId="19" fillId="10" borderId="15" xfId="1" applyFont="1" applyFill="1" applyBorder="1" applyAlignment="1">
      <alignment horizontal="center" vertical="center"/>
    </xf>
    <xf numFmtId="5" fontId="20" fillId="12" borderId="0" xfId="4" applyNumberFormat="1" applyFont="1" applyFill="1" applyBorder="1" applyAlignment="1" applyProtection="1">
      <alignment horizontal="center" vertical="center"/>
      <protection locked="0"/>
    </xf>
    <xf numFmtId="171" fontId="21" fillId="12" borderId="0" xfId="3" applyNumberFormat="1" applyFont="1" applyFill="1" applyBorder="1" applyAlignment="1" applyProtection="1">
      <alignment horizontal="center" vertical="center"/>
      <protection locked="0"/>
    </xf>
    <xf numFmtId="0" fontId="19" fillId="10" borderId="26" xfId="1" applyFont="1" applyFill="1" applyBorder="1" applyAlignment="1">
      <alignment horizontal="center" vertical="center"/>
    </xf>
    <xf numFmtId="0" fontId="20" fillId="11" borderId="0" xfId="1" applyFont="1" applyFill="1" applyAlignment="1">
      <alignment horizontal="center" vertical="center"/>
    </xf>
    <xf numFmtId="10" fontId="27" fillId="11" borderId="0" xfId="6" applyNumberFormat="1" applyFont="1" applyFill="1" applyBorder="1" applyAlignment="1" applyProtection="1">
      <alignment horizontal="center" vertical="center"/>
    </xf>
    <xf numFmtId="9" fontId="21" fillId="11" borderId="0" xfId="1" applyNumberFormat="1" applyFont="1" applyFill="1" applyAlignment="1">
      <alignment horizontal="center" vertical="center"/>
    </xf>
    <xf numFmtId="170" fontId="20" fillId="11" borderId="0" xfId="4" applyNumberFormat="1" applyFont="1" applyFill="1" applyBorder="1" applyAlignment="1" applyProtection="1">
      <alignment horizontal="center" vertical="center"/>
    </xf>
    <xf numFmtId="5" fontId="20" fillId="11" borderId="0" xfId="4" applyNumberFormat="1" applyFont="1" applyFill="1" applyBorder="1" applyAlignment="1" applyProtection="1">
      <alignment horizontal="center" vertical="center"/>
    </xf>
    <xf numFmtId="172" fontId="26" fillId="11" borderId="0" xfId="7" applyNumberFormat="1" applyFont="1" applyFill="1" applyBorder="1" applyAlignment="1" applyProtection="1">
      <alignment horizontal="center" vertical="center"/>
    </xf>
    <xf numFmtId="174" fontId="20" fillId="11" borderId="0" xfId="4" applyNumberFormat="1" applyFont="1" applyFill="1" applyBorder="1" applyAlignment="1" applyProtection="1">
      <alignment horizontal="center" vertical="center"/>
    </xf>
    <xf numFmtId="173" fontId="20" fillId="11" borderId="0" xfId="4" applyNumberFormat="1" applyFont="1" applyFill="1" applyBorder="1" applyAlignment="1" applyProtection="1">
      <alignment horizontal="center" vertical="center"/>
    </xf>
    <xf numFmtId="176" fontId="20" fillId="11" borderId="0" xfId="8" applyNumberFormat="1" applyFont="1" applyFill="1" applyBorder="1" applyAlignment="1" applyProtection="1">
      <alignment horizontal="center" vertical="center"/>
    </xf>
    <xf numFmtId="0" fontId="26" fillId="11" borderId="4" xfId="1" applyFont="1" applyFill="1" applyBorder="1" applyAlignment="1">
      <alignment horizontal="center" vertical="center" wrapText="1"/>
    </xf>
    <xf numFmtId="0" fontId="26" fillId="11" borderId="0" xfId="1" applyFont="1" applyFill="1" applyAlignment="1">
      <alignment horizontal="left" vertical="center" wrapText="1"/>
    </xf>
    <xf numFmtId="0" fontId="20" fillId="11" borderId="4" xfId="1" applyFont="1" applyFill="1" applyBorder="1" applyAlignment="1">
      <alignment horizontal="center" vertical="center"/>
    </xf>
    <xf numFmtId="0" fontId="20" fillId="11" borderId="0" xfId="1" applyFont="1" applyFill="1" applyAlignment="1">
      <alignment horizontal="left" vertical="center"/>
    </xf>
    <xf numFmtId="0" fontId="25" fillId="13" borderId="34" xfId="1" applyFont="1" applyFill="1" applyBorder="1" applyAlignment="1">
      <alignment horizontal="center" vertical="center"/>
    </xf>
    <xf numFmtId="0" fontId="25" fillId="13" borderId="39" xfId="1" applyFont="1" applyFill="1" applyBorder="1" applyAlignment="1">
      <alignment horizontal="center" vertical="center"/>
    </xf>
    <xf numFmtId="0" fontId="25" fillId="13" borderId="35" xfId="1" applyFont="1" applyFill="1" applyBorder="1" applyAlignment="1">
      <alignment horizontal="center" vertical="center"/>
    </xf>
    <xf numFmtId="0" fontId="25" fillId="11" borderId="4" xfId="1" applyFont="1" applyFill="1" applyBorder="1" applyAlignment="1">
      <alignment horizontal="center" vertical="center"/>
    </xf>
    <xf numFmtId="170" fontId="20" fillId="11" borderId="0" xfId="1" applyNumberFormat="1" applyFont="1" applyFill="1" applyAlignment="1">
      <alignment horizontal="center" vertical="center"/>
    </xf>
    <xf numFmtId="10" fontId="26" fillId="11" borderId="3" xfId="6" applyNumberFormat="1" applyFont="1" applyFill="1" applyBorder="1" applyAlignment="1" applyProtection="1">
      <alignment horizontal="center" vertical="center"/>
    </xf>
    <xf numFmtId="0" fontId="25" fillId="11" borderId="5" xfId="1" applyFont="1" applyFill="1" applyBorder="1" applyAlignment="1">
      <alignment horizontal="center" vertical="center"/>
    </xf>
    <xf numFmtId="170" fontId="20" fillId="11" borderId="1" xfId="1" applyNumberFormat="1" applyFont="1" applyFill="1" applyBorder="1" applyAlignment="1">
      <alignment horizontal="center" vertical="center"/>
    </xf>
    <xf numFmtId="10" fontId="26" fillId="11" borderId="6" xfId="6" applyNumberFormat="1" applyFont="1" applyFill="1" applyBorder="1" applyAlignment="1" applyProtection="1">
      <alignment horizontal="center" vertical="center"/>
    </xf>
    <xf numFmtId="0" fontId="41" fillId="0" borderId="0" xfId="13"/>
    <xf numFmtId="0" fontId="42" fillId="0" borderId="0" xfId="0" applyFont="1"/>
    <xf numFmtId="10" fontId="21" fillId="11" borderId="0" xfId="6" applyNumberFormat="1" applyFont="1" applyFill="1" applyBorder="1" applyAlignment="1" applyProtection="1">
      <alignment horizontal="center" vertical="center"/>
      <protection locked="0"/>
    </xf>
    <xf numFmtId="10" fontId="21" fillId="11" borderId="1" xfId="6" applyNumberFormat="1" applyFont="1" applyFill="1" applyBorder="1" applyAlignment="1" applyProtection="1">
      <alignment horizontal="center" vertical="center"/>
      <protection locked="0"/>
    </xf>
    <xf numFmtId="9" fontId="26" fillId="11" borderId="3" xfId="6" applyFont="1" applyFill="1" applyBorder="1" applyAlignment="1" applyProtection="1">
      <alignment horizontal="center" vertical="center"/>
      <protection locked="0"/>
    </xf>
    <xf numFmtId="9" fontId="26" fillId="11" borderId="6" xfId="6" applyFont="1" applyFill="1" applyBorder="1" applyAlignment="1" applyProtection="1">
      <alignment horizontal="center" vertical="center"/>
      <protection locked="0"/>
    </xf>
    <xf numFmtId="0" fontId="19" fillId="0" borderId="41" xfId="1" applyFont="1" applyBorder="1" applyAlignment="1" applyProtection="1">
      <alignment horizontal="center" vertical="center"/>
      <protection locked="0"/>
    </xf>
    <xf numFmtId="0" fontId="19" fillId="0" borderId="11" xfId="1" applyFont="1" applyBorder="1" applyAlignment="1" applyProtection="1">
      <alignment horizontal="center" vertical="center"/>
      <protection locked="0"/>
    </xf>
    <xf numFmtId="0" fontId="9" fillId="0" borderId="11" xfId="1" applyBorder="1" applyAlignment="1" applyProtection="1">
      <alignment horizontal="center"/>
      <protection locked="0"/>
    </xf>
    <xf numFmtId="0" fontId="9" fillId="0" borderId="0" xfId="1" applyProtection="1">
      <protection locked="0"/>
    </xf>
    <xf numFmtId="172" fontId="35" fillId="17" borderId="11" xfId="0" applyNumberFormat="1" applyFont="1" applyFill="1" applyBorder="1" applyAlignment="1">
      <alignment horizontal="center" vertical="center"/>
    </xf>
    <xf numFmtId="0" fontId="34" fillId="16" borderId="11" xfId="0" applyFont="1" applyFill="1" applyBorder="1" applyAlignment="1">
      <alignment horizontal="left" vertical="center"/>
    </xf>
    <xf numFmtId="0" fontId="13" fillId="0" borderId="0" xfId="0" applyFont="1"/>
    <xf numFmtId="0" fontId="13" fillId="0" borderId="0" xfId="1" applyFont="1"/>
    <xf numFmtId="0" fontId="40" fillId="0" borderId="0" xfId="1" applyFont="1" applyAlignment="1" applyProtection="1">
      <alignment horizontal="center" vertical="center"/>
      <protection hidden="1"/>
    </xf>
    <xf numFmtId="10" fontId="40" fillId="0" borderId="0" xfId="12" applyNumberFormat="1" applyFont="1" applyFill="1" applyAlignment="1" applyProtection="1">
      <alignment horizontal="center" vertical="center"/>
    </xf>
    <xf numFmtId="0" fontId="18" fillId="0" borderId="34" xfId="10" applyFont="1" applyBorder="1" applyAlignment="1">
      <alignment horizontal="center" vertical="center"/>
    </xf>
    <xf numFmtId="0" fontId="18" fillId="19" borderId="34" xfId="10" applyFont="1" applyFill="1" applyBorder="1" applyAlignment="1">
      <alignment vertical="center"/>
    </xf>
    <xf numFmtId="0" fontId="18" fillId="19" borderId="39" xfId="10" applyFont="1" applyFill="1" applyBorder="1" applyAlignment="1">
      <alignment vertical="center"/>
    </xf>
    <xf numFmtId="0" fontId="18" fillId="24" borderId="34" xfId="10" applyFont="1" applyFill="1" applyBorder="1" applyAlignment="1">
      <alignment vertical="center"/>
    </xf>
    <xf numFmtId="0" fontId="18" fillId="24" borderId="39" xfId="10" applyFont="1" applyFill="1" applyBorder="1" applyAlignment="1">
      <alignment vertical="center"/>
    </xf>
    <xf numFmtId="0" fontId="18" fillId="25" borderId="34" xfId="10" applyFont="1" applyFill="1" applyBorder="1" applyAlignment="1">
      <alignment vertical="center"/>
    </xf>
    <xf numFmtId="0" fontId="18" fillId="25" borderId="39" xfId="10" applyFont="1" applyFill="1" applyBorder="1" applyAlignment="1">
      <alignment vertical="center"/>
    </xf>
    <xf numFmtId="0" fontId="18" fillId="0" borderId="0" xfId="10" applyFont="1"/>
    <xf numFmtId="0" fontId="45" fillId="0" borderId="0" xfId="10" applyFont="1"/>
    <xf numFmtId="0" fontId="46" fillId="0" borderId="0" xfId="10" applyFont="1" applyAlignment="1">
      <alignment horizontal="center"/>
    </xf>
    <xf numFmtId="0" fontId="34" fillId="16" borderId="17" xfId="10" applyFont="1" applyFill="1" applyBorder="1" applyAlignment="1">
      <alignment horizontal="left" vertical="center"/>
    </xf>
    <xf numFmtId="0" fontId="26" fillId="11" borderId="17" xfId="10" applyFont="1" applyFill="1" applyBorder="1" applyAlignment="1">
      <alignment horizontal="center" vertical="center"/>
    </xf>
    <xf numFmtId="0" fontId="26" fillId="0" borderId="17" xfId="10" applyFont="1" applyBorder="1" applyAlignment="1">
      <alignment horizontal="center" vertical="center"/>
    </xf>
    <xf numFmtId="0" fontId="34" fillId="16" borderId="16" xfId="10" applyFont="1" applyFill="1" applyBorder="1" applyAlignment="1">
      <alignment horizontal="left" vertical="center"/>
    </xf>
    <xf numFmtId="14" fontId="35" fillId="17" borderId="16" xfId="0" applyNumberFormat="1" applyFont="1" applyFill="1" applyBorder="1" applyAlignment="1">
      <alignment horizontal="center" vertical="center"/>
    </xf>
    <xf numFmtId="182" fontId="25" fillId="15" borderId="27" xfId="10" applyNumberFormat="1" applyFont="1" applyFill="1" applyBorder="1" applyAlignment="1">
      <alignment horizontal="center" vertical="center" wrapText="1"/>
    </xf>
    <xf numFmtId="182" fontId="25" fillId="15" borderId="41" xfId="10" applyNumberFormat="1" applyFont="1" applyFill="1" applyBorder="1" applyAlignment="1">
      <alignment horizontal="center" vertical="center" wrapText="1"/>
    </xf>
    <xf numFmtId="182" fontId="25" fillId="15" borderId="26" xfId="10" applyNumberFormat="1" applyFont="1" applyFill="1" applyBorder="1" applyAlignment="1">
      <alignment horizontal="center" vertical="center" wrapText="1"/>
    </xf>
    <xf numFmtId="0" fontId="26" fillId="0" borderId="23" xfId="10" applyFont="1" applyBorder="1" applyAlignment="1">
      <alignment horizontal="center" vertical="center"/>
    </xf>
    <xf numFmtId="0" fontId="26" fillId="0" borderId="44" xfId="10" applyFont="1" applyBorder="1" applyAlignment="1">
      <alignment horizontal="center" vertical="center"/>
    </xf>
    <xf numFmtId="49" fontId="26" fillId="0" borderId="44" xfId="10" applyNumberFormat="1" applyFont="1" applyBorder="1" applyAlignment="1">
      <alignment horizontal="center" vertical="center"/>
    </xf>
    <xf numFmtId="183" fontId="26" fillId="11" borderId="44" xfId="10" applyNumberFormat="1" applyFont="1" applyFill="1" applyBorder="1" applyAlignment="1">
      <alignment horizontal="center" vertical="center" wrapText="1"/>
    </xf>
    <xf numFmtId="186" fontId="26" fillId="11" borderId="44" xfId="10" applyNumberFormat="1" applyFont="1" applyFill="1" applyBorder="1" applyAlignment="1">
      <alignment horizontal="center" vertical="center" wrapText="1"/>
    </xf>
    <xf numFmtId="185" fontId="26" fillId="11" borderId="44" xfId="10" applyNumberFormat="1" applyFont="1" applyFill="1" applyBorder="1" applyAlignment="1">
      <alignment horizontal="center" vertical="center" wrapText="1"/>
    </xf>
    <xf numFmtId="0" fontId="26" fillId="11" borderId="44" xfId="10" applyFont="1" applyFill="1" applyBorder="1" applyAlignment="1">
      <alignment horizontal="center" vertical="center" wrapText="1"/>
    </xf>
    <xf numFmtId="0" fontId="20" fillId="11" borderId="44" xfId="10" applyFont="1" applyFill="1" applyBorder="1" applyAlignment="1">
      <alignment horizontal="center" vertical="center"/>
    </xf>
    <xf numFmtId="14" fontId="35" fillId="17" borderId="21" xfId="0" applyNumberFormat="1" applyFont="1" applyFill="1" applyBorder="1" applyAlignment="1">
      <alignment horizontal="center" vertical="center"/>
    </xf>
    <xf numFmtId="44" fontId="7" fillId="0" borderId="0" xfId="10" applyNumberFormat="1"/>
    <xf numFmtId="0" fontId="18" fillId="33" borderId="34" xfId="10" applyFont="1" applyFill="1" applyBorder="1" applyAlignment="1">
      <alignment vertical="center"/>
    </xf>
    <xf numFmtId="0" fontId="18" fillId="33" borderId="39" xfId="10" applyFont="1" applyFill="1" applyBorder="1" applyAlignment="1">
      <alignment vertical="center"/>
    </xf>
    <xf numFmtId="0" fontId="18" fillId="36" borderId="34" xfId="10" applyFont="1" applyFill="1" applyBorder="1" applyAlignment="1">
      <alignment vertical="center"/>
    </xf>
    <xf numFmtId="0" fontId="18" fillId="36" borderId="39" xfId="10" applyFont="1" applyFill="1" applyBorder="1" applyAlignment="1">
      <alignment vertical="center"/>
    </xf>
    <xf numFmtId="0" fontId="18" fillId="40" borderId="34" xfId="10" applyFont="1" applyFill="1" applyBorder="1" applyAlignment="1">
      <alignment vertical="center"/>
    </xf>
    <xf numFmtId="0" fontId="18" fillId="40" borderId="39" xfId="10" applyFont="1" applyFill="1" applyBorder="1" applyAlignment="1">
      <alignment vertical="center"/>
    </xf>
    <xf numFmtId="0" fontId="18" fillId="43" borderId="34" xfId="10" applyFont="1" applyFill="1" applyBorder="1" applyAlignment="1">
      <alignment vertical="center"/>
    </xf>
    <xf numFmtId="0" fontId="18" fillId="43" borderId="39" xfId="10" applyFont="1" applyFill="1" applyBorder="1" applyAlignment="1">
      <alignment vertical="center"/>
    </xf>
    <xf numFmtId="0" fontId="18" fillId="30" borderId="34" xfId="10" applyFont="1" applyFill="1" applyBorder="1" applyAlignment="1">
      <alignment vertical="center"/>
    </xf>
    <xf numFmtId="0" fontId="18" fillId="30" borderId="39" xfId="10" applyFont="1" applyFill="1" applyBorder="1" applyAlignment="1">
      <alignment vertical="center"/>
    </xf>
    <xf numFmtId="0" fontId="18" fillId="37" borderId="34" xfId="10" applyFont="1" applyFill="1" applyBorder="1" applyAlignment="1">
      <alignment vertical="center"/>
    </xf>
    <xf numFmtId="0" fontId="18" fillId="37" borderId="39" xfId="10" applyFont="1" applyFill="1" applyBorder="1" applyAlignment="1">
      <alignment vertical="center"/>
    </xf>
    <xf numFmtId="0" fontId="18" fillId="18" borderId="34" xfId="10" applyFont="1" applyFill="1" applyBorder="1" applyAlignment="1">
      <alignment vertical="center"/>
    </xf>
    <xf numFmtId="0" fontId="18" fillId="18" borderId="39" xfId="10" applyFont="1" applyFill="1" applyBorder="1" applyAlignment="1">
      <alignment vertical="center"/>
    </xf>
    <xf numFmtId="0" fontId="18" fillId="50" borderId="34" xfId="10" applyFont="1" applyFill="1" applyBorder="1" applyAlignment="1">
      <alignment vertical="center"/>
    </xf>
    <xf numFmtId="0" fontId="18" fillId="50" borderId="39" xfId="10" applyFont="1" applyFill="1" applyBorder="1" applyAlignment="1">
      <alignment vertical="center"/>
    </xf>
    <xf numFmtId="0" fontId="7" fillId="28" borderId="0" xfId="10" applyFill="1" applyAlignment="1" applyProtection="1">
      <alignment horizontal="center" vertical="center"/>
      <protection locked="0"/>
    </xf>
    <xf numFmtId="0" fontId="7" fillId="0" borderId="0" xfId="10" applyAlignment="1">
      <alignment horizontal="center" vertical="center"/>
    </xf>
    <xf numFmtId="2" fontId="7" fillId="0" borderId="0" xfId="10" applyNumberFormat="1" applyAlignment="1">
      <alignment horizontal="center" vertical="center"/>
    </xf>
    <xf numFmtId="181" fontId="7" fillId="0" borderId="0" xfId="10" applyNumberFormat="1" applyAlignment="1">
      <alignment horizontal="center" vertical="center"/>
    </xf>
    <xf numFmtId="189" fontId="7" fillId="0" borderId="0" xfId="10" applyNumberFormat="1" applyAlignment="1">
      <alignment horizontal="center" vertical="center"/>
    </xf>
    <xf numFmtId="172" fontId="7" fillId="0" borderId="0" xfId="10" applyNumberFormat="1" applyAlignment="1">
      <alignment horizontal="center" vertical="center"/>
    </xf>
    <xf numFmtId="0" fontId="18" fillId="0" borderId="0" xfId="10" applyFont="1" applyAlignment="1">
      <alignment horizontal="right"/>
    </xf>
    <xf numFmtId="0" fontId="14" fillId="0" borderId="8" xfId="1" applyFont="1" applyBorder="1"/>
    <xf numFmtId="0" fontId="47" fillId="0" borderId="8" xfId="1" applyFont="1" applyBorder="1" applyAlignment="1">
      <alignment horizontal="center"/>
    </xf>
    <xf numFmtId="0" fontId="14" fillId="0" borderId="0" xfId="1" applyFont="1"/>
    <xf numFmtId="0" fontId="47" fillId="0" borderId="31" xfId="15" applyFont="1" applyBorder="1" applyAlignment="1">
      <alignment horizontal="center" vertical="center"/>
    </xf>
    <xf numFmtId="0" fontId="47" fillId="0" borderId="22" xfId="15" applyFont="1" applyBorder="1" applyAlignment="1">
      <alignment horizontal="center" vertical="center"/>
    </xf>
    <xf numFmtId="0" fontId="47" fillId="0" borderId="23" xfId="15" applyFont="1" applyBorder="1" applyAlignment="1">
      <alignment horizontal="center" vertical="center"/>
    </xf>
    <xf numFmtId="0" fontId="47" fillId="0" borderId="0" xfId="15" applyFont="1" applyAlignment="1">
      <alignment horizontal="center" vertical="center"/>
    </xf>
    <xf numFmtId="0" fontId="14" fillId="0" borderId="0" xfId="1" applyFont="1" applyAlignment="1">
      <alignment horizontal="center"/>
    </xf>
    <xf numFmtId="0" fontId="47" fillId="4" borderId="48" xfId="1" applyFont="1" applyFill="1" applyBorder="1" applyAlignment="1">
      <alignment horizontal="center" vertical="center" wrapText="1"/>
    </xf>
    <xf numFmtId="193" fontId="47" fillId="4" borderId="50" xfId="8" applyNumberFormat="1" applyFont="1" applyFill="1" applyBorder="1" applyAlignment="1">
      <alignment horizontal="center" vertical="center" wrapText="1"/>
    </xf>
    <xf numFmtId="0" fontId="14" fillId="0" borderId="31" xfId="1" applyFont="1" applyBorder="1" applyAlignment="1">
      <alignment horizontal="center" vertical="center" wrapText="1"/>
    </xf>
    <xf numFmtId="44" fontId="14" fillId="0" borderId="22" xfId="9" applyFont="1" applyFill="1" applyBorder="1" applyAlignment="1">
      <alignment horizontal="center" vertical="center"/>
    </xf>
    <xf numFmtId="176" fontId="14" fillId="29" borderId="22" xfId="8" applyNumberFormat="1" applyFont="1" applyFill="1" applyBorder="1" applyAlignment="1">
      <alignment horizontal="center" vertical="center"/>
    </xf>
    <xf numFmtId="7" fontId="48" fillId="0" borderId="23" xfId="9" applyNumberFormat="1" applyFont="1" applyFill="1" applyBorder="1" applyAlignment="1">
      <alignment horizontal="center" vertical="center"/>
    </xf>
    <xf numFmtId="7" fontId="48" fillId="0" borderId="0" xfId="9" applyNumberFormat="1" applyFont="1" applyFill="1" applyBorder="1" applyAlignment="1">
      <alignment horizontal="center" vertical="center"/>
    </xf>
    <xf numFmtId="194" fontId="47" fillId="32" borderId="51" xfId="1" applyNumberFormat="1" applyFont="1" applyFill="1" applyBorder="1" applyAlignment="1">
      <alignment horizontal="center" vertical="center"/>
    </xf>
    <xf numFmtId="49" fontId="47" fillId="32" borderId="53" xfId="9" applyNumberFormat="1" applyFont="1" applyFill="1" applyBorder="1" applyAlignment="1">
      <alignment horizontal="center" vertical="center"/>
    </xf>
    <xf numFmtId="0" fontId="14" fillId="0" borderId="4" xfId="1" applyFont="1" applyBorder="1" applyAlignment="1">
      <alignment horizontal="center" vertical="center" wrapText="1"/>
    </xf>
    <xf numFmtId="44" fontId="14" fillId="0" borderId="0" xfId="9" applyFont="1" applyFill="1" applyBorder="1" applyAlignment="1">
      <alignment horizontal="center" vertical="center"/>
    </xf>
    <xf numFmtId="176" fontId="14" fillId="29" borderId="0" xfId="8" applyNumberFormat="1" applyFont="1" applyFill="1" applyBorder="1" applyAlignment="1">
      <alignment horizontal="center" vertical="center"/>
    </xf>
    <xf numFmtId="7" fontId="48" fillId="0" borderId="25" xfId="9" applyNumberFormat="1" applyFont="1" applyFill="1" applyBorder="1" applyAlignment="1">
      <alignment horizontal="center" vertical="center"/>
    </xf>
    <xf numFmtId="176" fontId="14" fillId="0" borderId="0" xfId="8" applyNumberFormat="1" applyFont="1" applyFill="1" applyBorder="1" applyAlignment="1">
      <alignment horizontal="center" vertical="center"/>
    </xf>
    <xf numFmtId="43" fontId="14" fillId="29" borderId="0" xfId="1" applyNumberFormat="1" applyFont="1" applyFill="1"/>
    <xf numFmtId="0" fontId="14" fillId="0" borderId="13" xfId="1" applyFont="1" applyBorder="1" applyAlignment="1">
      <alignment horizontal="center" vertical="center" wrapText="1"/>
    </xf>
    <xf numFmtId="44" fontId="14" fillId="0" borderId="10" xfId="9" applyFont="1" applyFill="1" applyBorder="1" applyAlignment="1">
      <alignment horizontal="center" vertical="center"/>
    </xf>
    <xf numFmtId="44" fontId="14" fillId="29" borderId="10" xfId="9" applyFont="1" applyFill="1" applyBorder="1" applyAlignment="1">
      <alignment horizontal="center" vertical="center"/>
    </xf>
    <xf numFmtId="7" fontId="48" fillId="0" borderId="27" xfId="9" applyNumberFormat="1" applyFont="1" applyFill="1" applyBorder="1" applyAlignment="1">
      <alignment horizontal="center" vertical="center"/>
    </xf>
    <xf numFmtId="44" fontId="14" fillId="29" borderId="0" xfId="9" applyFont="1" applyFill="1" applyBorder="1" applyAlignment="1">
      <alignment horizontal="center" vertical="center"/>
    </xf>
    <xf numFmtId="44" fontId="14" fillId="0" borderId="23" xfId="9" applyFont="1" applyFill="1" applyBorder="1" applyAlignment="1">
      <alignment horizontal="center" vertical="center"/>
    </xf>
    <xf numFmtId="44" fontId="14" fillId="0" borderId="25" xfId="9" applyFont="1" applyFill="1" applyBorder="1" applyAlignment="1">
      <alignment horizontal="center" vertical="center"/>
    </xf>
    <xf numFmtId="176" fontId="47" fillId="0" borderId="0" xfId="8" applyNumberFormat="1" applyFont="1" applyFill="1" applyBorder="1" applyAlignment="1">
      <alignment horizontal="center" vertical="center"/>
    </xf>
    <xf numFmtId="44" fontId="47" fillId="0" borderId="0" xfId="9" applyFont="1" applyFill="1" applyBorder="1" applyAlignment="1">
      <alignment horizontal="center" vertical="center"/>
    </xf>
    <xf numFmtId="44" fontId="47" fillId="0" borderId="25" xfId="9" applyFont="1" applyFill="1" applyBorder="1" applyAlignment="1">
      <alignment horizontal="center" vertical="center"/>
    </xf>
    <xf numFmtId="0" fontId="47" fillId="0" borderId="11" xfId="15" applyFont="1" applyBorder="1" applyAlignment="1">
      <alignment vertical="center"/>
    </xf>
    <xf numFmtId="0" fontId="47" fillId="0" borderId="11" xfId="15" applyFont="1" applyBorder="1" applyAlignment="1">
      <alignment horizontal="center" vertical="center" wrapText="1"/>
    </xf>
    <xf numFmtId="10" fontId="47" fillId="0" borderId="54" xfId="15" applyNumberFormat="1" applyFont="1" applyBorder="1" applyAlignment="1">
      <alignment horizontal="center" vertical="center" wrapText="1"/>
    </xf>
    <xf numFmtId="44" fontId="14" fillId="0" borderId="0" xfId="16" applyFont="1" applyFill="1" applyBorder="1" applyAlignment="1">
      <alignment horizontal="center" vertical="center"/>
    </xf>
    <xf numFmtId="43" fontId="14" fillId="29" borderId="0" xfId="8" applyFont="1" applyFill="1" applyBorder="1" applyAlignment="1">
      <alignment horizontal="center" vertical="center"/>
    </xf>
    <xf numFmtId="43" fontId="14" fillId="0" borderId="0" xfId="8" applyFont="1" applyFill="1" applyBorder="1" applyAlignment="1">
      <alignment horizontal="center" vertical="center"/>
    </xf>
    <xf numFmtId="44" fontId="14" fillId="29" borderId="25" xfId="9" applyFont="1" applyFill="1" applyBorder="1" applyAlignment="1">
      <alignment horizontal="center" vertical="center"/>
    </xf>
    <xf numFmtId="5" fontId="14" fillId="28" borderId="11" xfId="9" applyNumberFormat="1" applyFont="1" applyFill="1" applyBorder="1" applyAlignment="1">
      <alignment horizontal="center" vertical="center"/>
    </xf>
    <xf numFmtId="195" fontId="14" fillId="28" borderId="11" xfId="16" applyNumberFormat="1" applyFont="1" applyFill="1" applyBorder="1" applyAlignment="1">
      <alignment horizontal="center" vertical="center"/>
    </xf>
    <xf numFmtId="9" fontId="14" fillId="11" borderId="11" xfId="17" applyFont="1" applyFill="1" applyBorder="1" applyAlignment="1">
      <alignment horizontal="center" vertical="center"/>
    </xf>
    <xf numFmtId="10" fontId="14" fillId="0" borderId="11" xfId="6" applyNumberFormat="1" applyFont="1" applyFill="1" applyBorder="1" applyAlignment="1">
      <alignment horizontal="center" vertical="center"/>
    </xf>
    <xf numFmtId="195" fontId="14" fillId="0" borderId="11" xfId="16" applyNumberFormat="1" applyFont="1" applyFill="1" applyBorder="1" applyAlignment="1">
      <alignment horizontal="center" vertical="center"/>
    </xf>
    <xf numFmtId="44" fontId="14" fillId="0" borderId="54" xfId="1" applyNumberFormat="1" applyFont="1" applyBorder="1"/>
    <xf numFmtId="44" fontId="14" fillId="0" borderId="10" xfId="16" applyFont="1" applyFill="1" applyBorder="1" applyAlignment="1">
      <alignment horizontal="center" vertical="center"/>
    </xf>
    <xf numFmtId="43" fontId="14" fillId="0" borderId="10" xfId="8" applyFont="1" applyFill="1" applyBorder="1" applyAlignment="1">
      <alignment horizontal="center" vertical="center"/>
    </xf>
    <xf numFmtId="44" fontId="14" fillId="0" borderId="27" xfId="9" applyFont="1" applyFill="1" applyBorder="1" applyAlignment="1">
      <alignment horizontal="center" vertical="center"/>
    </xf>
    <xf numFmtId="5" fontId="14" fillId="2" borderId="11" xfId="9" applyNumberFormat="1" applyFont="1" applyFill="1" applyBorder="1" applyAlignment="1">
      <alignment horizontal="center" vertical="center"/>
    </xf>
    <xf numFmtId="195" fontId="14" fillId="2" borderId="11" xfId="16" applyNumberFormat="1" applyFont="1" applyFill="1" applyBorder="1" applyAlignment="1">
      <alignment horizontal="center" vertical="center"/>
    </xf>
    <xf numFmtId="10" fontId="14" fillId="0" borderId="11" xfId="17" applyNumberFormat="1" applyFont="1" applyFill="1" applyBorder="1" applyAlignment="1">
      <alignment horizontal="center" vertical="center"/>
    </xf>
    <xf numFmtId="5" fontId="14" fillId="55" borderId="11" xfId="9" applyNumberFormat="1" applyFont="1" applyFill="1" applyBorder="1" applyAlignment="1">
      <alignment horizontal="center" vertical="center"/>
    </xf>
    <xf numFmtId="195" fontId="14" fillId="55" borderId="11" xfId="16" applyNumberFormat="1" applyFont="1" applyFill="1" applyBorder="1" applyAlignment="1">
      <alignment horizontal="center" vertical="center"/>
    </xf>
    <xf numFmtId="10" fontId="14" fillId="0" borderId="41" xfId="17" applyNumberFormat="1" applyFont="1" applyFill="1" applyBorder="1" applyAlignment="1">
      <alignment horizontal="center" vertical="center"/>
    </xf>
    <xf numFmtId="5" fontId="14" fillId="0" borderId="10" xfId="9" applyNumberFormat="1" applyFont="1" applyFill="1" applyBorder="1" applyAlignment="1">
      <alignment horizontal="center" vertical="center"/>
    </xf>
    <xf numFmtId="9" fontId="14" fillId="2" borderId="10" xfId="17" applyFont="1" applyFill="1" applyBorder="1" applyAlignment="1">
      <alignment horizontal="center" vertical="center"/>
    </xf>
    <xf numFmtId="0" fontId="14" fillId="0" borderId="27" xfId="18" applyFont="1" applyBorder="1" applyAlignment="1">
      <alignment horizontal="center" vertical="center"/>
    </xf>
    <xf numFmtId="5" fontId="14" fillId="56" borderId="11" xfId="9" applyNumberFormat="1" applyFont="1" applyFill="1" applyBorder="1" applyAlignment="1">
      <alignment horizontal="center" vertical="center"/>
    </xf>
    <xf numFmtId="195" fontId="14" fillId="56" borderId="11" xfId="16" applyNumberFormat="1" applyFont="1" applyFill="1" applyBorder="1" applyAlignment="1">
      <alignment horizontal="center" vertical="center"/>
    </xf>
    <xf numFmtId="0" fontId="14" fillId="0" borderId="5" xfId="15" applyFont="1" applyBorder="1" applyAlignment="1">
      <alignment horizontal="center" vertical="center"/>
    </xf>
    <xf numFmtId="0" fontId="47" fillId="0" borderId="1" xfId="15" applyFont="1" applyBorder="1" applyAlignment="1">
      <alignment vertical="center"/>
    </xf>
    <xf numFmtId="44" fontId="47" fillId="0" borderId="1" xfId="9" applyFont="1" applyBorder="1" applyAlignment="1">
      <alignment horizontal="center" vertical="center"/>
    </xf>
    <xf numFmtId="193" fontId="47" fillId="0" borderId="1" xfId="8" applyNumberFormat="1" applyFont="1" applyFill="1" applyBorder="1" applyAlignment="1">
      <alignment horizontal="center" vertical="center"/>
    </xf>
    <xf numFmtId="0" fontId="14" fillId="0" borderId="55" xfId="15" applyFont="1" applyBorder="1" applyAlignment="1">
      <alignment horizontal="center" vertical="center"/>
    </xf>
    <xf numFmtId="0" fontId="14" fillId="0" borderId="1" xfId="1" applyFont="1" applyBorder="1"/>
    <xf numFmtId="0" fontId="47" fillId="0" borderId="12" xfId="15" applyFont="1" applyBorder="1" applyAlignment="1">
      <alignment vertical="center"/>
    </xf>
    <xf numFmtId="5" fontId="14" fillId="0" borderId="12" xfId="9" applyNumberFormat="1" applyFont="1" applyFill="1" applyBorder="1" applyAlignment="1">
      <alignment horizontal="center" vertical="center"/>
    </xf>
    <xf numFmtId="10" fontId="14" fillId="0" borderId="12" xfId="6" applyNumberFormat="1" applyFont="1" applyFill="1" applyBorder="1" applyAlignment="1">
      <alignment horizontal="center" vertical="center"/>
    </xf>
    <xf numFmtId="44" fontId="14" fillId="0" borderId="12" xfId="9" applyFont="1" applyFill="1" applyBorder="1" applyAlignment="1">
      <alignment horizontal="center" vertical="center"/>
    </xf>
    <xf numFmtId="10" fontId="14" fillId="0" borderId="12" xfId="17" applyNumberFormat="1" applyFont="1" applyFill="1" applyBorder="1" applyAlignment="1">
      <alignment horizontal="center" vertical="center"/>
    </xf>
    <xf numFmtId="44" fontId="14" fillId="0" borderId="30" xfId="1" applyNumberFormat="1" applyFont="1" applyBorder="1"/>
    <xf numFmtId="0" fontId="14" fillId="0" borderId="0" xfId="15" applyFont="1" applyAlignment="1">
      <alignment horizontal="center" vertical="center"/>
    </xf>
    <xf numFmtId="0" fontId="47" fillId="0" borderId="0" xfId="15" applyFont="1" applyAlignment="1">
      <alignment vertical="center"/>
    </xf>
    <xf numFmtId="44" fontId="47" fillId="0" borderId="0" xfId="9" applyFont="1" applyBorder="1" applyAlignment="1">
      <alignment horizontal="center" vertical="center"/>
    </xf>
    <xf numFmtId="193" fontId="47" fillId="0" borderId="0" xfId="8" applyNumberFormat="1" applyFont="1" applyFill="1" applyBorder="1" applyAlignment="1">
      <alignment horizontal="center" vertical="center"/>
    </xf>
    <xf numFmtId="5" fontId="14" fillId="0" borderId="0" xfId="9" applyNumberFormat="1" applyFont="1" applyFill="1" applyBorder="1" applyAlignment="1">
      <alignment horizontal="center" vertical="center"/>
    </xf>
    <xf numFmtId="10" fontId="14" fillId="0" borderId="0" xfId="6" applyNumberFormat="1" applyFont="1" applyFill="1" applyBorder="1" applyAlignment="1">
      <alignment horizontal="center" vertical="center"/>
    </xf>
    <xf numFmtId="10" fontId="14" fillId="0" borderId="0" xfId="17" applyNumberFormat="1" applyFont="1" applyFill="1" applyBorder="1" applyAlignment="1">
      <alignment horizontal="center" vertical="center"/>
    </xf>
    <xf numFmtId="44" fontId="14" fillId="0" borderId="0" xfId="1" applyNumberFormat="1" applyFont="1"/>
    <xf numFmtId="0" fontId="47" fillId="0" borderId="56" xfId="19" applyFont="1" applyBorder="1" applyAlignment="1">
      <alignment horizontal="center" wrapText="1"/>
    </xf>
    <xf numFmtId="0" fontId="47" fillId="0" borderId="57" xfId="20" applyFont="1" applyBorder="1" applyAlignment="1">
      <alignment horizontal="center" wrapText="1"/>
    </xf>
    <xf numFmtId="0" fontId="47" fillId="0" borderId="58" xfId="20" applyFont="1" applyBorder="1" applyAlignment="1">
      <alignment horizontal="center" wrapText="1"/>
    </xf>
    <xf numFmtId="0" fontId="47" fillId="0" borderId="42" xfId="20" applyFont="1" applyBorder="1" applyAlignment="1">
      <alignment horizontal="center" wrapText="1"/>
    </xf>
    <xf numFmtId="0" fontId="47" fillId="0" borderId="57" xfId="19" applyFont="1" applyBorder="1" applyAlignment="1">
      <alignment horizontal="center" wrapText="1"/>
    </xf>
    <xf numFmtId="0" fontId="47" fillId="0" borderId="58" xfId="19" applyFont="1" applyBorder="1" applyAlignment="1">
      <alignment horizontal="center" wrapText="1"/>
    </xf>
    <xf numFmtId="0" fontId="47" fillId="0" borderId="59" xfId="20" applyFont="1" applyBorder="1" applyAlignment="1">
      <alignment horizontal="center" wrapText="1"/>
    </xf>
    <xf numFmtId="0" fontId="14" fillId="0" borderId="60" xfId="20" applyFont="1" applyBorder="1" applyAlignment="1">
      <alignment horizontal="center"/>
    </xf>
    <xf numFmtId="0" fontId="14" fillId="0" borderId="61" xfId="20" applyFont="1" applyBorder="1" applyAlignment="1">
      <alignment horizontal="center"/>
    </xf>
    <xf numFmtId="0" fontId="14" fillId="0" borderId="47" xfId="20" applyFont="1" applyBorder="1" applyAlignment="1">
      <alignment horizontal="left"/>
    </xf>
    <xf numFmtId="0" fontId="14" fillId="0" borderId="41" xfId="20" applyFont="1" applyBorder="1" applyAlignment="1">
      <alignment horizontal="center"/>
    </xf>
    <xf numFmtId="44" fontId="14" fillId="0" borderId="41" xfId="9" applyFont="1" applyBorder="1" applyAlignment="1">
      <alignment horizontal="center"/>
    </xf>
    <xf numFmtId="0" fontId="14" fillId="0" borderId="11" xfId="19" applyFont="1" applyBorder="1" applyAlignment="1">
      <alignment horizontal="center"/>
    </xf>
    <xf numFmtId="0" fontId="14" fillId="0" borderId="17" xfId="19" applyFont="1" applyBorder="1" applyAlignment="1">
      <alignment horizontal="left"/>
    </xf>
    <xf numFmtId="44" fontId="14" fillId="0" borderId="41" xfId="9" applyFont="1" applyFill="1" applyBorder="1" applyAlignment="1">
      <alignment horizontal="center"/>
    </xf>
    <xf numFmtId="0" fontId="14" fillId="0" borderId="11" xfId="20" applyFont="1" applyBorder="1" applyAlignment="1">
      <alignment horizontal="center"/>
    </xf>
    <xf numFmtId="0" fontId="14" fillId="0" borderId="64" xfId="20" applyFont="1" applyBorder="1" applyAlignment="1">
      <alignment horizontal="center"/>
    </xf>
    <xf numFmtId="44" fontId="14" fillId="0" borderId="11" xfId="9" applyFont="1" applyFill="1" applyBorder="1"/>
    <xf numFmtId="0" fontId="14" fillId="0" borderId="64" xfId="20" applyFont="1" applyBorder="1"/>
    <xf numFmtId="44" fontId="14" fillId="0" borderId="11" xfId="9" applyFont="1" applyBorder="1"/>
    <xf numFmtId="0" fontId="14" fillId="0" borderId="19" xfId="20" applyFont="1" applyBorder="1"/>
    <xf numFmtId="0" fontId="14" fillId="0" borderId="65" xfId="20" applyFont="1" applyBorder="1" applyAlignment="1">
      <alignment horizontal="center"/>
    </xf>
    <xf numFmtId="0" fontId="14" fillId="0" borderId="66" xfId="20" applyFont="1" applyBorder="1" applyAlignment="1">
      <alignment horizontal="left"/>
    </xf>
    <xf numFmtId="0" fontId="14" fillId="0" borderId="67" xfId="20" applyFont="1" applyBorder="1" applyAlignment="1">
      <alignment horizontal="center"/>
    </xf>
    <xf numFmtId="44" fontId="14" fillId="0" borderId="65" xfId="9" applyFont="1" applyBorder="1"/>
    <xf numFmtId="0" fontId="14" fillId="29" borderId="32" xfId="20" applyFont="1" applyFill="1" applyBorder="1" applyAlignment="1">
      <alignment horizontal="center"/>
    </xf>
    <xf numFmtId="0" fontId="14" fillId="0" borderId="32" xfId="20" applyFont="1" applyBorder="1" applyAlignment="1">
      <alignment horizontal="center"/>
    </xf>
    <xf numFmtId="4" fontId="14" fillId="0" borderId="34" xfId="20" applyNumberFormat="1" applyFont="1" applyBorder="1" applyAlignment="1">
      <alignment wrapText="1"/>
    </xf>
    <xf numFmtId="44" fontId="47" fillId="0" borderId="32" xfId="16" applyFont="1" applyBorder="1"/>
    <xf numFmtId="0" fontId="43" fillId="0" borderId="0" xfId="1" applyFont="1"/>
    <xf numFmtId="0" fontId="47" fillId="0" borderId="56" xfId="20" applyFont="1" applyBorder="1" applyAlignment="1">
      <alignment horizontal="center" wrapText="1"/>
    </xf>
    <xf numFmtId="0" fontId="47" fillId="0" borderId="32" xfId="20" applyFont="1" applyBorder="1" applyAlignment="1">
      <alignment horizontal="center" wrapText="1"/>
    </xf>
    <xf numFmtId="0" fontId="14" fillId="0" borderId="18" xfId="20" applyFont="1" applyBorder="1" applyAlignment="1">
      <alignment horizontal="center"/>
    </xf>
    <xf numFmtId="0" fontId="14" fillId="0" borderId="11" xfId="20" applyFont="1" applyBorder="1" applyAlignment="1">
      <alignment horizontal="left" indent="1"/>
    </xf>
    <xf numFmtId="0" fontId="14" fillId="0" borderId="11" xfId="19" applyFont="1" applyBorder="1" applyAlignment="1">
      <alignment horizontal="left" indent="1"/>
    </xf>
    <xf numFmtId="2" fontId="14" fillId="0" borderId="41" xfId="20" applyNumberFormat="1" applyFont="1" applyBorder="1" applyAlignment="1">
      <alignment horizontal="center"/>
    </xf>
    <xf numFmtId="0" fontId="51" fillId="0" borderId="0" xfId="1" applyFont="1" applyAlignment="1">
      <alignment horizontal="left" indent="1"/>
    </xf>
    <xf numFmtId="7" fontId="14" fillId="0" borderId="0" xfId="1" applyNumberFormat="1" applyFont="1"/>
    <xf numFmtId="0" fontId="14" fillId="0" borderId="0" xfId="1" applyFont="1" applyAlignment="1">
      <alignment horizontal="left" indent="1"/>
    </xf>
    <xf numFmtId="44" fontId="14" fillId="0" borderId="11" xfId="9" applyFont="1" applyFill="1" applyBorder="1" applyAlignment="1">
      <alignment horizontal="center"/>
    </xf>
    <xf numFmtId="0" fontId="14" fillId="0" borderId="65" xfId="20" applyFont="1" applyBorder="1" applyAlignment="1">
      <alignment horizontal="left" indent="1"/>
    </xf>
    <xf numFmtId="0" fontId="14" fillId="0" borderId="65" xfId="20" applyFont="1" applyBorder="1"/>
    <xf numFmtId="0" fontId="14" fillId="0" borderId="68" xfId="20" applyFont="1" applyBorder="1" applyAlignment="1">
      <alignment horizontal="center"/>
    </xf>
    <xf numFmtId="0" fontId="14" fillId="0" borderId="39" xfId="20" applyFont="1" applyBorder="1"/>
    <xf numFmtId="0" fontId="14" fillId="0" borderId="11" xfId="20" applyFont="1" applyBorder="1"/>
    <xf numFmtId="0" fontId="14" fillId="0" borderId="47" xfId="20" applyFont="1" applyBorder="1"/>
    <xf numFmtId="0" fontId="14" fillId="0" borderId="17" xfId="19" applyFont="1" applyBorder="1"/>
    <xf numFmtId="0" fontId="14" fillId="0" borderId="66" xfId="20" applyFont="1" applyBorder="1"/>
    <xf numFmtId="0" fontId="14" fillId="0" borderId="60" xfId="19" applyFont="1" applyBorder="1" applyAlignment="1">
      <alignment horizontal="center"/>
    </xf>
    <xf numFmtId="0" fontId="14" fillId="0" borderId="11" xfId="19" applyFont="1" applyBorder="1" applyAlignment="1">
      <alignment horizontal="center" wrapText="1"/>
    </xf>
    <xf numFmtId="0" fontId="14" fillId="0" borderId="41" xfId="19" applyFont="1" applyBorder="1" applyAlignment="1">
      <alignment horizontal="center"/>
    </xf>
    <xf numFmtId="44" fontId="14" fillId="0" borderId="41" xfId="16" applyFont="1" applyBorder="1" applyAlignment="1">
      <alignment horizontal="center"/>
    </xf>
    <xf numFmtId="0" fontId="14" fillId="0" borderId="64" xfId="19" applyFont="1" applyBorder="1" applyAlignment="1">
      <alignment horizontal="center"/>
    </xf>
    <xf numFmtId="0" fontId="14" fillId="0" borderId="17" xfId="19" applyFont="1" applyBorder="1" applyAlignment="1">
      <alignment horizontal="left" wrapText="1"/>
    </xf>
    <xf numFmtId="14" fontId="14" fillId="0" borderId="11" xfId="19" applyNumberFormat="1" applyFont="1" applyBorder="1" applyAlignment="1">
      <alignment horizontal="center"/>
    </xf>
    <xf numFmtId="14" fontId="14" fillId="0" borderId="41" xfId="19" applyNumberFormat="1" applyFont="1" applyBorder="1" applyAlignment="1">
      <alignment horizontal="center"/>
    </xf>
    <xf numFmtId="44" fontId="14" fillId="0" borderId="11" xfId="16" applyFont="1" applyBorder="1" applyAlignment="1">
      <alignment horizontal="center"/>
    </xf>
    <xf numFmtId="0" fontId="14" fillId="0" borderId="13" xfId="19" applyFont="1" applyBorder="1" applyAlignment="1">
      <alignment horizontal="center"/>
    </xf>
    <xf numFmtId="0" fontId="14" fillId="0" borderId="14" xfId="19" applyFont="1" applyBorder="1" applyAlignment="1">
      <alignment horizontal="center"/>
    </xf>
    <xf numFmtId="0" fontId="14" fillId="0" borderId="17" xfId="19" applyFont="1" applyBorder="1" applyAlignment="1">
      <alignment horizontal="center"/>
    </xf>
    <xf numFmtId="0" fontId="14" fillId="0" borderId="11" xfId="19" quotePrefix="1" applyFont="1" applyBorder="1" applyAlignment="1">
      <alignment horizontal="center" wrapText="1"/>
    </xf>
    <xf numFmtId="14" fontId="14" fillId="0" borderId="0" xfId="1" applyNumberFormat="1" applyFont="1"/>
    <xf numFmtId="0" fontId="14" fillId="0" borderId="16" xfId="19" applyFont="1" applyBorder="1" applyAlignment="1">
      <alignment horizontal="center" wrapText="1"/>
    </xf>
    <xf numFmtId="0" fontId="14" fillId="0" borderId="16" xfId="19" quotePrefix="1" applyFont="1" applyBorder="1" applyAlignment="1">
      <alignment horizontal="center" wrapText="1"/>
    </xf>
    <xf numFmtId="0" fontId="14" fillId="0" borderId="71" xfId="19" applyFont="1" applyBorder="1" applyAlignment="1">
      <alignment horizontal="center"/>
    </xf>
    <xf numFmtId="0" fontId="14" fillId="0" borderId="44" xfId="19" applyFont="1" applyBorder="1" applyAlignment="1">
      <alignment horizontal="center"/>
    </xf>
    <xf numFmtId="44" fontId="14" fillId="0" borderId="44" xfId="16" applyFont="1" applyBorder="1" applyAlignment="1">
      <alignment horizontal="center"/>
    </xf>
    <xf numFmtId="0" fontId="14" fillId="29" borderId="32" xfId="20" applyFont="1" applyFill="1" applyBorder="1" applyAlignment="1">
      <alignment horizontal="center" vertical="center"/>
    </xf>
    <xf numFmtId="0" fontId="14" fillId="0" borderId="39" xfId="19" applyFont="1" applyBorder="1"/>
    <xf numFmtId="0" fontId="14" fillId="0" borderId="34" xfId="19" applyFont="1" applyBorder="1" applyAlignment="1">
      <alignment horizontal="center" vertical="top" wrapText="1"/>
    </xf>
    <xf numFmtId="44" fontId="47" fillId="0" borderId="32" xfId="16" applyFont="1" applyBorder="1" applyAlignment="1">
      <alignment horizontal="center"/>
    </xf>
    <xf numFmtId="0" fontId="14" fillId="0" borderId="41" xfId="19" applyFont="1" applyBorder="1" applyAlignment="1">
      <alignment horizontal="center" vertical="center" wrapText="1"/>
    </xf>
    <xf numFmtId="0" fontId="14" fillId="0" borderId="47" xfId="19" applyFont="1" applyBorder="1" applyAlignment="1">
      <alignment horizontal="left" vertical="center" wrapText="1"/>
    </xf>
    <xf numFmtId="0" fontId="14" fillId="0" borderId="11" xfId="19" applyFont="1" applyBorder="1" applyAlignment="1">
      <alignment horizontal="center" vertical="center" wrapText="1"/>
    </xf>
    <xf numFmtId="0" fontId="14" fillId="0" borderId="17" xfId="19" applyFont="1" applyBorder="1" applyAlignment="1">
      <alignment horizontal="left" vertical="center" wrapText="1"/>
    </xf>
    <xf numFmtId="14" fontId="14" fillId="0" borderId="11" xfId="19" applyNumberFormat="1" applyFont="1" applyBorder="1" applyAlignment="1">
      <alignment horizontal="center" vertical="center" wrapText="1"/>
    </xf>
    <xf numFmtId="0" fontId="14" fillId="0" borderId="16" xfId="19" applyFont="1" applyBorder="1" applyAlignment="1">
      <alignment horizontal="center"/>
    </xf>
    <xf numFmtId="0" fontId="14" fillId="0" borderId="44" xfId="19" applyFont="1" applyBorder="1" applyAlignment="1">
      <alignment horizontal="center" vertical="center" wrapText="1"/>
    </xf>
    <xf numFmtId="0" fontId="14" fillId="0" borderId="66" xfId="19" applyFont="1" applyBorder="1" applyAlignment="1">
      <alignment horizontal="left" vertical="center" wrapText="1"/>
    </xf>
    <xf numFmtId="0" fontId="14" fillId="0" borderId="57" xfId="1" applyFont="1" applyBorder="1"/>
    <xf numFmtId="0" fontId="14" fillId="0" borderId="57" xfId="19" applyFont="1" applyBorder="1"/>
    <xf numFmtId="44" fontId="47" fillId="0" borderId="59" xfId="16" applyFont="1" applyBorder="1" applyAlignment="1">
      <alignment horizontal="center"/>
    </xf>
    <xf numFmtId="0" fontId="47" fillId="0" borderId="57" xfId="15" applyFont="1" applyBorder="1" applyAlignment="1">
      <alignment horizontal="center"/>
    </xf>
    <xf numFmtId="44" fontId="47" fillId="0" borderId="57" xfId="9" applyFont="1" applyFill="1" applyBorder="1" applyAlignment="1">
      <alignment horizontal="center"/>
    </xf>
    <xf numFmtId="0" fontId="47" fillId="0" borderId="59" xfId="15" applyFont="1" applyBorder="1" applyAlignment="1">
      <alignment horizontal="center"/>
    </xf>
    <xf numFmtId="0" fontId="14" fillId="0" borderId="41" xfId="15" applyFont="1" applyBorder="1" applyAlignment="1">
      <alignment horizontal="center"/>
    </xf>
    <xf numFmtId="44" fontId="14" fillId="0" borderId="41" xfId="9" applyFont="1" applyFill="1" applyBorder="1"/>
    <xf numFmtId="0" fontId="14" fillId="0" borderId="11" xfId="15" applyFont="1" applyBorder="1" applyAlignment="1">
      <alignment horizontal="center"/>
    </xf>
    <xf numFmtId="0" fontId="14" fillId="0" borderId="11" xfId="15" applyFont="1" applyBorder="1" applyAlignment="1">
      <alignment horizontal="left"/>
    </xf>
    <xf numFmtId="0" fontId="14" fillId="0" borderId="44" xfId="15" applyFont="1" applyBorder="1"/>
    <xf numFmtId="44" fontId="14" fillId="0" borderId="44" xfId="9" applyFont="1" applyFill="1" applyBorder="1"/>
    <xf numFmtId="0" fontId="14" fillId="0" borderId="44" xfId="15" applyFont="1" applyBorder="1" applyAlignment="1">
      <alignment horizontal="center"/>
    </xf>
    <xf numFmtId="0" fontId="14" fillId="0" borderId="0" xfId="15" applyFont="1" applyAlignment="1">
      <alignment horizontal="right"/>
    </xf>
    <xf numFmtId="44" fontId="47" fillId="0" borderId="0" xfId="16" applyFont="1" applyBorder="1" applyAlignment="1">
      <alignment horizontal="center"/>
    </xf>
    <xf numFmtId="0" fontId="47" fillId="0" borderId="60" xfId="18" applyFont="1" applyBorder="1" applyAlignment="1">
      <alignment horizontal="center" wrapText="1"/>
    </xf>
    <xf numFmtId="0" fontId="14" fillId="0" borderId="64" xfId="1" applyFont="1" applyBorder="1" applyAlignment="1">
      <alignment horizontal="center" vertical="center"/>
    </xf>
    <xf numFmtId="0" fontId="14" fillId="0" borderId="71" xfId="1" applyFont="1" applyBorder="1" applyAlignment="1">
      <alignment horizontal="center" vertical="center"/>
    </xf>
    <xf numFmtId="44" fontId="14" fillId="0" borderId="57" xfId="16" applyFont="1" applyBorder="1" applyAlignment="1"/>
    <xf numFmtId="0" fontId="18" fillId="0" borderId="0" xfId="18" applyFont="1"/>
    <xf numFmtId="0" fontId="6" fillId="0" borderId="0" xfId="18"/>
    <xf numFmtId="0" fontId="6" fillId="0" borderId="0" xfId="18" applyAlignment="1">
      <alignment wrapText="1"/>
    </xf>
    <xf numFmtId="44" fontId="6" fillId="0" borderId="0" xfId="18" applyNumberFormat="1"/>
    <xf numFmtId="10" fontId="0" fillId="0" borderId="0" xfId="17" applyNumberFormat="1" applyFont="1" applyFill="1" applyBorder="1"/>
    <xf numFmtId="0" fontId="18" fillId="0" borderId="0" xfId="18" applyFont="1" applyAlignment="1">
      <alignment wrapText="1"/>
    </xf>
    <xf numFmtId="44" fontId="0" fillId="0" borderId="0" xfId="16" applyFont="1" applyFill="1" applyBorder="1"/>
    <xf numFmtId="9" fontId="0" fillId="0" borderId="0" xfId="17" applyFont="1" applyFill="1" applyBorder="1"/>
    <xf numFmtId="44" fontId="18" fillId="0" borderId="0" xfId="10" applyNumberFormat="1" applyFont="1"/>
    <xf numFmtId="0" fontId="0" fillId="0" borderId="0" xfId="0" quotePrefix="1"/>
    <xf numFmtId="16" fontId="0" fillId="0" borderId="0" xfId="0" quotePrefix="1" applyNumberFormat="1"/>
    <xf numFmtId="44" fontId="14" fillId="58" borderId="63" xfId="16" applyFont="1" applyFill="1" applyBorder="1" applyAlignment="1">
      <alignment horizontal="center"/>
    </xf>
    <xf numFmtId="44" fontId="14" fillId="58" borderId="69" xfId="16" applyFont="1" applyFill="1" applyBorder="1" applyAlignment="1">
      <alignment horizontal="center"/>
    </xf>
    <xf numFmtId="44" fontId="14" fillId="58" borderId="72" xfId="16" applyFont="1" applyFill="1" applyBorder="1" applyAlignment="1">
      <alignment horizontal="center"/>
    </xf>
    <xf numFmtId="44" fontId="14" fillId="58" borderId="54" xfId="16" applyFont="1" applyFill="1" applyBorder="1" applyAlignment="1">
      <alignment horizontal="center"/>
    </xf>
    <xf numFmtId="44" fontId="14" fillId="58" borderId="63" xfId="9" applyFont="1" applyFill="1" applyBorder="1" applyAlignment="1">
      <alignment horizontal="center"/>
    </xf>
    <xf numFmtId="44" fontId="14" fillId="58" borderId="54" xfId="9" applyFont="1" applyFill="1" applyBorder="1" applyAlignment="1">
      <alignment horizontal="center"/>
    </xf>
    <xf numFmtId="44" fontId="14" fillId="58" borderId="20" xfId="9" applyFont="1" applyFill="1" applyBorder="1" applyAlignment="1">
      <alignment horizontal="right"/>
    </xf>
    <xf numFmtId="0" fontId="10" fillId="0" borderId="0" xfId="0" applyFont="1"/>
    <xf numFmtId="0" fontId="10" fillId="0" borderId="0" xfId="1" applyFont="1"/>
    <xf numFmtId="0" fontId="10" fillId="0" borderId="0" xfId="1" applyFont="1" applyProtection="1">
      <protection locked="0"/>
    </xf>
    <xf numFmtId="0" fontId="10" fillId="0" borderId="0" xfId="0" applyFont="1" applyProtection="1">
      <protection hidden="1"/>
    </xf>
    <xf numFmtId="10" fontId="25" fillId="0" borderId="0" xfId="6" applyNumberFormat="1" applyFont="1" applyFill="1" applyBorder="1" applyAlignment="1" applyProtection="1">
      <alignment horizontal="center" vertical="center"/>
      <protection locked="0"/>
    </xf>
    <xf numFmtId="0" fontId="7" fillId="28" borderId="0" xfId="10" applyFill="1" applyAlignment="1">
      <alignment vertical="center"/>
    </xf>
    <xf numFmtId="0" fontId="7" fillId="29" borderId="8" xfId="10" applyFill="1" applyBorder="1" applyAlignment="1">
      <alignment vertical="center"/>
    </xf>
    <xf numFmtId="2" fontId="7" fillId="28" borderId="0" xfId="10" applyNumberFormat="1" applyFill="1" applyAlignment="1">
      <alignment vertical="center"/>
    </xf>
    <xf numFmtId="0" fontId="26" fillId="16" borderId="44" xfId="10" applyFont="1" applyFill="1" applyBorder="1" applyAlignment="1">
      <alignment horizontal="center" vertical="center"/>
    </xf>
    <xf numFmtId="49" fontId="26" fillId="16" borderId="44" xfId="10" applyNumberFormat="1" applyFont="1" applyFill="1" applyBorder="1" applyAlignment="1">
      <alignment horizontal="center" vertical="center"/>
    </xf>
    <xf numFmtId="183" fontId="26" fillId="16" borderId="44" xfId="10" applyNumberFormat="1" applyFont="1" applyFill="1" applyBorder="1" applyAlignment="1">
      <alignment horizontal="center" vertical="center" wrapText="1"/>
    </xf>
    <xf numFmtId="186" fontId="26" fillId="16" borderId="44" xfId="10" applyNumberFormat="1" applyFont="1" applyFill="1" applyBorder="1" applyAlignment="1">
      <alignment horizontal="center" vertical="center" wrapText="1"/>
    </xf>
    <xf numFmtId="185" fontId="26" fillId="16" borderId="44" xfId="10" applyNumberFormat="1" applyFont="1" applyFill="1" applyBorder="1" applyAlignment="1">
      <alignment horizontal="center" vertical="center" wrapText="1"/>
    </xf>
    <xf numFmtId="0" fontId="26" fillId="16" borderId="44" xfId="10" applyFont="1" applyFill="1" applyBorder="1" applyAlignment="1">
      <alignment horizontal="center" vertical="center" wrapText="1"/>
    </xf>
    <xf numFmtId="0" fontId="20" fillId="16" borderId="44" xfId="10" applyFont="1" applyFill="1" applyBorder="1" applyAlignment="1">
      <alignment horizontal="center" vertical="center"/>
    </xf>
    <xf numFmtId="172" fontId="35" fillId="16" borderId="44" xfId="0" applyNumberFormat="1" applyFont="1" applyFill="1" applyBorder="1" applyAlignment="1">
      <alignment horizontal="center" vertical="center"/>
    </xf>
    <xf numFmtId="14" fontId="35" fillId="16" borderId="21" xfId="0" applyNumberFormat="1" applyFont="1" applyFill="1" applyBorder="1" applyAlignment="1">
      <alignment horizontal="center" vertical="center"/>
    </xf>
    <xf numFmtId="0" fontId="40" fillId="16" borderId="23" xfId="10" applyFont="1" applyFill="1" applyBorder="1" applyAlignment="1">
      <alignment horizontal="center" vertical="center"/>
    </xf>
    <xf numFmtId="0" fontId="26" fillId="0" borderId="21" xfId="10" applyFont="1" applyBorder="1" applyAlignment="1">
      <alignment horizontal="center" vertical="center"/>
    </xf>
    <xf numFmtId="172" fontId="35" fillId="17" borderId="23" xfId="0" applyNumberFormat="1" applyFont="1" applyFill="1" applyBorder="1" applyAlignment="1">
      <alignment horizontal="center" vertical="center"/>
    </xf>
    <xf numFmtId="49" fontId="26" fillId="0" borderId="41" xfId="10" applyNumberFormat="1" applyFont="1" applyBorder="1" applyAlignment="1">
      <alignment horizontal="center" vertical="center"/>
    </xf>
    <xf numFmtId="183" fontId="26" fillId="11" borderId="41" xfId="10" applyNumberFormat="1" applyFont="1" applyFill="1" applyBorder="1" applyAlignment="1">
      <alignment horizontal="center" vertical="center" wrapText="1"/>
    </xf>
    <xf numFmtId="184" fontId="26" fillId="11" borderId="41" xfId="10" applyNumberFormat="1" applyFont="1" applyFill="1" applyBorder="1" applyAlignment="1">
      <alignment horizontal="center" vertical="center" wrapText="1"/>
    </xf>
    <xf numFmtId="185" fontId="26" fillId="11" borderId="41" xfId="10" applyNumberFormat="1" applyFont="1" applyFill="1" applyBorder="1" applyAlignment="1">
      <alignment horizontal="center" vertical="center" wrapText="1"/>
    </xf>
    <xf numFmtId="0" fontId="26" fillId="11" borderId="41" xfId="10" applyFont="1" applyFill="1" applyBorder="1" applyAlignment="1">
      <alignment horizontal="center" vertical="center" wrapText="1"/>
    </xf>
    <xf numFmtId="0" fontId="20" fillId="11" borderId="41" xfId="10" applyFont="1" applyFill="1" applyBorder="1" applyAlignment="1">
      <alignment horizontal="center" vertical="center"/>
    </xf>
    <xf numFmtId="49" fontId="26" fillId="0" borderId="16" xfId="10" applyNumberFormat="1" applyFont="1" applyBorder="1" applyAlignment="1">
      <alignment horizontal="left" vertical="center"/>
    </xf>
    <xf numFmtId="183" fontId="26" fillId="11" borderId="15" xfId="10" applyNumberFormat="1" applyFont="1" applyFill="1" applyBorder="1" applyAlignment="1">
      <alignment horizontal="center" vertical="center" wrapText="1"/>
    </xf>
    <xf numFmtId="186" fontId="26" fillId="11" borderId="15" xfId="10" applyNumberFormat="1" applyFont="1" applyFill="1" applyBorder="1" applyAlignment="1">
      <alignment horizontal="center" vertical="center" wrapText="1"/>
    </xf>
    <xf numFmtId="185" fontId="26" fillId="11" borderId="15" xfId="10" applyNumberFormat="1" applyFont="1" applyFill="1" applyBorder="1" applyAlignment="1">
      <alignment horizontal="center" vertical="center" wrapText="1"/>
    </xf>
    <xf numFmtId="49" fontId="26" fillId="0" borderId="21" xfId="10" applyNumberFormat="1" applyFont="1" applyBorder="1" applyAlignment="1">
      <alignment horizontal="left" vertical="center"/>
    </xf>
    <xf numFmtId="183" fontId="26" fillId="11" borderId="22" xfId="10" applyNumberFormat="1" applyFont="1" applyFill="1" applyBorder="1" applyAlignment="1">
      <alignment horizontal="center" vertical="center" wrapText="1"/>
    </xf>
    <xf numFmtId="186" fontId="26" fillId="11" borderId="22" xfId="10" applyNumberFormat="1" applyFont="1" applyFill="1" applyBorder="1" applyAlignment="1">
      <alignment horizontal="center" vertical="center" wrapText="1"/>
    </xf>
    <xf numFmtId="185" fontId="26" fillId="11" borderId="22" xfId="10" applyNumberFormat="1" applyFont="1" applyFill="1" applyBorder="1" applyAlignment="1">
      <alignment horizontal="center" vertical="center" wrapText="1"/>
    </xf>
    <xf numFmtId="0" fontId="26" fillId="11" borderId="22" xfId="10" applyFont="1" applyFill="1" applyBorder="1" applyAlignment="1">
      <alignment horizontal="center" vertical="center" wrapText="1"/>
    </xf>
    <xf numFmtId="0" fontId="7" fillId="2" borderId="0" xfId="10" applyFill="1" applyAlignment="1">
      <alignment horizontal="center" vertical="center"/>
    </xf>
    <xf numFmtId="0" fontId="26" fillId="0" borderId="16" xfId="10" applyFont="1" applyBorder="1" applyAlignment="1">
      <alignment horizontal="center" vertical="center"/>
    </xf>
    <xf numFmtId="2" fontId="7" fillId="0" borderId="0" xfId="10" applyNumberFormat="1"/>
    <xf numFmtId="0" fontId="18" fillId="0" borderId="0" xfId="10" applyFont="1" applyAlignment="1">
      <alignment vertical="center"/>
    </xf>
    <xf numFmtId="0" fontId="18" fillId="44" borderId="0" xfId="10" applyFont="1" applyFill="1" applyAlignment="1">
      <alignment vertical="center"/>
    </xf>
    <xf numFmtId="0" fontId="18" fillId="47" borderId="0" xfId="10" applyFont="1" applyFill="1" applyAlignment="1">
      <alignment vertical="center"/>
    </xf>
    <xf numFmtId="0" fontId="9" fillId="0" borderId="27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7" fillId="0" borderId="44" xfId="10" applyBorder="1"/>
    <xf numFmtId="0" fontId="0" fillId="0" borderId="11" xfId="14" applyNumberFormat="1" applyFont="1" applyBorder="1"/>
    <xf numFmtId="0" fontId="0" fillId="0" borderId="44" xfId="14" applyNumberFormat="1" applyFont="1" applyBorder="1"/>
    <xf numFmtId="0" fontId="0" fillId="0" borderId="16" xfId="14" applyNumberFormat="1" applyFont="1" applyBorder="1"/>
    <xf numFmtId="0" fontId="0" fillId="0" borderId="21" xfId="14" applyNumberFormat="1" applyFont="1" applyBorder="1"/>
    <xf numFmtId="0" fontId="7" fillId="0" borderId="0" xfId="10" applyAlignment="1">
      <alignment horizontal="right"/>
    </xf>
    <xf numFmtId="172" fontId="7" fillId="0" borderId="0" xfId="10" applyNumberFormat="1" applyAlignment="1">
      <alignment horizontal="center"/>
    </xf>
    <xf numFmtId="2" fontId="7" fillId="0" borderId="1" xfId="10" applyNumberFormat="1" applyBorder="1" applyAlignment="1">
      <alignment horizontal="center"/>
    </xf>
    <xf numFmtId="0" fontId="9" fillId="0" borderId="11" xfId="14" applyNumberFormat="1" applyFont="1" applyBorder="1"/>
    <xf numFmtId="0" fontId="9" fillId="0" borderId="16" xfId="14" applyNumberFormat="1" applyFont="1" applyBorder="1"/>
    <xf numFmtId="0" fontId="20" fillId="11" borderId="17" xfId="10" applyFont="1" applyFill="1" applyBorder="1" applyAlignment="1">
      <alignment horizontal="center" vertical="center"/>
    </xf>
    <xf numFmtId="183" fontId="26" fillId="11" borderId="0" xfId="10" applyNumberFormat="1" applyFont="1" applyFill="1" applyAlignment="1">
      <alignment horizontal="center" vertical="center" wrapText="1"/>
    </xf>
    <xf numFmtId="186" fontId="26" fillId="11" borderId="0" xfId="10" applyNumberFormat="1" applyFont="1" applyFill="1" applyAlignment="1">
      <alignment horizontal="center" vertical="center" wrapText="1"/>
    </xf>
    <xf numFmtId="185" fontId="26" fillId="11" borderId="0" xfId="10" applyNumberFormat="1" applyFont="1" applyFill="1" applyAlignment="1">
      <alignment horizontal="center" vertical="center" wrapText="1"/>
    </xf>
    <xf numFmtId="0" fontId="26" fillId="11" borderId="0" xfId="10" applyFont="1" applyFill="1" applyAlignment="1">
      <alignment horizontal="center" vertical="center" wrapText="1"/>
    </xf>
    <xf numFmtId="0" fontId="26" fillId="11" borderId="17" xfId="10" applyFont="1" applyFill="1" applyBorder="1" applyAlignment="1">
      <alignment horizontal="center" vertical="center" wrapText="1"/>
    </xf>
    <xf numFmtId="0" fontId="26" fillId="11" borderId="23" xfId="10" applyFont="1" applyFill="1" applyBorder="1" applyAlignment="1">
      <alignment horizontal="center" vertical="center" wrapText="1"/>
    </xf>
    <xf numFmtId="49" fontId="26" fillId="0" borderId="24" xfId="10" applyNumberFormat="1" applyFont="1" applyBorder="1" applyAlignment="1">
      <alignment horizontal="left" vertical="center"/>
    </xf>
    <xf numFmtId="22" fontId="0" fillId="0" borderId="0" xfId="0" applyNumberFormat="1"/>
    <xf numFmtId="0" fontId="7" fillId="2" borderId="0" xfId="10" applyFill="1"/>
    <xf numFmtId="0" fontId="46" fillId="0" borderId="0" xfId="10" applyFont="1"/>
    <xf numFmtId="0" fontId="31" fillId="0" borderId="1" xfId="10" applyFont="1" applyBorder="1" applyAlignment="1">
      <alignment horizontal="right"/>
    </xf>
    <xf numFmtId="0" fontId="5" fillId="0" borderId="0" xfId="10" applyFont="1"/>
    <xf numFmtId="0" fontId="10" fillId="0" borderId="41" xfId="0" applyFont="1" applyBorder="1" applyAlignment="1">
      <alignment horizontal="center"/>
    </xf>
    <xf numFmtId="12" fontId="7" fillId="0" borderId="0" xfId="10" applyNumberFormat="1" applyAlignment="1">
      <alignment horizontal="center"/>
    </xf>
    <xf numFmtId="13" fontId="7" fillId="0" borderId="0" xfId="10" applyNumberFormat="1" applyAlignment="1">
      <alignment horizontal="center"/>
    </xf>
    <xf numFmtId="13" fontId="0" fillId="0" borderId="0" xfId="0" applyNumberFormat="1" applyAlignment="1">
      <alignment horizontal="center"/>
    </xf>
    <xf numFmtId="2" fontId="7" fillId="0" borderId="0" xfId="10" applyNumberFormat="1" applyAlignment="1">
      <alignment horizontal="center"/>
    </xf>
    <xf numFmtId="181" fontId="7" fillId="30" borderId="0" xfId="10" applyNumberFormat="1" applyFill="1" applyAlignment="1">
      <alignment horizontal="center" vertical="center"/>
    </xf>
    <xf numFmtId="0" fontId="7" fillId="45" borderId="0" xfId="10" applyFill="1" applyAlignment="1">
      <alignment horizontal="right"/>
    </xf>
    <xf numFmtId="0" fontId="18" fillId="36" borderId="39" xfId="10" applyFont="1" applyFill="1" applyBorder="1" applyAlignment="1">
      <alignment horizontal="left" vertical="center" indent="1"/>
    </xf>
    <xf numFmtId="0" fontId="7" fillId="31" borderId="0" xfId="10" applyFill="1" applyAlignment="1">
      <alignment vertical="center"/>
    </xf>
    <xf numFmtId="2" fontId="7" fillId="31" borderId="0" xfId="10" applyNumberFormat="1" applyFill="1" applyAlignment="1">
      <alignment horizontal="right" vertical="center"/>
    </xf>
    <xf numFmtId="44" fontId="18" fillId="0" borderId="0" xfId="14" applyFont="1"/>
    <xf numFmtId="0" fontId="18" fillId="43" borderId="39" xfId="10" applyFont="1" applyFill="1" applyBorder="1" applyAlignment="1">
      <alignment horizontal="center" vertical="center"/>
    </xf>
    <xf numFmtId="0" fontId="18" fillId="43" borderId="34" xfId="10" applyFont="1" applyFill="1" applyBorder="1" applyAlignment="1">
      <alignment horizontal="left" vertical="center"/>
    </xf>
    <xf numFmtId="0" fontId="18" fillId="33" borderId="7" xfId="10" applyFont="1" applyFill="1" applyBorder="1" applyAlignment="1">
      <alignment vertical="center"/>
    </xf>
    <xf numFmtId="0" fontId="18" fillId="33" borderId="8" xfId="10" applyFont="1" applyFill="1" applyBorder="1" applyAlignment="1">
      <alignment vertical="center"/>
    </xf>
    <xf numFmtId="0" fontId="18" fillId="33" borderId="2" xfId="10" applyFont="1" applyFill="1" applyBorder="1" applyAlignment="1">
      <alignment vertical="center"/>
    </xf>
    <xf numFmtId="0" fontId="43" fillId="25" borderId="7" xfId="10" applyFont="1" applyFill="1" applyBorder="1" applyAlignment="1">
      <alignment vertical="center"/>
    </xf>
    <xf numFmtId="0" fontId="43" fillId="25" borderId="8" xfId="10" applyFont="1" applyFill="1" applyBorder="1" applyAlignment="1">
      <alignment vertical="center"/>
    </xf>
    <xf numFmtId="0" fontId="43" fillId="25" borderId="2" xfId="10" applyFont="1" applyFill="1" applyBorder="1" applyAlignment="1">
      <alignment vertical="center"/>
    </xf>
    <xf numFmtId="0" fontId="18" fillId="51" borderId="7" xfId="10" applyFont="1" applyFill="1" applyBorder="1" applyAlignment="1">
      <alignment vertical="center"/>
    </xf>
    <xf numFmtId="0" fontId="18" fillId="51" borderId="8" xfId="10" applyFont="1" applyFill="1" applyBorder="1" applyAlignment="1">
      <alignment vertical="center"/>
    </xf>
    <xf numFmtId="0" fontId="18" fillId="51" borderId="2" xfId="10" applyFont="1" applyFill="1" applyBorder="1" applyAlignment="1">
      <alignment vertical="center"/>
    </xf>
    <xf numFmtId="0" fontId="18" fillId="27" borderId="7" xfId="10" applyFont="1" applyFill="1" applyBorder="1" applyAlignment="1">
      <alignment vertical="center"/>
    </xf>
    <xf numFmtId="0" fontId="18" fillId="27" borderId="8" xfId="10" applyFont="1" applyFill="1" applyBorder="1" applyAlignment="1">
      <alignment vertical="center"/>
    </xf>
    <xf numFmtId="0" fontId="18" fillId="27" borderId="2" xfId="10" applyFont="1" applyFill="1" applyBorder="1" applyAlignment="1">
      <alignment vertical="center"/>
    </xf>
    <xf numFmtId="0" fontId="43" fillId="36" borderId="7" xfId="10" applyFont="1" applyFill="1" applyBorder="1" applyAlignment="1">
      <alignment vertical="center"/>
    </xf>
    <xf numFmtId="0" fontId="43" fillId="36" borderId="8" xfId="10" applyFont="1" applyFill="1" applyBorder="1" applyAlignment="1">
      <alignment vertical="center"/>
    </xf>
    <xf numFmtId="0" fontId="43" fillId="36" borderId="2" xfId="10" applyFont="1" applyFill="1" applyBorder="1" applyAlignment="1">
      <alignment vertical="center"/>
    </xf>
    <xf numFmtId="0" fontId="18" fillId="24" borderId="34" xfId="0" applyFont="1" applyFill="1" applyBorder="1"/>
    <xf numFmtId="0" fontId="18" fillId="24" borderId="39" xfId="0" applyFont="1" applyFill="1" applyBorder="1"/>
    <xf numFmtId="0" fontId="18" fillId="24" borderId="35" xfId="0" applyFont="1" applyFill="1" applyBorder="1"/>
    <xf numFmtId="0" fontId="31" fillId="0" borderId="5" xfId="10" applyFont="1" applyBorder="1"/>
    <xf numFmtId="0" fontId="31" fillId="0" borderId="1" xfId="10" applyFont="1" applyBorder="1"/>
    <xf numFmtId="0" fontId="7" fillId="0" borderId="1" xfId="10" applyBorder="1"/>
    <xf numFmtId="0" fontId="7" fillId="2" borderId="11" xfId="10" quotePrefix="1" applyFill="1" applyBorder="1" applyAlignment="1">
      <alignment horizontal="center" vertical="center"/>
    </xf>
    <xf numFmtId="0" fontId="7" fillId="2" borderId="44" xfId="10" applyFill="1" applyBorder="1" applyAlignment="1">
      <alignment horizontal="center"/>
    </xf>
    <xf numFmtId="0" fontId="18" fillId="28" borderId="0" xfId="14" applyNumberFormat="1" applyFont="1" applyFill="1" applyAlignment="1">
      <alignment horizontal="right"/>
    </xf>
    <xf numFmtId="0" fontId="18" fillId="19" borderId="39" xfId="10" applyFont="1" applyFill="1" applyBorder="1" applyAlignment="1">
      <alignment horizontal="center" vertical="center"/>
    </xf>
    <xf numFmtId="0" fontId="7" fillId="21" borderId="0" xfId="10" applyFill="1" applyAlignment="1">
      <alignment horizontal="left" indent="1"/>
    </xf>
    <xf numFmtId="0" fontId="7" fillId="4" borderId="0" xfId="10" applyFill="1" applyAlignment="1">
      <alignment horizontal="left" indent="1"/>
    </xf>
    <xf numFmtId="172" fontId="7" fillId="30" borderId="0" xfId="10" applyNumberFormat="1" applyFill="1" applyAlignment="1">
      <alignment horizontal="center" vertical="center"/>
    </xf>
    <xf numFmtId="0" fontId="5" fillId="0" borderId="0" xfId="21"/>
    <xf numFmtId="14" fontId="5" fillId="0" borderId="0" xfId="21" applyNumberFormat="1"/>
    <xf numFmtId="0" fontId="62" fillId="11" borderId="79" xfId="25" applyFill="1" applyBorder="1" applyProtection="1"/>
    <xf numFmtId="169" fontId="21" fillId="50" borderId="0" xfId="3" applyNumberFormat="1" applyFont="1" applyFill="1" applyBorder="1" applyAlignment="1" applyProtection="1">
      <alignment horizontal="center" vertical="center"/>
      <protection locked="0"/>
    </xf>
    <xf numFmtId="167" fontId="21" fillId="50" borderId="0" xfId="3" applyNumberFormat="1" applyFont="1" applyFill="1" applyBorder="1" applyAlignment="1" applyProtection="1">
      <alignment horizontal="center" vertical="center"/>
      <protection locked="0"/>
    </xf>
    <xf numFmtId="178" fontId="21" fillId="50" borderId="0" xfId="3" applyNumberFormat="1" applyFont="1" applyFill="1" applyBorder="1" applyAlignment="1" applyProtection="1">
      <alignment horizontal="center" vertical="center"/>
      <protection locked="0"/>
    </xf>
    <xf numFmtId="1" fontId="21" fillId="50" borderId="0" xfId="3" applyNumberFormat="1" applyFont="1" applyFill="1" applyBorder="1" applyAlignment="1" applyProtection="1">
      <alignment horizontal="center" vertical="center"/>
      <protection locked="0"/>
    </xf>
    <xf numFmtId="167" fontId="21" fillId="50" borderId="8" xfId="3" applyNumberFormat="1" applyFont="1" applyFill="1" applyBorder="1" applyAlignment="1" applyProtection="1">
      <alignment horizontal="center" vertical="center"/>
      <protection locked="0"/>
    </xf>
    <xf numFmtId="180" fontId="21" fillId="50" borderId="0" xfId="3" applyNumberFormat="1" applyFont="1" applyFill="1" applyBorder="1" applyAlignment="1" applyProtection="1">
      <alignment horizontal="center" vertical="center"/>
    </xf>
    <xf numFmtId="180" fontId="21" fillId="50" borderId="3" xfId="3" applyNumberFormat="1" applyFont="1" applyFill="1" applyBorder="1" applyAlignment="1" applyProtection="1">
      <alignment horizontal="center" vertical="center"/>
    </xf>
    <xf numFmtId="0" fontId="3" fillId="0" borderId="0" xfId="26"/>
    <xf numFmtId="0" fontId="63" fillId="60" borderId="32" xfId="26" applyFont="1" applyFill="1" applyBorder="1" applyAlignment="1">
      <alignment vertical="center" wrapText="1"/>
    </xf>
    <xf numFmtId="0" fontId="63" fillId="62" borderId="33" xfId="26" applyFont="1" applyFill="1" applyBorder="1" applyAlignment="1">
      <alignment vertical="center" wrapText="1"/>
    </xf>
    <xf numFmtId="0" fontId="63" fillId="0" borderId="33" xfId="26" applyFont="1" applyBorder="1" applyAlignment="1">
      <alignment vertical="center" wrapText="1"/>
    </xf>
    <xf numFmtId="0" fontId="63" fillId="63" borderId="33" xfId="26" applyFont="1" applyFill="1" applyBorder="1" applyAlignment="1">
      <alignment vertical="center" wrapText="1"/>
    </xf>
    <xf numFmtId="0" fontId="63" fillId="64" borderId="33" xfId="26" applyFont="1" applyFill="1" applyBorder="1" applyAlignment="1">
      <alignment vertical="center" wrapText="1"/>
    </xf>
    <xf numFmtId="0" fontId="3" fillId="0" borderId="1" xfId="26" applyBorder="1"/>
    <xf numFmtId="0" fontId="3" fillId="0" borderId="3" xfId="26" applyBorder="1"/>
    <xf numFmtId="0" fontId="3" fillId="11" borderId="0" xfId="26" applyFill="1"/>
    <xf numFmtId="0" fontId="3" fillId="11" borderId="3" xfId="26" applyFill="1" applyBorder="1"/>
    <xf numFmtId="0" fontId="3" fillId="11" borderId="2" xfId="26" applyFill="1" applyBorder="1"/>
    <xf numFmtId="0" fontId="3" fillId="11" borderId="25" xfId="26" applyFill="1" applyBorder="1"/>
    <xf numFmtId="0" fontId="18" fillId="11" borderId="45" xfId="26" applyFont="1" applyFill="1" applyBorder="1"/>
    <xf numFmtId="0" fontId="3" fillId="11" borderId="46" xfId="26" applyFill="1" applyBorder="1"/>
    <xf numFmtId="0" fontId="3" fillId="11" borderId="47" xfId="26" applyFill="1" applyBorder="1"/>
    <xf numFmtId="0" fontId="18" fillId="11" borderId="62" xfId="26" applyFont="1" applyFill="1" applyBorder="1"/>
    <xf numFmtId="0" fontId="3" fillId="11" borderId="24" xfId="26" applyFill="1" applyBorder="1"/>
    <xf numFmtId="0" fontId="18" fillId="11" borderId="14" xfId="26" applyFont="1" applyFill="1" applyBorder="1"/>
    <xf numFmtId="0" fontId="3" fillId="11" borderId="15" xfId="26" applyFill="1" applyBorder="1"/>
    <xf numFmtId="0" fontId="3" fillId="11" borderId="17" xfId="26" applyFill="1" applyBorder="1"/>
    <xf numFmtId="0" fontId="18" fillId="11" borderId="16" xfId="26" applyFont="1" applyFill="1" applyBorder="1"/>
    <xf numFmtId="0" fontId="18" fillId="11" borderId="21" xfId="26" applyFont="1" applyFill="1" applyBorder="1"/>
    <xf numFmtId="0" fontId="3" fillId="11" borderId="22" xfId="26" applyFill="1" applyBorder="1"/>
    <xf numFmtId="0" fontId="3" fillId="11" borderId="23" xfId="26" applyFill="1" applyBorder="1"/>
    <xf numFmtId="0" fontId="3" fillId="11" borderId="5" xfId="26" applyFill="1" applyBorder="1"/>
    <xf numFmtId="0" fontId="3" fillId="11" borderId="1" xfId="26" applyFill="1" applyBorder="1"/>
    <xf numFmtId="0" fontId="3" fillId="11" borderId="6" xfId="26" applyFill="1" applyBorder="1"/>
    <xf numFmtId="0" fontId="18" fillId="11" borderId="29" xfId="26" applyFont="1" applyFill="1" applyBorder="1"/>
    <xf numFmtId="0" fontId="3" fillId="11" borderId="12" xfId="26" applyFill="1" applyBorder="1"/>
    <xf numFmtId="0" fontId="3" fillId="11" borderId="66" xfId="26" applyFill="1" applyBorder="1"/>
    <xf numFmtId="0" fontId="18" fillId="11" borderId="70" xfId="26" applyFont="1" applyFill="1" applyBorder="1"/>
    <xf numFmtId="0" fontId="25" fillId="11" borderId="65" xfId="26" applyFont="1" applyFill="1" applyBorder="1"/>
    <xf numFmtId="0" fontId="38" fillId="11" borderId="40" xfId="26" applyFont="1" applyFill="1" applyBorder="1" applyAlignment="1">
      <alignment horizontal="center" vertical="center"/>
    </xf>
    <xf numFmtId="0" fontId="18" fillId="20" borderId="34" xfId="26" applyFont="1" applyFill="1" applyBorder="1" applyAlignment="1">
      <alignment horizontal="centerContinuous"/>
    </xf>
    <xf numFmtId="0" fontId="3" fillId="20" borderId="39" xfId="26" applyFill="1" applyBorder="1" applyAlignment="1">
      <alignment horizontal="centerContinuous"/>
    </xf>
    <xf numFmtId="0" fontId="3" fillId="0" borderId="4" xfId="26" applyBorder="1"/>
    <xf numFmtId="0" fontId="38" fillId="11" borderId="74" xfId="26" applyFont="1" applyFill="1" applyBorder="1" applyAlignment="1">
      <alignment horizontal="center" vertical="center"/>
    </xf>
    <xf numFmtId="0" fontId="18" fillId="11" borderId="75" xfId="26" applyFont="1" applyFill="1" applyBorder="1"/>
    <xf numFmtId="0" fontId="3" fillId="11" borderId="75" xfId="26" applyFill="1" applyBorder="1"/>
    <xf numFmtId="0" fontId="3" fillId="11" borderId="76" xfId="26" applyFill="1" applyBorder="1"/>
    <xf numFmtId="0" fontId="18" fillId="11" borderId="78" xfId="26" applyFont="1" applyFill="1" applyBorder="1"/>
    <xf numFmtId="0" fontId="3" fillId="11" borderId="79" xfId="26" applyFill="1" applyBorder="1"/>
    <xf numFmtId="0" fontId="3" fillId="11" borderId="80" xfId="26" applyFill="1" applyBorder="1"/>
    <xf numFmtId="0" fontId="3" fillId="11" borderId="79" xfId="26" applyFill="1" applyBorder="1" applyAlignment="1">
      <alignment horizontal="centerContinuous"/>
    </xf>
    <xf numFmtId="0" fontId="3" fillId="11" borderId="80" xfId="26" applyFill="1" applyBorder="1" applyAlignment="1">
      <alignment horizontal="centerContinuous"/>
    </xf>
    <xf numFmtId="0" fontId="18" fillId="11" borderId="79" xfId="26" applyFont="1" applyFill="1" applyBorder="1"/>
    <xf numFmtId="0" fontId="3" fillId="11" borderId="79" xfId="26" applyFill="1" applyBorder="1" applyAlignment="1">
      <alignment horizontal="left"/>
    </xf>
    <xf numFmtId="0" fontId="3" fillId="11" borderId="0" xfId="26" applyFill="1" applyAlignment="1">
      <alignment horizontal="left"/>
    </xf>
    <xf numFmtId="165" fontId="3" fillId="11" borderId="79" xfId="26" quotePrefix="1" applyNumberFormat="1" applyFill="1" applyBorder="1" applyAlignment="1">
      <alignment horizontal="left"/>
    </xf>
    <xf numFmtId="0" fontId="3" fillId="11" borderId="80" xfId="26" applyFill="1" applyBorder="1" applyAlignment="1">
      <alignment horizontal="left"/>
    </xf>
    <xf numFmtId="0" fontId="3" fillId="11" borderId="79" xfId="26" applyFill="1" applyBorder="1" applyAlignment="1" applyProtection="1">
      <alignment horizontal="center" vertical="center"/>
      <protection locked="0"/>
    </xf>
    <xf numFmtId="0" fontId="18" fillId="11" borderId="87" xfId="26" applyFont="1" applyFill="1" applyBorder="1"/>
    <xf numFmtId="0" fontId="3" fillId="11" borderId="88" xfId="26" applyFill="1" applyBorder="1"/>
    <xf numFmtId="0" fontId="3" fillId="11" borderId="89" xfId="26" applyFill="1" applyBorder="1"/>
    <xf numFmtId="0" fontId="3" fillId="11" borderId="88" xfId="26" quotePrefix="1" applyFill="1" applyBorder="1" applyAlignment="1" applyProtection="1">
      <alignment horizontal="centerContinuous"/>
      <protection locked="0"/>
    </xf>
    <xf numFmtId="0" fontId="3" fillId="11" borderId="88" xfId="26" applyFill="1" applyBorder="1" applyAlignment="1" applyProtection="1">
      <alignment horizontal="centerContinuous"/>
      <protection locked="0"/>
    </xf>
    <xf numFmtId="0" fontId="3" fillId="11" borderId="89" xfId="26" applyFill="1" applyBorder="1" applyAlignment="1" applyProtection="1">
      <alignment horizontal="centerContinuous"/>
      <protection locked="0"/>
    </xf>
    <xf numFmtId="0" fontId="18" fillId="20" borderId="0" xfId="26" applyFont="1" applyFill="1" applyAlignment="1">
      <alignment horizontal="centerContinuous"/>
    </xf>
    <xf numFmtId="0" fontId="3" fillId="20" borderId="0" xfId="26" applyFill="1" applyAlignment="1">
      <alignment horizontal="centerContinuous"/>
    </xf>
    <xf numFmtId="0" fontId="3" fillId="20" borderId="3" xfId="26" applyFill="1" applyBorder="1" applyAlignment="1">
      <alignment horizontal="centerContinuous"/>
    </xf>
    <xf numFmtId="0" fontId="3" fillId="20" borderId="35" xfId="26" applyFill="1" applyBorder="1" applyAlignment="1">
      <alignment horizontal="centerContinuous"/>
    </xf>
    <xf numFmtId="0" fontId="18" fillId="11" borderId="8" xfId="26" applyFont="1" applyFill="1" applyBorder="1" applyAlignment="1">
      <alignment vertical="center"/>
    </xf>
    <xf numFmtId="0" fontId="3" fillId="11" borderId="75" xfId="26" applyFill="1" applyBorder="1" applyAlignment="1">
      <alignment vertical="center"/>
    </xf>
    <xf numFmtId="0" fontId="3" fillId="11" borderId="75" xfId="26" applyFill="1" applyBorder="1" applyAlignment="1">
      <alignment horizontal="centerContinuous" vertical="center"/>
    </xf>
    <xf numFmtId="0" fontId="3" fillId="11" borderId="75" xfId="26" applyFill="1" applyBorder="1" applyAlignment="1">
      <alignment horizontal="centerContinuous"/>
    </xf>
    <xf numFmtId="0" fontId="3" fillId="11" borderId="76" xfId="26" applyFill="1" applyBorder="1" applyAlignment="1">
      <alignment horizontal="centerContinuous"/>
    </xf>
    <xf numFmtId="0" fontId="18" fillId="11" borderId="77" xfId="26" applyFont="1" applyFill="1" applyBorder="1"/>
    <xf numFmtId="0" fontId="18" fillId="11" borderId="78" xfId="26" applyFont="1" applyFill="1" applyBorder="1" applyAlignment="1">
      <alignment vertical="center"/>
    </xf>
    <xf numFmtId="0" fontId="3" fillId="11" borderId="79" xfId="26" applyFill="1" applyBorder="1" applyAlignment="1">
      <alignment horizontal="centerContinuous" vertical="center"/>
    </xf>
    <xf numFmtId="0" fontId="18" fillId="11" borderId="87" xfId="26" applyFont="1" applyFill="1" applyBorder="1" applyAlignment="1">
      <alignment vertical="center"/>
    </xf>
    <xf numFmtId="0" fontId="3" fillId="11" borderId="88" xfId="26" applyFill="1" applyBorder="1" applyAlignment="1">
      <alignment horizontal="centerContinuous" vertical="center"/>
    </xf>
    <xf numFmtId="0" fontId="3" fillId="11" borderId="88" xfId="26" applyFill="1" applyBorder="1" applyAlignment="1">
      <alignment horizontal="centerContinuous"/>
    </xf>
    <xf numFmtId="0" fontId="3" fillId="11" borderId="89" xfId="26" applyFill="1" applyBorder="1" applyAlignment="1">
      <alignment horizontal="centerContinuous"/>
    </xf>
    <xf numFmtId="0" fontId="18" fillId="20" borderId="5" xfId="26" applyFont="1" applyFill="1" applyBorder="1" applyAlignment="1">
      <alignment horizontal="centerContinuous"/>
    </xf>
    <xf numFmtId="0" fontId="3" fillId="20" borderId="1" xfId="26" applyFill="1" applyBorder="1" applyAlignment="1">
      <alignment horizontal="centerContinuous"/>
    </xf>
    <xf numFmtId="0" fontId="3" fillId="20" borderId="6" xfId="26" applyFill="1" applyBorder="1" applyAlignment="1">
      <alignment horizontal="centerContinuous"/>
    </xf>
    <xf numFmtId="0" fontId="3" fillId="11" borderId="76" xfId="26" applyFill="1" applyBorder="1" applyAlignment="1">
      <alignment vertical="center"/>
    </xf>
    <xf numFmtId="0" fontId="3" fillId="11" borderId="79" xfId="26" applyFill="1" applyBorder="1" applyAlignment="1">
      <alignment vertical="center"/>
    </xf>
    <xf numFmtId="0" fontId="3" fillId="11" borderId="80" xfId="26" applyFill="1" applyBorder="1" applyAlignment="1">
      <alignment vertical="center"/>
    </xf>
    <xf numFmtId="0" fontId="3" fillId="11" borderId="79" xfId="26" applyFill="1" applyBorder="1" applyAlignment="1">
      <alignment horizontal="center" vertical="center"/>
    </xf>
    <xf numFmtId="0" fontId="3" fillId="11" borderId="79" xfId="26" applyFill="1" applyBorder="1" applyAlignment="1">
      <alignment horizontal="center"/>
    </xf>
    <xf numFmtId="0" fontId="3" fillId="11" borderId="80" xfId="26" applyFill="1" applyBorder="1" applyAlignment="1">
      <alignment horizontal="center"/>
    </xf>
    <xf numFmtId="2" fontId="3" fillId="11" borderId="75" xfId="26" applyNumberFormat="1" applyFill="1" applyBorder="1"/>
    <xf numFmtId="0" fontId="3" fillId="11" borderId="74" xfId="26" applyFill="1" applyBorder="1"/>
    <xf numFmtId="0" fontId="3" fillId="11" borderId="78" xfId="26" applyFill="1" applyBorder="1"/>
    <xf numFmtId="0" fontId="3" fillId="11" borderId="1" xfId="26" applyFill="1" applyBorder="1" applyAlignment="1">
      <alignment horizontal="center"/>
    </xf>
    <xf numFmtId="0" fontId="3" fillId="11" borderId="79" xfId="26" applyFill="1" applyBorder="1" applyAlignment="1">
      <alignment horizontal="right"/>
    </xf>
    <xf numFmtId="2" fontId="3" fillId="0" borderId="0" xfId="26" applyNumberFormat="1" applyAlignment="1">
      <alignment horizontal="center"/>
    </xf>
    <xf numFmtId="0" fontId="18" fillId="11" borderId="77" xfId="26" applyFont="1" applyFill="1" applyBorder="1" applyAlignment="1">
      <alignment horizontal="left"/>
    </xf>
    <xf numFmtId="0" fontId="18" fillId="11" borderId="78" xfId="26" applyFont="1" applyFill="1" applyBorder="1" applyAlignment="1">
      <alignment horizontal="left"/>
    </xf>
    <xf numFmtId="0" fontId="3" fillId="0" borderId="79" xfId="26" applyBorder="1"/>
    <xf numFmtId="2" fontId="3" fillId="11" borderId="79" xfId="26" quotePrefix="1" applyNumberFormat="1" applyFill="1" applyBorder="1"/>
    <xf numFmtId="0" fontId="3" fillId="0" borderId="79" xfId="26" applyBorder="1" applyAlignment="1">
      <alignment horizontal="centerContinuous"/>
    </xf>
    <xf numFmtId="0" fontId="3" fillId="0" borderId="80" xfId="26" applyBorder="1" applyAlignment="1">
      <alignment horizontal="centerContinuous"/>
    </xf>
    <xf numFmtId="0" fontId="14" fillId="11" borderId="79" xfId="26" applyFont="1" applyFill="1" applyBorder="1" applyAlignment="1">
      <alignment horizontal="centerContinuous"/>
    </xf>
    <xf numFmtId="0" fontId="18" fillId="11" borderId="81" xfId="26" applyFont="1" applyFill="1" applyBorder="1" applyAlignment="1">
      <alignment horizontal="left"/>
    </xf>
    <xf numFmtId="0" fontId="3" fillId="11" borderId="82" xfId="26" applyFill="1" applyBorder="1"/>
    <xf numFmtId="0" fontId="3" fillId="11" borderId="83" xfId="26" applyFill="1" applyBorder="1"/>
    <xf numFmtId="165" fontId="3" fillId="11" borderId="75" xfId="26" applyNumberFormat="1" applyFill="1" applyBorder="1" applyAlignment="1">
      <alignment horizontal="center"/>
    </xf>
    <xf numFmtId="0" fontId="3" fillId="11" borderId="0" xfId="26" applyFill="1" applyAlignment="1">
      <alignment horizontal="right"/>
    </xf>
    <xf numFmtId="2" fontId="3" fillId="11" borderId="0" xfId="26" applyNumberFormat="1" applyFill="1"/>
    <xf numFmtId="0" fontId="3" fillId="11" borderId="85" xfId="26" applyFill="1" applyBorder="1"/>
    <xf numFmtId="0" fontId="3" fillId="11" borderId="0" xfId="26" applyFill="1" applyAlignment="1">
      <alignment horizontal="center"/>
    </xf>
    <xf numFmtId="0" fontId="3" fillId="11" borderId="85" xfId="26" applyFill="1" applyBorder="1" applyAlignment="1">
      <alignment horizontal="center"/>
    </xf>
    <xf numFmtId="0" fontId="3" fillId="11" borderId="85" xfId="26" applyFill="1" applyBorder="1" applyAlignment="1">
      <alignment horizontal="left"/>
    </xf>
    <xf numFmtId="0" fontId="3" fillId="11" borderId="85" xfId="26" applyFill="1" applyBorder="1" applyAlignment="1">
      <alignment horizontal="centerContinuous"/>
    </xf>
    <xf numFmtId="0" fontId="3" fillId="11" borderId="86" xfId="26" applyFill="1" applyBorder="1" applyAlignment="1">
      <alignment horizontal="centerContinuous"/>
    </xf>
    <xf numFmtId="0" fontId="3" fillId="11" borderId="79" xfId="26" applyFill="1" applyBorder="1" applyAlignment="1">
      <alignment horizontal="left" vertical="center"/>
    </xf>
    <xf numFmtId="0" fontId="18" fillId="11" borderId="82" xfId="26" applyFont="1" applyFill="1" applyBorder="1"/>
    <xf numFmtId="0" fontId="3" fillId="11" borderId="82" xfId="26" applyFill="1" applyBorder="1" applyAlignment="1">
      <alignment horizontal="left" vertical="center"/>
    </xf>
    <xf numFmtId="0" fontId="3" fillId="11" borderId="82" xfId="26" applyFill="1" applyBorder="1" applyAlignment="1">
      <alignment horizontal="left"/>
    </xf>
    <xf numFmtId="0" fontId="3" fillId="11" borderId="86" xfId="26" applyFill="1" applyBorder="1"/>
    <xf numFmtId="0" fontId="3" fillId="11" borderId="88" xfId="26" applyFill="1" applyBorder="1" applyAlignment="1">
      <alignment horizontal="center"/>
    </xf>
    <xf numFmtId="0" fontId="3" fillId="11" borderId="88" xfId="26" applyFill="1" applyBorder="1" applyAlignment="1">
      <alignment horizontal="left"/>
    </xf>
    <xf numFmtId="0" fontId="3" fillId="0" borderId="8" xfId="26" applyBorder="1"/>
    <xf numFmtId="0" fontId="38" fillId="0" borderId="40" xfId="26" applyFont="1" applyBorder="1" applyAlignment="1">
      <alignment horizontal="center"/>
    </xf>
    <xf numFmtId="0" fontId="38" fillId="11" borderId="74" xfId="26" applyFont="1" applyFill="1" applyBorder="1" applyAlignment="1">
      <alignment horizontal="center"/>
    </xf>
    <xf numFmtId="0" fontId="38" fillId="11" borderId="0" xfId="26" applyFont="1" applyFill="1" applyAlignment="1">
      <alignment horizontal="center"/>
    </xf>
    <xf numFmtId="0" fontId="38" fillId="11" borderId="3" xfId="26" applyFont="1" applyFill="1" applyBorder="1" applyAlignment="1">
      <alignment horizontal="center"/>
    </xf>
    <xf numFmtId="0" fontId="18" fillId="11" borderId="85" xfId="26" applyFont="1" applyFill="1" applyBorder="1"/>
    <xf numFmtId="0" fontId="3" fillId="11" borderId="85" xfId="26" applyFill="1" applyBorder="1" applyAlignment="1">
      <alignment horizontal="left" vertical="center"/>
    </xf>
    <xf numFmtId="0" fontId="3" fillId="0" borderId="82" xfId="26" applyBorder="1"/>
    <xf numFmtId="0" fontId="3" fillId="0" borderId="74" xfId="26" applyBorder="1"/>
    <xf numFmtId="0" fontId="38" fillId="11" borderId="33" xfId="26" applyFont="1" applyFill="1" applyBorder="1" applyAlignment="1">
      <alignment horizontal="center"/>
    </xf>
    <xf numFmtId="0" fontId="18" fillId="11" borderId="88" xfId="26" applyFont="1" applyFill="1" applyBorder="1"/>
    <xf numFmtId="0" fontId="3" fillId="11" borderId="88" xfId="26" applyFill="1" applyBorder="1" applyAlignment="1">
      <alignment horizontal="left" vertical="center"/>
    </xf>
    <xf numFmtId="0" fontId="3" fillId="11" borderId="33" xfId="26" applyFill="1" applyBorder="1"/>
    <xf numFmtId="0" fontId="18" fillId="0" borderId="0" xfId="26" applyFont="1"/>
    <xf numFmtId="0" fontId="3" fillId="0" borderId="0" xfId="26" applyAlignment="1">
      <alignment horizontal="left" vertical="center"/>
    </xf>
    <xf numFmtId="0" fontId="3" fillId="0" borderId="0" xfId="26" applyAlignment="1">
      <alignment horizontal="left"/>
    </xf>
    <xf numFmtId="0" fontId="3" fillId="0" borderId="79" xfId="26" applyBorder="1" applyAlignment="1">
      <alignment horizontal="centerContinuous" vertical="center"/>
    </xf>
    <xf numFmtId="0" fontId="38" fillId="11" borderId="0" xfId="26" applyFont="1" applyFill="1" applyAlignment="1">
      <alignment horizontal="center" vertical="center"/>
    </xf>
    <xf numFmtId="0" fontId="38" fillId="11" borderId="3" xfId="26" applyFont="1" applyFill="1" applyBorder="1" applyAlignment="1">
      <alignment horizontal="center" vertical="center"/>
    </xf>
    <xf numFmtId="0" fontId="18" fillId="11" borderId="4" xfId="26" applyFont="1" applyFill="1" applyBorder="1"/>
    <xf numFmtId="0" fontId="3" fillId="11" borderId="85" xfId="26" applyFill="1" applyBorder="1" applyAlignment="1">
      <alignment horizontal="center" vertical="center"/>
    </xf>
    <xf numFmtId="0" fontId="3" fillId="11" borderId="78" xfId="26" applyFill="1" applyBorder="1" applyAlignment="1">
      <alignment vertical="center"/>
    </xf>
    <xf numFmtId="0" fontId="38" fillId="11" borderId="33" xfId="26" applyFont="1" applyFill="1" applyBorder="1" applyAlignment="1">
      <alignment horizontal="center" vertical="center"/>
    </xf>
    <xf numFmtId="0" fontId="3" fillId="0" borderId="25" xfId="26" applyBorder="1"/>
    <xf numFmtId="0" fontId="3" fillId="0" borderId="5" xfId="26" applyBorder="1"/>
    <xf numFmtId="0" fontId="3" fillId="0" borderId="6" xfId="26" applyBorder="1"/>
    <xf numFmtId="0" fontId="38" fillId="11" borderId="40" xfId="26" applyFont="1" applyFill="1" applyBorder="1" applyAlignment="1">
      <alignment horizontal="center"/>
    </xf>
    <xf numFmtId="0" fontId="3" fillId="11" borderId="75" xfId="26" applyFill="1" applyBorder="1" applyAlignment="1" applyProtection="1">
      <alignment horizontal="centerContinuous" vertical="center"/>
      <protection locked="0"/>
    </xf>
    <xf numFmtId="0" fontId="3" fillId="11" borderId="75" xfId="26" applyFill="1" applyBorder="1" applyAlignment="1" applyProtection="1">
      <alignment vertical="center"/>
      <protection locked="0"/>
    </xf>
    <xf numFmtId="2" fontId="3" fillId="11" borderId="75" xfId="26" applyNumberFormat="1" applyFill="1" applyBorder="1" applyAlignment="1" applyProtection="1">
      <alignment horizontal="left" vertical="center"/>
      <protection locked="0"/>
    </xf>
    <xf numFmtId="0" fontId="3" fillId="11" borderId="79" xfId="26" applyFill="1" applyBorder="1" applyAlignment="1" applyProtection="1">
      <alignment vertical="center"/>
      <protection locked="0"/>
    </xf>
    <xf numFmtId="0" fontId="3" fillId="0" borderId="76" xfId="26" applyBorder="1"/>
    <xf numFmtId="0" fontId="3" fillId="0" borderId="80" xfId="26" applyBorder="1"/>
    <xf numFmtId="2" fontId="3" fillId="11" borderId="79" xfId="26" applyNumberFormat="1" applyFill="1" applyBorder="1"/>
    <xf numFmtId="164" fontId="3" fillId="11" borderId="79" xfId="26" applyNumberFormat="1" applyFill="1" applyBorder="1"/>
    <xf numFmtId="0" fontId="38" fillId="11" borderId="5" xfId="26" applyFont="1" applyFill="1" applyBorder="1" applyAlignment="1">
      <alignment horizontal="center"/>
    </xf>
    <xf numFmtId="0" fontId="3" fillId="11" borderId="1" xfId="26" applyFill="1" applyBorder="1" applyAlignment="1">
      <alignment horizontal="left"/>
    </xf>
    <xf numFmtId="0" fontId="3" fillId="0" borderId="88" xfId="26" applyBorder="1" applyAlignment="1">
      <alignment horizontal="center"/>
    </xf>
    <xf numFmtId="0" fontId="3" fillId="11" borderId="88" xfId="26" applyFill="1" applyBorder="1" applyAlignment="1">
      <alignment horizontal="right"/>
    </xf>
    <xf numFmtId="0" fontId="3" fillId="0" borderId="88" xfId="26" applyBorder="1"/>
    <xf numFmtId="2" fontId="3" fillId="11" borderId="88" xfId="26" applyNumberFormat="1" applyFill="1" applyBorder="1"/>
    <xf numFmtId="0" fontId="3" fillId="11" borderId="1" xfId="26" applyFill="1" applyBorder="1" applyAlignment="1">
      <alignment horizontal="centerContinuous"/>
    </xf>
    <xf numFmtId="0" fontId="3" fillId="11" borderId="6" xfId="26" applyFill="1" applyBorder="1" applyAlignment="1">
      <alignment horizontal="centerContinuous"/>
    </xf>
    <xf numFmtId="0" fontId="3" fillId="0" borderId="0" xfId="26" applyAlignment="1" applyProtection="1">
      <alignment horizontal="left" vertical="center"/>
      <protection locked="0"/>
    </xf>
    <xf numFmtId="0" fontId="57" fillId="11" borderId="85" xfId="26" applyFont="1" applyFill="1" applyBorder="1" applyAlignment="1">
      <alignment horizontal="left"/>
    </xf>
    <xf numFmtId="0" fontId="3" fillId="11" borderId="86" xfId="26" applyFill="1" applyBorder="1" applyAlignment="1">
      <alignment horizontal="center"/>
    </xf>
    <xf numFmtId="0" fontId="58" fillId="11" borderId="78" xfId="26" applyFont="1" applyFill="1" applyBorder="1"/>
    <xf numFmtId="0" fontId="57" fillId="11" borderId="85" xfId="26" applyFont="1" applyFill="1" applyBorder="1"/>
    <xf numFmtId="0" fontId="3" fillId="0" borderId="85" xfId="26" applyBorder="1"/>
    <xf numFmtId="0" fontId="3" fillId="0" borderId="78" xfId="26" applyBorder="1"/>
    <xf numFmtId="0" fontId="3" fillId="0" borderId="40" xfId="26" applyBorder="1"/>
    <xf numFmtId="0" fontId="3" fillId="0" borderId="0" xfId="26" quotePrefix="1"/>
    <xf numFmtId="14" fontId="3" fillId="0" borderId="0" xfId="26" applyNumberFormat="1"/>
    <xf numFmtId="14" fontId="3" fillId="0" borderId="33" xfId="26" applyNumberFormat="1" applyBorder="1"/>
    <xf numFmtId="0" fontId="3" fillId="61" borderId="11" xfId="26" applyFill="1" applyBorder="1" applyAlignment="1">
      <alignment horizontal="center"/>
    </xf>
    <xf numFmtId="0" fontId="3" fillId="61" borderId="11" xfId="26" applyFill="1" applyBorder="1"/>
    <xf numFmtId="0" fontId="3" fillId="0" borderId="0" xfId="26" applyAlignment="1">
      <alignment horizontal="center"/>
    </xf>
    <xf numFmtId="0" fontId="9" fillId="61" borderId="11" xfId="26" applyFont="1" applyFill="1" applyBorder="1"/>
    <xf numFmtId="0" fontId="3" fillId="0" borderId="11" xfId="26" applyBorder="1" applyAlignment="1">
      <alignment horizontal="center"/>
    </xf>
    <xf numFmtId="0" fontId="3" fillId="0" borderId="11" xfId="26" applyBorder="1"/>
    <xf numFmtId="0" fontId="9" fillId="0" borderId="11" xfId="26" applyFont="1" applyBorder="1"/>
    <xf numFmtId="0" fontId="3" fillId="0" borderId="11" xfId="26" applyBorder="1" applyAlignment="1">
      <alignment horizontal="right"/>
    </xf>
    <xf numFmtId="0" fontId="3" fillId="0" borderId="11" xfId="26" applyBorder="1" applyAlignment="1">
      <alignment horizontal="center" vertical="center"/>
    </xf>
    <xf numFmtId="0" fontId="3" fillId="0" borderId="11" xfId="26" applyBorder="1" applyAlignment="1">
      <alignment horizontal="center" vertical="center" wrapText="1"/>
    </xf>
    <xf numFmtId="0" fontId="9" fillId="0" borderId="0" xfId="26" applyFont="1"/>
    <xf numFmtId="178" fontId="21" fillId="3" borderId="8" xfId="3" applyNumberFormat="1" applyFont="1" applyFill="1" applyBorder="1" applyAlignment="1" applyProtection="1">
      <alignment horizontal="center" vertical="center"/>
      <protection locked="0"/>
    </xf>
    <xf numFmtId="178" fontId="21" fillId="3" borderId="3" xfId="3" applyNumberFormat="1" applyFont="1" applyFill="1" applyBorder="1" applyAlignment="1" applyProtection="1">
      <alignment horizontal="center" vertical="center"/>
      <protection locked="0"/>
    </xf>
    <xf numFmtId="170" fontId="21" fillId="50" borderId="3" xfId="3" applyNumberFormat="1" applyFont="1" applyFill="1" applyBorder="1" applyAlignment="1" applyProtection="1">
      <alignment horizontal="center" vertical="center"/>
      <protection locked="0"/>
    </xf>
    <xf numFmtId="167" fontId="21" fillId="50" borderId="1" xfId="3" applyNumberFormat="1" applyFont="1" applyFill="1" applyBorder="1" applyAlignment="1" applyProtection="1">
      <alignment horizontal="center" vertical="center"/>
      <protection locked="0"/>
    </xf>
    <xf numFmtId="192" fontId="21" fillId="3" borderId="0" xfId="3" applyNumberFormat="1" applyFont="1" applyFill="1" applyBorder="1" applyAlignment="1" applyProtection="1">
      <alignment horizontal="center" vertical="center"/>
      <protection locked="0"/>
    </xf>
    <xf numFmtId="192" fontId="21" fillId="3" borderId="3" xfId="3" applyNumberFormat="1" applyFont="1" applyFill="1" applyBorder="1" applyAlignment="1" applyProtection="1">
      <alignment horizontal="center" vertical="center"/>
      <protection locked="0"/>
    </xf>
    <xf numFmtId="0" fontId="21" fillId="50" borderId="0" xfId="3" applyNumberFormat="1" applyFont="1" applyFill="1" applyBorder="1" applyAlignment="1" applyProtection="1">
      <alignment horizontal="center" vertical="center"/>
      <protection locked="0"/>
    </xf>
    <xf numFmtId="1" fontId="21" fillId="50" borderId="8" xfId="3" applyNumberFormat="1" applyFont="1" applyFill="1" applyBorder="1" applyAlignment="1" applyProtection="1">
      <alignment horizontal="center" vertical="center"/>
      <protection locked="0"/>
    </xf>
    <xf numFmtId="167" fontId="21" fillId="50" borderId="8" xfId="3" applyNumberFormat="1" applyFont="1" applyFill="1" applyBorder="1" applyAlignment="1" applyProtection="1">
      <alignment horizontal="left" vertical="center"/>
      <protection locked="0"/>
    </xf>
    <xf numFmtId="167" fontId="21" fillId="50" borderId="0" xfId="3" applyNumberFormat="1" applyFont="1" applyFill="1" applyBorder="1" applyAlignment="1" applyProtection="1">
      <alignment horizontal="left" vertical="center"/>
      <protection locked="0"/>
    </xf>
    <xf numFmtId="168" fontId="21" fillId="50" borderId="2" xfId="3" applyNumberFormat="1" applyFont="1" applyFill="1" applyBorder="1" applyAlignment="1" applyProtection="1">
      <alignment horizontal="center" vertical="center"/>
      <protection locked="0"/>
    </xf>
    <xf numFmtId="0" fontId="21" fillId="50" borderId="3" xfId="3" applyNumberFormat="1" applyFont="1" applyFill="1" applyBorder="1" applyAlignment="1" applyProtection="1">
      <alignment horizontal="center" vertical="center"/>
      <protection locked="0"/>
    </xf>
    <xf numFmtId="178" fontId="21" fillId="50" borderId="3" xfId="3" applyNumberFormat="1" applyFont="1" applyFill="1" applyBorder="1" applyAlignment="1" applyProtection="1">
      <alignment horizontal="center" vertical="center"/>
      <protection locked="0"/>
    </xf>
    <xf numFmtId="177" fontId="21" fillId="50" borderId="0" xfId="3" applyNumberFormat="1" applyFont="1" applyFill="1" applyBorder="1" applyAlignment="1" applyProtection="1">
      <alignment horizontal="center" vertical="center"/>
    </xf>
    <xf numFmtId="169" fontId="21" fillId="50" borderId="0" xfId="3" applyNumberFormat="1" applyFont="1" applyFill="1" applyBorder="1" applyAlignment="1" applyProtection="1">
      <alignment horizontal="center" vertical="center"/>
    </xf>
    <xf numFmtId="0" fontId="3" fillId="0" borderId="15" xfId="26" applyBorder="1" applyAlignment="1">
      <alignment horizontal="center"/>
    </xf>
    <xf numFmtId="0" fontId="3" fillId="61" borderId="10" xfId="26" applyFill="1" applyBorder="1"/>
    <xf numFmtId="0" fontId="3" fillId="0" borderId="22" xfId="26" applyBorder="1" applyAlignment="1">
      <alignment horizontal="center"/>
    </xf>
    <xf numFmtId="0" fontId="20" fillId="0" borderId="22" xfId="1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20" fillId="0" borderId="22" xfId="10" applyFont="1" applyBorder="1" applyAlignment="1">
      <alignment horizontal="left"/>
    </xf>
    <xf numFmtId="0" fontId="7" fillId="30" borderId="0" xfId="10" applyFill="1" applyAlignment="1">
      <alignment horizontal="center" vertical="center"/>
    </xf>
    <xf numFmtId="0" fontId="0" fillId="30" borderId="0" xfId="0" applyFill="1"/>
    <xf numFmtId="0" fontId="9" fillId="0" borderId="0" xfId="0" applyFont="1" applyAlignment="1">
      <alignment horizontal="center"/>
    </xf>
    <xf numFmtId="2" fontId="9" fillId="0" borderId="0" xfId="0" quotePrefix="1" applyNumberFormat="1" applyFont="1" applyAlignment="1">
      <alignment horizontal="center"/>
    </xf>
    <xf numFmtId="44" fontId="46" fillId="0" borderId="0" xfId="14" applyFont="1" applyAlignment="1">
      <alignment horizontal="center"/>
    </xf>
    <xf numFmtId="44" fontId="9" fillId="0" borderId="0" xfId="14" quotePrefix="1" applyFont="1"/>
    <xf numFmtId="44" fontId="0" fillId="0" borderId="0" xfId="0" applyNumberFormat="1"/>
    <xf numFmtId="44" fontId="9" fillId="0" borderId="0" xfId="14" applyFont="1"/>
    <xf numFmtId="44" fontId="0" fillId="0" borderId="0" xfId="14" applyFont="1"/>
    <xf numFmtId="44" fontId="0" fillId="0" borderId="0" xfId="14" applyFont="1" applyAlignment="1">
      <alignment horizontal="center"/>
    </xf>
    <xf numFmtId="2" fontId="0" fillId="0" borderId="0" xfId="14" applyNumberFormat="1" applyFont="1" applyAlignment="1">
      <alignment horizontal="center"/>
    </xf>
    <xf numFmtId="0" fontId="7" fillId="0" borderId="0" xfId="10" applyAlignment="1">
      <alignment horizontal="left"/>
    </xf>
    <xf numFmtId="44" fontId="0" fillId="30" borderId="0" xfId="14" applyFont="1" applyFill="1"/>
    <xf numFmtId="14" fontId="0" fillId="0" borderId="0" xfId="0" applyNumberFormat="1"/>
    <xf numFmtId="0" fontId="9" fillId="31" borderId="0" xfId="0" applyFont="1" applyFill="1"/>
    <xf numFmtId="44" fontId="0" fillId="2" borderId="0" xfId="14" applyFont="1" applyFill="1"/>
    <xf numFmtId="172" fontId="18" fillId="0" borderId="0" xfId="10" applyNumberFormat="1" applyFont="1"/>
    <xf numFmtId="0" fontId="7" fillId="28" borderId="4" xfId="10" applyFill="1" applyBorder="1" applyAlignment="1">
      <alignment vertical="center"/>
    </xf>
    <xf numFmtId="0" fontId="7" fillId="29" borderId="4" xfId="10" applyFill="1" applyBorder="1" applyAlignment="1">
      <alignment vertical="center"/>
    </xf>
    <xf numFmtId="0" fontId="7" fillId="28" borderId="7" xfId="10" applyFill="1" applyBorder="1" applyAlignment="1">
      <alignment vertical="center"/>
    </xf>
    <xf numFmtId="0" fontId="7" fillId="28" borderId="8" xfId="10" applyFill="1" applyBorder="1" applyAlignment="1">
      <alignment vertical="center"/>
    </xf>
    <xf numFmtId="2" fontId="7" fillId="28" borderId="8" xfId="10" applyNumberFormat="1" applyFill="1" applyBorder="1" applyAlignment="1">
      <alignment vertical="center"/>
    </xf>
    <xf numFmtId="0" fontId="7" fillId="28" borderId="1" xfId="10" applyFill="1" applyBorder="1" applyAlignment="1">
      <alignment vertical="center"/>
    </xf>
    <xf numFmtId="0" fontId="18" fillId="0" borderId="34" xfId="10" applyFont="1" applyBorder="1" applyAlignment="1">
      <alignment vertical="center"/>
    </xf>
    <xf numFmtId="0" fontId="18" fillId="0" borderId="39" xfId="10" applyFont="1" applyBorder="1" applyAlignment="1">
      <alignment vertical="center"/>
    </xf>
    <xf numFmtId="0" fontId="18" fillId="0" borderId="39" xfId="10" applyFont="1" applyBorder="1" applyAlignment="1">
      <alignment vertical="center" wrapText="1"/>
    </xf>
    <xf numFmtId="0" fontId="18" fillId="0" borderId="35" xfId="10" applyFont="1" applyBorder="1" applyAlignment="1">
      <alignment vertical="center" wrapText="1"/>
    </xf>
    <xf numFmtId="0" fontId="18" fillId="24" borderId="35" xfId="10" applyFont="1" applyFill="1" applyBorder="1" applyAlignment="1">
      <alignment vertical="center"/>
    </xf>
    <xf numFmtId="0" fontId="18" fillId="24" borderId="1" xfId="10" applyFont="1" applyFill="1" applyBorder="1" applyAlignment="1">
      <alignment vertical="center"/>
    </xf>
    <xf numFmtId="0" fontId="18" fillId="0" borderId="32" xfId="10" applyFont="1" applyBorder="1" applyAlignment="1">
      <alignment vertical="center"/>
    </xf>
    <xf numFmtId="0" fontId="18" fillId="24" borderId="32" xfId="10" applyFont="1" applyFill="1" applyBorder="1" applyAlignment="1">
      <alignment vertical="center"/>
    </xf>
    <xf numFmtId="0" fontId="7" fillId="28" borderId="74" xfId="10" applyFill="1" applyBorder="1" applyAlignment="1">
      <alignment vertical="center"/>
    </xf>
    <xf numFmtId="0" fontId="7" fillId="29" borderId="74" xfId="10" applyFill="1" applyBorder="1" applyAlignment="1">
      <alignment vertical="center"/>
    </xf>
    <xf numFmtId="0" fontId="7" fillId="28" borderId="40" xfId="10" applyFill="1" applyBorder="1" applyAlignment="1">
      <alignment vertical="center"/>
    </xf>
    <xf numFmtId="0" fontId="7" fillId="28" borderId="33" xfId="10" applyFill="1" applyBorder="1" applyAlignment="1">
      <alignment vertical="center"/>
    </xf>
    <xf numFmtId="0" fontId="7" fillId="29" borderId="40" xfId="10" applyFill="1" applyBorder="1" applyAlignment="1">
      <alignment vertical="center"/>
    </xf>
    <xf numFmtId="14" fontId="18" fillId="24" borderId="32" xfId="10" applyNumberFormat="1" applyFont="1" applyFill="1" applyBorder="1" applyAlignment="1">
      <alignment horizontal="center" vertical="center"/>
    </xf>
    <xf numFmtId="14" fontId="7" fillId="28" borderId="74" xfId="10" applyNumberFormat="1" applyFill="1" applyBorder="1" applyAlignment="1">
      <alignment horizontal="center" vertical="center"/>
    </xf>
    <xf numFmtId="14" fontId="7" fillId="29" borderId="74" xfId="10" applyNumberFormat="1" applyFill="1" applyBorder="1" applyAlignment="1">
      <alignment horizontal="center" vertical="center"/>
    </xf>
    <xf numFmtId="14" fontId="7" fillId="28" borderId="40" xfId="10" applyNumberFormat="1" applyFill="1" applyBorder="1" applyAlignment="1">
      <alignment horizontal="center" vertical="center"/>
    </xf>
    <xf numFmtId="14" fontId="7" fillId="28" borderId="33" xfId="10" applyNumberFormat="1" applyFill="1" applyBorder="1" applyAlignment="1">
      <alignment horizontal="center" vertical="center"/>
    </xf>
    <xf numFmtId="14" fontId="7" fillId="29" borderId="40" xfId="10" applyNumberFormat="1" applyFill="1" applyBorder="1" applyAlignment="1">
      <alignment horizontal="center" vertical="center"/>
    </xf>
    <xf numFmtId="2" fontId="14" fillId="0" borderId="61" xfId="20" applyNumberFormat="1" applyFont="1" applyBorder="1" applyAlignment="1">
      <alignment horizontal="center"/>
    </xf>
    <xf numFmtId="2" fontId="14" fillId="0" borderId="11" xfId="20" applyNumberFormat="1" applyFont="1" applyBorder="1" applyAlignment="1">
      <alignment horizontal="center"/>
    </xf>
    <xf numFmtId="2" fontId="14" fillId="0" borderId="65" xfId="20" applyNumberFormat="1" applyFont="1" applyBorder="1" applyAlignment="1">
      <alignment horizontal="center"/>
    </xf>
    <xf numFmtId="2" fontId="14" fillId="0" borderId="11" xfId="20" applyNumberFormat="1" applyFont="1" applyBorder="1"/>
    <xf numFmtId="2" fontId="14" fillId="0" borderId="65" xfId="20" applyNumberFormat="1" applyFont="1" applyBorder="1"/>
    <xf numFmtId="0" fontId="7" fillId="50" borderId="0" xfId="10" applyFill="1"/>
    <xf numFmtId="2" fontId="9" fillId="0" borderId="0" xfId="14" applyNumberFormat="1" applyFont="1" applyFill="1" applyAlignment="1">
      <alignment horizontal="center"/>
    </xf>
    <xf numFmtId="44" fontId="9" fillId="0" borderId="0" xfId="14" applyFont="1" applyFill="1"/>
    <xf numFmtId="2" fontId="0" fillId="0" borderId="0" xfId="14" applyNumberFormat="1" applyFont="1" applyFill="1" applyAlignment="1">
      <alignment horizontal="center"/>
    </xf>
    <xf numFmtId="44" fontId="0" fillId="0" borderId="0" xfId="14" applyFont="1" applyFill="1"/>
    <xf numFmtId="0" fontId="18" fillId="0" borderId="33" xfId="10" applyFont="1" applyBorder="1"/>
    <xf numFmtId="0" fontId="18" fillId="0" borderId="33" xfId="10" applyFont="1" applyBorder="1" applyAlignment="1">
      <alignment vertical="center"/>
    </xf>
    <xf numFmtId="0" fontId="18" fillId="0" borderId="1" xfId="10" applyFont="1" applyBorder="1" applyAlignment="1">
      <alignment vertical="center" wrapText="1"/>
    </xf>
    <xf numFmtId="0" fontId="18" fillId="0" borderId="6" xfId="10" applyFont="1" applyBorder="1" applyAlignment="1">
      <alignment vertical="center" wrapText="1"/>
    </xf>
    <xf numFmtId="0" fontId="18" fillId="0" borderId="33" xfId="10" applyFont="1" applyBorder="1" applyAlignment="1">
      <alignment horizontal="center" vertical="center"/>
    </xf>
    <xf numFmtId="0" fontId="18" fillId="0" borderId="5" xfId="10" applyFont="1" applyBorder="1" applyAlignment="1">
      <alignment horizontal="center"/>
    </xf>
    <xf numFmtId="0" fontId="18" fillId="66" borderId="34" xfId="10" applyFont="1" applyFill="1" applyBorder="1" applyAlignment="1">
      <alignment horizontal="centerContinuous"/>
    </xf>
    <xf numFmtId="0" fontId="7" fillId="66" borderId="39" xfId="10" applyFill="1" applyBorder="1" applyAlignment="1">
      <alignment horizontal="centerContinuous"/>
    </xf>
    <xf numFmtId="0" fontId="7" fillId="66" borderId="35" xfId="10" applyFill="1" applyBorder="1" applyAlignment="1">
      <alignment horizontal="centerContinuous"/>
    </xf>
    <xf numFmtId="14" fontId="7" fillId="0" borderId="0" xfId="10" applyNumberFormat="1"/>
    <xf numFmtId="0" fontId="43" fillId="0" borderId="1" xfId="10" applyFont="1" applyBorder="1" applyAlignment="1">
      <alignment horizontal="center"/>
    </xf>
    <xf numFmtId="0" fontId="43" fillId="0" borderId="6" xfId="10" applyFont="1" applyBorder="1" applyAlignment="1">
      <alignment horizontal="center"/>
    </xf>
    <xf numFmtId="0" fontId="14" fillId="0" borderId="47" xfId="19" applyFont="1" applyBorder="1" applyAlignment="1">
      <alignment horizontal="left"/>
    </xf>
    <xf numFmtId="0" fontId="7" fillId="2" borderId="44" xfId="10" applyFill="1" applyBorder="1" applyAlignment="1">
      <alignment horizontal="center" vertical="center"/>
    </xf>
    <xf numFmtId="0" fontId="18" fillId="24" borderId="5" xfId="10" applyFont="1" applyFill="1" applyBorder="1" applyAlignment="1">
      <alignment vertical="center"/>
    </xf>
    <xf numFmtId="0" fontId="18" fillId="24" borderId="33" xfId="10" applyFont="1" applyFill="1" applyBorder="1" applyAlignment="1">
      <alignment vertical="center"/>
    </xf>
    <xf numFmtId="14" fontId="18" fillId="24" borderId="33" xfId="10" applyNumberFormat="1" applyFont="1" applyFill="1" applyBorder="1" applyAlignment="1">
      <alignment horizontal="center" vertical="center"/>
    </xf>
    <xf numFmtId="0" fontId="18" fillId="24" borderId="6" xfId="10" applyFont="1" applyFill="1" applyBorder="1" applyAlignment="1">
      <alignment vertical="center"/>
    </xf>
    <xf numFmtId="0" fontId="7" fillId="0" borderId="0" xfId="10" applyAlignment="1">
      <alignment vertical="center"/>
    </xf>
    <xf numFmtId="14" fontId="7" fillId="0" borderId="0" xfId="10" applyNumberFormat="1" applyAlignment="1">
      <alignment horizontal="center" vertical="center"/>
    </xf>
    <xf numFmtId="2" fontId="7" fillId="0" borderId="0" xfId="10" applyNumberFormat="1" applyAlignment="1">
      <alignment vertical="center"/>
    </xf>
    <xf numFmtId="44" fontId="14" fillId="0" borderId="0" xfId="14" applyFont="1"/>
    <xf numFmtId="0" fontId="3" fillId="11" borderId="77" xfId="26" applyFill="1" applyBorder="1" applyAlignment="1">
      <alignment horizontal="center" vertical="center"/>
    </xf>
    <xf numFmtId="0" fontId="3" fillId="11" borderId="75" xfId="26" applyFill="1" applyBorder="1" applyAlignment="1">
      <alignment horizontal="center" vertical="center"/>
    </xf>
    <xf numFmtId="2" fontId="3" fillId="11" borderId="82" xfId="26" applyNumberFormat="1" applyFill="1" applyBorder="1" applyAlignment="1">
      <alignment horizontal="center"/>
    </xf>
    <xf numFmtId="0" fontId="3" fillId="61" borderId="79" xfId="26" applyFill="1" applyBorder="1" applyAlignment="1">
      <alignment horizontal="centerContinuous" vertical="center"/>
    </xf>
    <xf numFmtId="0" fontId="3" fillId="61" borderId="79" xfId="26" applyFill="1" applyBorder="1" applyAlignment="1">
      <alignment horizontal="centerContinuous"/>
    </xf>
    <xf numFmtId="0" fontId="3" fillId="61" borderId="80" xfId="26" applyFill="1" applyBorder="1" applyAlignment="1">
      <alignment horizontal="centerContinuous"/>
    </xf>
    <xf numFmtId="0" fontId="3" fillId="11" borderId="88" xfId="26" quotePrefix="1" applyFill="1" applyBorder="1" applyAlignment="1">
      <alignment horizontal="centerContinuous"/>
    </xf>
    <xf numFmtId="0" fontId="57" fillId="11" borderId="75" xfId="26" applyFont="1" applyFill="1" applyBorder="1"/>
    <xf numFmtId="0" fontId="3" fillId="62" borderId="79" xfId="26" applyFill="1" applyBorder="1" applyAlignment="1">
      <alignment horizontal="centerContinuous"/>
    </xf>
    <xf numFmtId="0" fontId="57" fillId="11" borderId="79" xfId="26" applyFont="1" applyFill="1" applyBorder="1"/>
    <xf numFmtId="165" fontId="3" fillId="61" borderId="79" xfId="26" applyNumberFormat="1" applyFill="1" applyBorder="1" applyAlignment="1">
      <alignment horizontal="centerContinuous" vertical="center"/>
    </xf>
    <xf numFmtId="0" fontId="18" fillId="11" borderId="79" xfId="26" applyFont="1" applyFill="1" applyBorder="1" applyAlignment="1">
      <alignment horizontal="right"/>
    </xf>
    <xf numFmtId="0" fontId="31" fillId="11" borderId="79" xfId="26" applyFont="1" applyFill="1" applyBorder="1"/>
    <xf numFmtId="13" fontId="3" fillId="11" borderId="79" xfId="26" applyNumberFormat="1" applyFill="1" applyBorder="1"/>
    <xf numFmtId="0" fontId="25" fillId="11" borderId="87" xfId="26" applyFont="1" applyFill="1" applyBorder="1"/>
    <xf numFmtId="0" fontId="57" fillId="11" borderId="0" xfId="26" applyFont="1" applyFill="1"/>
    <xf numFmtId="0" fontId="51" fillId="11" borderId="1" xfId="26" applyFont="1" applyFill="1" applyBorder="1"/>
    <xf numFmtId="0" fontId="18" fillId="20" borderId="39" xfId="26" applyFont="1" applyFill="1" applyBorder="1" applyAlignment="1">
      <alignment horizontal="centerContinuous"/>
    </xf>
    <xf numFmtId="0" fontId="58" fillId="11" borderId="79" xfId="26" applyFont="1" applyFill="1" applyBorder="1"/>
    <xf numFmtId="0" fontId="3" fillId="0" borderId="75" xfId="26" applyBorder="1"/>
    <xf numFmtId="0" fontId="3" fillId="11" borderId="75" xfId="26" applyFill="1" applyBorder="1" applyAlignment="1">
      <alignment horizontal="right"/>
    </xf>
    <xf numFmtId="0" fontId="14" fillId="11" borderId="79" xfId="26" applyFont="1" applyFill="1" applyBorder="1" applyAlignment="1">
      <alignment horizontal="right"/>
    </xf>
    <xf numFmtId="0" fontId="18" fillId="20" borderId="35" xfId="26" applyFont="1" applyFill="1" applyBorder="1" applyAlignment="1">
      <alignment horizontal="centerContinuous"/>
    </xf>
    <xf numFmtId="0" fontId="18" fillId="11" borderId="74" xfId="26" applyFont="1" applyFill="1" applyBorder="1"/>
    <xf numFmtId="0" fontId="3" fillId="11" borderId="87" xfId="26" applyFill="1" applyBorder="1"/>
    <xf numFmtId="0" fontId="18" fillId="13" borderId="34" xfId="26" applyFont="1" applyFill="1" applyBorder="1" applyAlignment="1">
      <alignment horizontal="centerContinuous"/>
    </xf>
    <xf numFmtId="0" fontId="18" fillId="13" borderId="39" xfId="26" applyFont="1" applyFill="1" applyBorder="1" applyAlignment="1">
      <alignment horizontal="centerContinuous"/>
    </xf>
    <xf numFmtId="0" fontId="18" fillId="13" borderId="35" xfId="26" applyFont="1" applyFill="1" applyBorder="1" applyAlignment="1">
      <alignment horizontal="centerContinuous"/>
    </xf>
    <xf numFmtId="0" fontId="3" fillId="11" borderId="87" xfId="26" applyFill="1" applyBorder="1" applyAlignment="1">
      <alignment horizontal="center"/>
    </xf>
    <xf numFmtId="11" fontId="3" fillId="0" borderId="82" xfId="26" applyNumberFormat="1" applyBorder="1" applyAlignment="1">
      <alignment horizontal="center"/>
    </xf>
    <xf numFmtId="0" fontId="18" fillId="11" borderId="1" xfId="26" applyFont="1" applyFill="1" applyBorder="1"/>
    <xf numFmtId="0" fontId="65" fillId="11" borderId="79" xfId="26" applyFont="1" applyFill="1" applyBorder="1"/>
    <xf numFmtId="2" fontId="3" fillId="11" borderId="85" xfId="26" applyNumberFormat="1" applyFill="1" applyBorder="1"/>
    <xf numFmtId="0" fontId="65" fillId="11" borderId="88" xfId="26" applyFont="1" applyFill="1" applyBorder="1"/>
    <xf numFmtId="0" fontId="3" fillId="13" borderId="39" xfId="26" applyFill="1" applyBorder="1" applyAlignment="1">
      <alignment horizontal="centerContinuous"/>
    </xf>
    <xf numFmtId="0" fontId="3" fillId="13" borderId="35" xfId="26" applyFill="1" applyBorder="1" applyAlignment="1">
      <alignment horizontal="centerContinuous"/>
    </xf>
    <xf numFmtId="0" fontId="31" fillId="11" borderId="75" xfId="26" applyFont="1" applyFill="1" applyBorder="1"/>
    <xf numFmtId="0" fontId="31" fillId="0" borderId="79" xfId="26" applyFont="1" applyBorder="1"/>
    <xf numFmtId="0" fontId="66" fillId="11" borderId="79" xfId="26" applyFont="1" applyFill="1" applyBorder="1"/>
    <xf numFmtId="0" fontId="31" fillId="0" borderId="79" xfId="26" applyFont="1" applyBorder="1" applyAlignment="1">
      <alignment horizontal="left"/>
    </xf>
    <xf numFmtId="0" fontId="3" fillId="63" borderId="78" xfId="26" applyFill="1" applyBorder="1" applyAlignment="1">
      <alignment horizontal="left" vertical="center"/>
    </xf>
    <xf numFmtId="0" fontId="3" fillId="63" borderId="79" xfId="26" applyFill="1" applyBorder="1" applyAlignment="1">
      <alignment horizontal="left" vertical="center" indent="1"/>
    </xf>
    <xf numFmtId="0" fontId="3" fillId="63" borderId="79" xfId="26" applyFill="1" applyBorder="1"/>
    <xf numFmtId="0" fontId="57" fillId="63" borderId="79" xfId="26" applyFont="1" applyFill="1" applyBorder="1"/>
    <xf numFmtId="0" fontId="3" fillId="63" borderId="87" xfId="26" applyFill="1" applyBorder="1" applyAlignment="1">
      <alignment horizontal="left"/>
    </xf>
    <xf numFmtId="0" fontId="3" fillId="63" borderId="88" xfId="26" applyFill="1" applyBorder="1"/>
    <xf numFmtId="0" fontId="57" fillId="11" borderId="88" xfId="26" applyFont="1" applyFill="1" applyBorder="1"/>
    <xf numFmtId="0" fontId="3" fillId="0" borderId="17" xfId="26" applyBorder="1"/>
    <xf numFmtId="0" fontId="3" fillId="0" borderId="16" xfId="26" applyBorder="1"/>
    <xf numFmtId="0" fontId="3" fillId="0" borderId="27" xfId="26" applyBorder="1"/>
    <xf numFmtId="0" fontId="3" fillId="0" borderId="26" xfId="26" applyBorder="1"/>
    <xf numFmtId="0" fontId="3" fillId="0" borderId="23" xfId="26" applyBorder="1"/>
    <xf numFmtId="0" fontId="3" fillId="0" borderId="21" xfId="26" applyBorder="1"/>
    <xf numFmtId="14" fontId="35" fillId="17" borderId="11" xfId="0" applyNumberFormat="1" applyFont="1" applyFill="1" applyBorder="1" applyAlignment="1">
      <alignment horizontal="center" vertical="center"/>
    </xf>
    <xf numFmtId="14" fontId="34" fillId="16" borderId="11" xfId="0" applyNumberFormat="1" applyFont="1" applyFill="1" applyBorder="1" applyAlignment="1">
      <alignment horizontal="left" vertical="center"/>
    </xf>
    <xf numFmtId="184" fontId="26" fillId="0" borderId="17" xfId="10" applyNumberFormat="1" applyFont="1" applyBorder="1" applyAlignment="1">
      <alignment horizontal="center" vertical="center" wrapText="1"/>
    </xf>
    <xf numFmtId="186" fontId="26" fillId="0" borderId="17" xfId="10" applyNumberFormat="1" applyFont="1" applyBorder="1" applyAlignment="1">
      <alignment horizontal="center" vertical="center" wrapText="1"/>
    </xf>
    <xf numFmtId="186" fontId="26" fillId="0" borderId="23" xfId="10" applyNumberFormat="1" applyFont="1" applyBorder="1" applyAlignment="1">
      <alignment horizontal="center" vertical="center" wrapText="1"/>
    </xf>
    <xf numFmtId="0" fontId="3" fillId="11" borderId="76" xfId="26" applyFill="1" applyBorder="1" applyAlignment="1">
      <alignment horizontal="right"/>
    </xf>
    <xf numFmtId="0" fontId="18" fillId="11" borderId="75" xfId="26" applyFont="1" applyFill="1" applyBorder="1" applyAlignment="1">
      <alignment horizontal="right"/>
    </xf>
    <xf numFmtId="44" fontId="0" fillId="2" borderId="0" xfId="0" applyNumberFormat="1" applyFill="1"/>
    <xf numFmtId="0" fontId="0" fillId="0" borderId="32" xfId="0" applyBorder="1"/>
    <xf numFmtId="19" fontId="14" fillId="0" borderId="11" xfId="19" applyNumberFormat="1" applyFont="1" applyBorder="1" applyAlignment="1">
      <alignment horizontal="center"/>
    </xf>
    <xf numFmtId="0" fontId="2" fillId="0" borderId="0" xfId="28"/>
    <xf numFmtId="14" fontId="2" fillId="0" borderId="0" xfId="28" applyNumberFormat="1"/>
    <xf numFmtId="0" fontId="9" fillId="0" borderId="27" xfId="28" applyFont="1" applyBorder="1" applyAlignment="1">
      <alignment horizontal="center"/>
    </xf>
    <xf numFmtId="0" fontId="2" fillId="0" borderId="41" xfId="29" applyBorder="1" applyAlignment="1">
      <alignment horizontal="center"/>
    </xf>
    <xf numFmtId="0" fontId="2" fillId="0" borderId="41" xfId="28" applyBorder="1" applyAlignment="1">
      <alignment horizontal="center"/>
    </xf>
    <xf numFmtId="0" fontId="9" fillId="0" borderId="26" xfId="28" applyFont="1" applyBorder="1" applyAlignment="1">
      <alignment horizontal="center"/>
    </xf>
    <xf numFmtId="184" fontId="26" fillId="0" borderId="17" xfId="29" applyNumberFormat="1" applyFont="1" applyBorder="1" applyAlignment="1">
      <alignment horizontal="center" vertical="center" wrapText="1"/>
    </xf>
    <xf numFmtId="0" fontId="2" fillId="0" borderId="11" xfId="29" applyBorder="1"/>
    <xf numFmtId="0" fontId="0" fillId="0" borderId="11" xfId="9" applyNumberFormat="1" applyFont="1" applyBorder="1" applyAlignment="1">
      <alignment horizontal="center"/>
    </xf>
    <xf numFmtId="0" fontId="0" fillId="0" borderId="16" xfId="9" applyNumberFormat="1" applyFont="1" applyBorder="1" applyAlignment="1">
      <alignment horizontal="center"/>
    </xf>
    <xf numFmtId="186" fontId="26" fillId="0" borderId="17" xfId="29" applyNumberFormat="1" applyFont="1" applyBorder="1" applyAlignment="1">
      <alignment horizontal="center" vertical="center" wrapText="1"/>
    </xf>
    <xf numFmtId="186" fontId="26" fillId="0" borderId="23" xfId="29" applyNumberFormat="1" applyFont="1" applyBorder="1" applyAlignment="1">
      <alignment horizontal="center" vertical="center" wrapText="1"/>
    </xf>
    <xf numFmtId="0" fontId="2" fillId="0" borderId="44" xfId="29" applyBorder="1"/>
    <xf numFmtId="0" fontId="0" fillId="0" borderId="44" xfId="9" applyNumberFormat="1" applyFont="1" applyBorder="1" applyAlignment="1">
      <alignment horizontal="center"/>
    </xf>
    <xf numFmtId="0" fontId="0" fillId="0" borderId="21" xfId="9" applyNumberFormat="1" applyFont="1" applyBorder="1" applyAlignment="1">
      <alignment horizontal="center"/>
    </xf>
    <xf numFmtId="0" fontId="0" fillId="0" borderId="91" xfId="9" applyNumberFormat="1" applyFont="1" applyFill="1" applyBorder="1" applyAlignment="1">
      <alignment horizontal="center"/>
    </xf>
    <xf numFmtId="0" fontId="0" fillId="0" borderId="11" xfId="9" applyNumberFormat="1" applyFont="1" applyFill="1" applyBorder="1" applyAlignment="1">
      <alignment horizontal="center"/>
    </xf>
    <xf numFmtId="0" fontId="0" fillId="0" borderId="44" xfId="9" applyNumberFormat="1" applyFont="1" applyFill="1" applyBorder="1" applyAlignment="1">
      <alignment horizontal="center"/>
    </xf>
    <xf numFmtId="0" fontId="0" fillId="0" borderId="11" xfId="9" applyNumberFormat="1" applyFont="1" applyFill="1" applyBorder="1"/>
    <xf numFmtId="0" fontId="0" fillId="0" borderId="91" xfId="9" applyNumberFormat="1" applyFont="1" applyFill="1" applyBorder="1"/>
    <xf numFmtId="0" fontId="2" fillId="0" borderId="24" xfId="28" applyBorder="1"/>
    <xf numFmtId="0" fontId="0" fillId="0" borderId="44" xfId="9" applyNumberFormat="1" applyFont="1" applyFill="1" applyBorder="1"/>
    <xf numFmtId="0" fontId="2" fillId="0" borderId="0" xfId="28" applyAlignment="1">
      <alignment horizontal="center"/>
    </xf>
    <xf numFmtId="181" fontId="32" fillId="14" borderId="0" xfId="10" applyNumberFormat="1" applyFont="1" applyFill="1" applyAlignment="1">
      <alignment horizontal="left" vertical="center"/>
    </xf>
    <xf numFmtId="0" fontId="34" fillId="16" borderId="0" xfId="10" applyFont="1" applyFill="1" applyAlignment="1">
      <alignment horizontal="left" vertical="center"/>
    </xf>
    <xf numFmtId="14" fontId="34" fillId="16" borderId="0" xfId="0" applyNumberFormat="1" applyFont="1" applyFill="1" applyAlignment="1">
      <alignment horizontal="left" vertical="center"/>
    </xf>
    <xf numFmtId="14" fontId="35" fillId="17" borderId="11" xfId="0" applyNumberFormat="1" applyFont="1" applyFill="1" applyBorder="1" applyAlignment="1">
      <alignment horizontal="left" vertical="center"/>
    </xf>
    <xf numFmtId="14" fontId="35" fillId="16" borderId="0" xfId="0" applyNumberFormat="1" applyFont="1" applyFill="1" applyAlignment="1">
      <alignment horizontal="left" vertical="center"/>
    </xf>
    <xf numFmtId="44" fontId="0" fillId="30" borderId="0" xfId="14" applyFont="1" applyFill="1" applyAlignment="1">
      <alignment horizontal="center"/>
    </xf>
    <xf numFmtId="0" fontId="1" fillId="0" borderId="0" xfId="21" applyFont="1"/>
    <xf numFmtId="0" fontId="1" fillId="0" borderId="0" xfId="28" applyFont="1"/>
    <xf numFmtId="0" fontId="1" fillId="11" borderId="79" xfId="26" applyFont="1" applyFill="1" applyBorder="1"/>
    <xf numFmtId="0" fontId="1" fillId="11" borderId="82" xfId="26" applyFont="1" applyFill="1" applyBorder="1" applyAlignment="1">
      <alignment horizontal="left" vertical="center"/>
    </xf>
    <xf numFmtId="0" fontId="1" fillId="11" borderId="79" xfId="26" applyFont="1" applyFill="1" applyBorder="1" applyAlignment="1">
      <alignment horizontal="center"/>
    </xf>
    <xf numFmtId="2" fontId="1" fillId="11" borderId="79" xfId="26" applyNumberFormat="1" applyFont="1" applyFill="1" applyBorder="1" applyAlignment="1">
      <alignment horizontal="center"/>
    </xf>
    <xf numFmtId="0" fontId="1" fillId="11" borderId="1" xfId="26" applyFont="1" applyFill="1" applyBorder="1" applyAlignment="1">
      <alignment horizontal="center"/>
    </xf>
    <xf numFmtId="0" fontId="1" fillId="11" borderId="0" xfId="26" applyFont="1" applyFill="1"/>
    <xf numFmtId="0" fontId="1" fillId="0" borderId="0" xfId="26" applyFont="1"/>
    <xf numFmtId="0" fontId="1" fillId="11" borderId="0" xfId="1" applyFont="1" applyFill="1" applyAlignment="1" applyProtection="1">
      <alignment vertical="center"/>
      <protection locked="0"/>
    </xf>
    <xf numFmtId="0" fontId="1" fillId="0" borderId="0" xfId="10" applyFont="1"/>
    <xf numFmtId="0" fontId="1" fillId="0" borderId="41" xfId="10" applyFont="1" applyBorder="1" applyAlignment="1">
      <alignment horizontal="center"/>
    </xf>
    <xf numFmtId="0" fontId="1" fillId="65" borderId="90" xfId="10" applyFont="1" applyFill="1" applyBorder="1"/>
    <xf numFmtId="2" fontId="1" fillId="20" borderId="0" xfId="10" applyNumberFormat="1" applyFont="1" applyFill="1" applyAlignment="1">
      <alignment horizontal="center" vertical="center"/>
    </xf>
    <xf numFmtId="44" fontId="1" fillId="20" borderId="0" xfId="14" applyFont="1" applyFill="1" applyAlignment="1">
      <alignment horizontal="center" vertical="center"/>
    </xf>
    <xf numFmtId="44" fontId="1" fillId="21" borderId="0" xfId="14" applyFont="1" applyFill="1" applyAlignment="1">
      <alignment horizontal="center" vertical="center"/>
    </xf>
    <xf numFmtId="2" fontId="1" fillId="21" borderId="0" xfId="10" applyNumberFormat="1" applyFont="1" applyFill="1" applyAlignment="1">
      <alignment horizontal="center" vertical="center"/>
    </xf>
    <xf numFmtId="44" fontId="1" fillId="30" borderId="0" xfId="14" applyFont="1" applyFill="1" applyAlignment="1">
      <alignment horizontal="center" vertical="center"/>
    </xf>
    <xf numFmtId="0" fontId="1" fillId="21" borderId="0" xfId="10" quotePrefix="1" applyFont="1" applyFill="1" applyAlignment="1">
      <alignment horizontal="center" vertical="center"/>
    </xf>
    <xf numFmtId="0" fontId="1" fillId="21" borderId="0" xfId="10" applyFont="1" applyFill="1" applyAlignment="1">
      <alignment horizontal="center" vertical="center"/>
    </xf>
    <xf numFmtId="0" fontId="1" fillId="20" borderId="0" xfId="10" applyFont="1" applyFill="1" applyAlignment="1">
      <alignment horizontal="center" vertical="center"/>
    </xf>
    <xf numFmtId="0" fontId="1" fillId="23" borderId="0" xfId="10" applyFont="1" applyFill="1" applyAlignment="1">
      <alignment horizontal="center" vertical="center"/>
    </xf>
    <xf numFmtId="44" fontId="1" fillId="4" borderId="0" xfId="14" applyFont="1" applyFill="1" applyAlignment="1">
      <alignment horizontal="center" vertical="center"/>
    </xf>
    <xf numFmtId="2" fontId="1" fillId="4" borderId="0" xfId="10" applyNumberFormat="1" applyFont="1" applyFill="1" applyAlignment="1">
      <alignment horizontal="center" vertical="center"/>
    </xf>
    <xf numFmtId="0" fontId="1" fillId="4" borderId="0" xfId="10" applyFont="1" applyFill="1" applyAlignment="1">
      <alignment horizontal="center" vertical="center"/>
    </xf>
    <xf numFmtId="44" fontId="1" fillId="5" borderId="0" xfId="14" applyFont="1" applyFill="1" applyAlignment="1">
      <alignment horizontal="center" vertical="center"/>
    </xf>
    <xf numFmtId="0" fontId="1" fillId="0" borderId="0" xfId="10" applyFont="1" applyAlignment="1">
      <alignment horizontal="center"/>
    </xf>
    <xf numFmtId="44" fontId="1" fillId="0" borderId="0" xfId="14" applyFont="1"/>
    <xf numFmtId="44" fontId="1" fillId="0" borderId="0" xfId="14" applyFont="1" applyAlignment="1">
      <alignment horizontal="center"/>
    </xf>
    <xf numFmtId="0" fontId="1" fillId="28" borderId="0" xfId="10" applyFont="1" applyFill="1" applyAlignment="1">
      <alignment horizontal="center" vertical="center"/>
    </xf>
    <xf numFmtId="2" fontId="1" fillId="28" borderId="0" xfId="10" applyNumberFormat="1" applyFont="1" applyFill="1" applyAlignment="1">
      <alignment horizontal="center" vertical="center"/>
    </xf>
    <xf numFmtId="44" fontId="1" fillId="28" borderId="0" xfId="14" applyFont="1" applyFill="1" applyAlignment="1">
      <alignment horizontal="center" vertical="center"/>
    </xf>
    <xf numFmtId="2" fontId="1" fillId="29" borderId="0" xfId="10" applyNumberFormat="1" applyFont="1" applyFill="1" applyAlignment="1">
      <alignment horizontal="center" vertical="center"/>
    </xf>
    <xf numFmtId="44" fontId="1" fillId="29" borderId="0" xfId="14" applyFont="1" applyFill="1" applyAlignment="1">
      <alignment horizontal="center" vertical="center"/>
    </xf>
    <xf numFmtId="0" fontId="1" fillId="0" borderId="0" xfId="10" quotePrefix="1" applyFont="1"/>
    <xf numFmtId="0" fontId="1" fillId="29" borderId="0" xfId="10" applyFont="1" applyFill="1" applyAlignment="1">
      <alignment horizontal="center" vertical="center"/>
    </xf>
    <xf numFmtId="44" fontId="1" fillId="29" borderId="0" xfId="10" applyNumberFormat="1" applyFont="1" applyFill="1" applyAlignment="1">
      <alignment horizontal="right"/>
    </xf>
    <xf numFmtId="2" fontId="1" fillId="31" borderId="0" xfId="10" applyNumberFormat="1" applyFont="1" applyFill="1" applyAlignment="1">
      <alignment horizontal="center" vertical="center"/>
    </xf>
    <xf numFmtId="44" fontId="1" fillId="31" borderId="0" xfId="14" applyFont="1" applyFill="1" applyAlignment="1">
      <alignment horizontal="center" vertical="center"/>
    </xf>
    <xf numFmtId="2" fontId="1" fillId="32" borderId="0" xfId="10" applyNumberFormat="1" applyFont="1" applyFill="1" applyAlignment="1">
      <alignment horizontal="center" vertical="center"/>
    </xf>
    <xf numFmtId="44" fontId="1" fillId="32" borderId="0" xfId="14" applyFont="1" applyFill="1" applyAlignment="1">
      <alignment horizontal="center" vertical="center"/>
    </xf>
    <xf numFmtId="0" fontId="1" fillId="31" borderId="0" xfId="10" applyFont="1" applyFill="1" applyAlignment="1">
      <alignment horizontal="center" vertical="center"/>
    </xf>
    <xf numFmtId="0" fontId="1" fillId="32" borderId="0" xfId="10" applyFont="1" applyFill="1" applyAlignment="1">
      <alignment horizontal="center" vertical="center"/>
    </xf>
    <xf numFmtId="44" fontId="1" fillId="32" borderId="0" xfId="10" applyNumberFormat="1" applyFont="1" applyFill="1" applyAlignment="1">
      <alignment horizontal="right"/>
    </xf>
    <xf numFmtId="44" fontId="1" fillId="34" borderId="0" xfId="14" applyFont="1" applyFill="1" applyAlignment="1">
      <alignment horizontal="center" vertical="center"/>
    </xf>
    <xf numFmtId="44" fontId="1" fillId="35" borderId="0" xfId="14" applyFont="1" applyFill="1" applyAlignment="1">
      <alignment horizontal="center" vertical="center"/>
    </xf>
    <xf numFmtId="44" fontId="1" fillId="35" borderId="0" xfId="10" applyNumberFormat="1" applyFont="1" applyFill="1" applyAlignment="1">
      <alignment horizontal="right"/>
    </xf>
    <xf numFmtId="0" fontId="1" fillId="37" borderId="0" xfId="10" applyFont="1" applyFill="1" applyAlignment="1">
      <alignment horizontal="center" vertical="center"/>
    </xf>
    <xf numFmtId="2" fontId="1" fillId="37" borderId="0" xfId="10" applyNumberFormat="1" applyFont="1" applyFill="1" applyAlignment="1">
      <alignment horizontal="center" vertical="center"/>
    </xf>
    <xf numFmtId="44" fontId="1" fillId="37" borderId="0" xfId="14" applyFont="1" applyFill="1" applyAlignment="1">
      <alignment horizontal="center" vertical="center"/>
    </xf>
    <xf numFmtId="2" fontId="1" fillId="38" borderId="0" xfId="10" applyNumberFormat="1" applyFont="1" applyFill="1" applyAlignment="1">
      <alignment horizontal="center" vertical="center"/>
    </xf>
    <xf numFmtId="44" fontId="1" fillId="38" borderId="0" xfId="14" applyFont="1" applyFill="1" applyAlignment="1">
      <alignment horizontal="center" vertical="center"/>
    </xf>
    <xf numFmtId="0" fontId="1" fillId="38" borderId="0" xfId="10" applyFont="1" applyFill="1" applyAlignment="1">
      <alignment horizontal="center" vertical="center"/>
    </xf>
    <xf numFmtId="44" fontId="1" fillId="2" borderId="0" xfId="14" applyFont="1" applyFill="1" applyAlignment="1">
      <alignment horizontal="center" vertical="center"/>
    </xf>
    <xf numFmtId="44" fontId="1" fillId="37" borderId="0" xfId="14" applyFont="1" applyFill="1" applyAlignment="1">
      <alignment horizontal="right"/>
    </xf>
    <xf numFmtId="2" fontId="1" fillId="41" borderId="0" xfId="10" applyNumberFormat="1" applyFont="1" applyFill="1" applyAlignment="1">
      <alignment horizontal="center" vertical="center"/>
    </xf>
    <xf numFmtId="44" fontId="1" fillId="41" borderId="0" xfId="14" applyFont="1" applyFill="1" applyAlignment="1">
      <alignment horizontal="center" vertical="center"/>
    </xf>
    <xf numFmtId="0" fontId="1" fillId="42" borderId="0" xfId="10" applyFont="1" applyFill="1" applyAlignment="1">
      <alignment horizontal="center" vertical="center"/>
    </xf>
    <xf numFmtId="2" fontId="1" fillId="42" borderId="0" xfId="10" applyNumberFormat="1" applyFont="1" applyFill="1" applyAlignment="1">
      <alignment horizontal="center" vertical="center"/>
    </xf>
    <xf numFmtId="44" fontId="1" fillId="42" borderId="0" xfId="14" applyFont="1" applyFill="1" applyAlignment="1">
      <alignment horizontal="center" vertical="center"/>
    </xf>
    <xf numFmtId="0" fontId="1" fillId="41" borderId="0" xfId="10" applyFont="1" applyFill="1" applyAlignment="1">
      <alignment horizontal="center" vertical="center"/>
    </xf>
    <xf numFmtId="44" fontId="1" fillId="41" borderId="0" xfId="14" applyFont="1" applyFill="1" applyAlignment="1">
      <alignment horizontal="right"/>
    </xf>
    <xf numFmtId="2" fontId="1" fillId="44" borderId="0" xfId="10" applyNumberFormat="1" applyFont="1" applyFill="1" applyAlignment="1">
      <alignment horizontal="center" vertical="center"/>
    </xf>
    <xf numFmtId="44" fontId="1" fillId="44" borderId="0" xfId="14" applyFont="1" applyFill="1" applyAlignment="1">
      <alignment horizontal="center" vertical="center"/>
    </xf>
    <xf numFmtId="0" fontId="1" fillId="45" borderId="0" xfId="10" quotePrefix="1" applyFont="1" applyFill="1" applyAlignment="1">
      <alignment horizontal="center" vertical="center"/>
    </xf>
    <xf numFmtId="2" fontId="1" fillId="45" borderId="0" xfId="10" applyNumberFormat="1" applyFont="1" applyFill="1" applyAlignment="1">
      <alignment horizontal="center" vertical="center"/>
    </xf>
    <xf numFmtId="44" fontId="1" fillId="45" borderId="0" xfId="14" applyFont="1" applyFill="1" applyAlignment="1">
      <alignment horizontal="center" vertical="center"/>
    </xf>
    <xf numFmtId="0" fontId="1" fillId="44" borderId="0" xfId="10" quotePrefix="1" applyFont="1" applyFill="1" applyAlignment="1">
      <alignment horizontal="center" vertical="center"/>
    </xf>
    <xf numFmtId="0" fontId="1" fillId="45" borderId="0" xfId="10" applyFont="1" applyFill="1" applyAlignment="1">
      <alignment horizontal="center" vertical="center"/>
    </xf>
    <xf numFmtId="0" fontId="1" fillId="44" borderId="0" xfId="10" applyFont="1" applyFill="1" applyAlignment="1">
      <alignment horizontal="center" vertical="center"/>
    </xf>
    <xf numFmtId="44" fontId="1" fillId="45" borderId="0" xfId="14" applyFont="1" applyFill="1" applyAlignment="1">
      <alignment horizontal="right"/>
    </xf>
    <xf numFmtId="44" fontId="1" fillId="44" borderId="0" xfId="10" applyNumberFormat="1" applyFont="1" applyFill="1" applyAlignment="1">
      <alignment horizontal="right"/>
    </xf>
    <xf numFmtId="2" fontId="1" fillId="47" borderId="0" xfId="10" applyNumberFormat="1" applyFont="1" applyFill="1" applyAlignment="1">
      <alignment horizontal="center" vertical="center"/>
    </xf>
    <xf numFmtId="44" fontId="1" fillId="47" borderId="0" xfId="14" applyFont="1" applyFill="1" applyAlignment="1">
      <alignment horizontal="center" vertical="center"/>
    </xf>
    <xf numFmtId="0" fontId="1" fillId="31" borderId="0" xfId="10" quotePrefix="1" applyFont="1" applyFill="1" applyAlignment="1">
      <alignment horizontal="center" vertical="center"/>
    </xf>
    <xf numFmtId="0" fontId="1" fillId="47" borderId="0" xfId="10" quotePrefix="1" applyFont="1" applyFill="1" applyAlignment="1">
      <alignment horizontal="center" vertical="center"/>
    </xf>
    <xf numFmtId="0" fontId="1" fillId="47" borderId="0" xfId="10" applyFont="1" applyFill="1" applyAlignment="1">
      <alignment horizontal="center" vertical="center"/>
    </xf>
    <xf numFmtId="44" fontId="1" fillId="31" borderId="0" xfId="10" applyNumberFormat="1" applyFont="1" applyFill="1" applyAlignment="1">
      <alignment horizontal="right"/>
    </xf>
    <xf numFmtId="0" fontId="1" fillId="39" borderId="0" xfId="10" quotePrefix="1" applyFont="1" applyFill="1" applyAlignment="1">
      <alignment horizontal="center" vertical="center"/>
    </xf>
    <xf numFmtId="2" fontId="1" fillId="39" borderId="0" xfId="10" applyNumberFormat="1" applyFont="1" applyFill="1" applyAlignment="1">
      <alignment horizontal="center" vertical="center"/>
    </xf>
    <xf numFmtId="44" fontId="1" fillId="39" borderId="0" xfId="14" applyFont="1" applyFill="1" applyAlignment="1">
      <alignment horizontal="center" vertical="center"/>
    </xf>
    <xf numFmtId="2" fontId="1" fillId="48" borderId="0" xfId="10" applyNumberFormat="1" applyFont="1" applyFill="1" applyAlignment="1">
      <alignment horizontal="center" vertical="center"/>
    </xf>
    <xf numFmtId="44" fontId="1" fillId="48" borderId="0" xfId="14" applyFont="1" applyFill="1" applyAlignment="1">
      <alignment horizontal="center" vertical="center"/>
    </xf>
    <xf numFmtId="0" fontId="1" fillId="39" borderId="0" xfId="10" applyFont="1" applyFill="1" applyAlignment="1">
      <alignment horizontal="center" vertical="center"/>
    </xf>
    <xf numFmtId="0" fontId="1" fillId="48" borderId="0" xfId="10" applyFont="1" applyFill="1" applyAlignment="1">
      <alignment horizontal="center" vertical="center"/>
    </xf>
    <xf numFmtId="44" fontId="1" fillId="48" borderId="0" xfId="10" applyNumberFormat="1" applyFont="1" applyFill="1" applyAlignment="1">
      <alignment horizontal="right"/>
    </xf>
    <xf numFmtId="2" fontId="1" fillId="49" borderId="0" xfId="10" applyNumberFormat="1" applyFont="1" applyFill="1" applyAlignment="1">
      <alignment horizontal="center" vertical="center"/>
    </xf>
    <xf numFmtId="44" fontId="1" fillId="49" borderId="0" xfId="14" applyFont="1" applyFill="1" applyAlignment="1">
      <alignment horizontal="center" vertical="center"/>
    </xf>
    <xf numFmtId="0" fontId="1" fillId="2" borderId="0" xfId="10" applyFont="1" applyFill="1" applyAlignment="1">
      <alignment horizontal="center" vertical="center"/>
    </xf>
    <xf numFmtId="0" fontId="1" fillId="49" borderId="0" xfId="10" quotePrefix="1" applyFont="1" applyFill="1" applyAlignment="1">
      <alignment horizontal="center" vertical="center"/>
    </xf>
    <xf numFmtId="0" fontId="1" fillId="28" borderId="0" xfId="10" quotePrefix="1" applyFont="1" applyFill="1" applyAlignment="1">
      <alignment horizontal="center" vertical="center"/>
    </xf>
    <xf numFmtId="0" fontId="1" fillId="49" borderId="0" xfId="10" applyFont="1" applyFill="1" applyAlignment="1">
      <alignment horizontal="center" vertical="center"/>
    </xf>
    <xf numFmtId="44" fontId="1" fillId="28" borderId="0" xfId="10" applyNumberFormat="1" applyFont="1" applyFill="1" applyAlignment="1">
      <alignment horizontal="right"/>
    </xf>
    <xf numFmtId="44" fontId="1" fillId="3" borderId="0" xfId="14" applyFont="1" applyFill="1" applyAlignment="1">
      <alignment horizontal="center" vertical="center"/>
    </xf>
    <xf numFmtId="2" fontId="1" fillId="3" borderId="0" xfId="10" applyNumberFormat="1" applyFont="1" applyFill="1" applyAlignment="1">
      <alignment horizontal="center" vertical="center"/>
    </xf>
    <xf numFmtId="0" fontId="1" fillId="3" borderId="0" xfId="10" quotePrefix="1" applyFont="1" applyFill="1" applyAlignment="1">
      <alignment horizontal="center" vertical="center"/>
    </xf>
    <xf numFmtId="0" fontId="1" fillId="3" borderId="0" xfId="10" applyFont="1" applyFill="1" applyAlignment="1">
      <alignment horizontal="center" vertical="center"/>
    </xf>
    <xf numFmtId="44" fontId="1" fillId="30" borderId="0" xfId="14" applyFont="1" applyFill="1"/>
    <xf numFmtId="44" fontId="1" fillId="2" borderId="0" xfId="14" applyFont="1" applyFill="1"/>
    <xf numFmtId="44" fontId="1" fillId="30" borderId="0" xfId="14" applyFont="1" applyFill="1" applyAlignment="1">
      <alignment horizontal="center"/>
    </xf>
    <xf numFmtId="44" fontId="1" fillId="28" borderId="0" xfId="14" applyFont="1" applyFill="1" applyAlignment="1">
      <alignment horizontal="right"/>
    </xf>
    <xf numFmtId="0" fontId="1" fillId="29" borderId="0" xfId="10" applyFont="1" applyFill="1" applyAlignment="1">
      <alignment horizontal="center"/>
    </xf>
    <xf numFmtId="0" fontId="1" fillId="28" borderId="8" xfId="10" applyFont="1" applyFill="1" applyBorder="1" applyAlignment="1">
      <alignment horizontal="center"/>
    </xf>
    <xf numFmtId="0" fontId="1" fillId="29" borderId="0" xfId="10" applyFont="1" applyFill="1" applyAlignment="1">
      <alignment vertical="center"/>
    </xf>
    <xf numFmtId="2" fontId="1" fillId="29" borderId="0" xfId="10" applyNumberFormat="1" applyFont="1" applyFill="1" applyAlignment="1">
      <alignment vertical="center"/>
    </xf>
    <xf numFmtId="0" fontId="1" fillId="28" borderId="0" xfId="10" applyFont="1" applyFill="1" applyAlignment="1">
      <alignment vertical="center"/>
    </xf>
    <xf numFmtId="2" fontId="1" fillId="28" borderId="0" xfId="10" applyNumberFormat="1" applyFont="1" applyFill="1" applyAlignment="1">
      <alignment vertical="center"/>
    </xf>
    <xf numFmtId="12" fontId="1" fillId="29" borderId="0" xfId="10" applyNumberFormat="1" applyFont="1" applyFill="1" applyAlignment="1">
      <alignment horizontal="center" vertical="center"/>
    </xf>
    <xf numFmtId="22" fontId="5" fillId="0" borderId="0" xfId="21" applyNumberFormat="1"/>
    <xf numFmtId="0" fontId="47" fillId="0" borderId="45" xfId="1" applyFont="1" applyBorder="1" applyAlignment="1">
      <alignment horizontal="center"/>
    </xf>
    <xf numFmtId="0" fontId="47" fillId="0" borderId="46" xfId="1" applyFont="1" applyBorder="1" applyAlignment="1">
      <alignment horizontal="center"/>
    </xf>
    <xf numFmtId="0" fontId="47" fillId="0" borderId="47" xfId="1" applyFont="1" applyBorder="1" applyAlignment="1">
      <alignment horizontal="center"/>
    </xf>
    <xf numFmtId="0" fontId="14" fillId="0" borderId="8" xfId="1" applyFont="1" applyBorder="1" applyAlignment="1">
      <alignment horizontal="center"/>
    </xf>
    <xf numFmtId="0" fontId="14" fillId="0" borderId="2" xfId="1" applyFont="1" applyBorder="1" applyAlignment="1">
      <alignment horizontal="center"/>
    </xf>
    <xf numFmtId="0" fontId="14" fillId="0" borderId="0" xfId="1" applyFont="1" applyAlignment="1">
      <alignment horizontal="center"/>
    </xf>
    <xf numFmtId="0" fontId="14" fillId="0" borderId="3" xfId="1" applyFont="1" applyBorder="1" applyAlignment="1">
      <alignment horizontal="center"/>
    </xf>
    <xf numFmtId="0" fontId="14" fillId="0" borderId="10" xfId="1" applyFont="1" applyBorder="1" applyAlignment="1">
      <alignment horizontal="center"/>
    </xf>
    <xf numFmtId="0" fontId="14" fillId="0" borderId="9" xfId="1" applyFont="1" applyBorder="1" applyAlignment="1">
      <alignment horizontal="center"/>
    </xf>
    <xf numFmtId="0" fontId="47" fillId="4" borderId="49" xfId="1" applyFont="1" applyFill="1" applyBorder="1" applyAlignment="1">
      <alignment horizontal="center" vertical="center" wrapText="1"/>
    </xf>
    <xf numFmtId="0" fontId="14" fillId="0" borderId="22" xfId="1" applyFont="1" applyBorder="1" applyAlignment="1">
      <alignment horizontal="left" vertical="center" wrapText="1"/>
    </xf>
    <xf numFmtId="49" fontId="47" fillId="32" borderId="52" xfId="1" applyNumberFormat="1" applyFont="1" applyFill="1" applyBorder="1" applyAlignment="1">
      <alignment horizontal="center" vertical="center"/>
    </xf>
    <xf numFmtId="0" fontId="14" fillId="0" borderId="0" xfId="1" applyFont="1" applyAlignment="1">
      <alignment horizontal="left" vertical="center" wrapText="1"/>
    </xf>
    <xf numFmtId="0" fontId="14" fillId="0" borderId="10" xfId="1" applyFont="1" applyBorder="1" applyAlignment="1">
      <alignment horizontal="left" vertical="center" wrapText="1"/>
    </xf>
    <xf numFmtId="0" fontId="14" fillId="50" borderId="7" xfId="1" applyFont="1" applyFill="1" applyBorder="1" applyAlignment="1">
      <alignment horizontal="center"/>
    </xf>
    <xf numFmtId="0" fontId="14" fillId="50" borderId="2" xfId="1" applyFont="1" applyFill="1" applyBorder="1" applyAlignment="1">
      <alignment horizontal="center"/>
    </xf>
    <xf numFmtId="196" fontId="14" fillId="50" borderId="5" xfId="17" applyNumberFormat="1" applyFont="1" applyFill="1" applyBorder="1" applyAlignment="1">
      <alignment horizontal="center"/>
    </xf>
    <xf numFmtId="196" fontId="14" fillId="50" borderId="6" xfId="17" applyNumberFormat="1" applyFont="1" applyFill="1" applyBorder="1" applyAlignment="1">
      <alignment horizontal="center"/>
    </xf>
    <xf numFmtId="0" fontId="14" fillId="0" borderId="14" xfId="1" applyFont="1" applyBorder="1" applyAlignment="1">
      <alignment horizontal="center" vertical="center" wrapText="1"/>
    </xf>
    <xf numFmtId="0" fontId="14" fillId="0" borderId="15" xfId="1" applyFont="1" applyBorder="1" applyAlignment="1">
      <alignment horizontal="center" vertical="center" wrapText="1"/>
    </xf>
    <xf numFmtId="0" fontId="14" fillId="0" borderId="15" xfId="1" applyFont="1" applyBorder="1" applyAlignment="1">
      <alignment horizontal="left" vertical="center" wrapText="1"/>
    </xf>
    <xf numFmtId="10" fontId="47" fillId="11" borderId="11" xfId="15" applyNumberFormat="1" applyFont="1" applyFill="1" applyBorder="1" applyAlignment="1">
      <alignment horizontal="center" vertical="center" wrapText="1"/>
    </xf>
    <xf numFmtId="10" fontId="47" fillId="0" borderId="11" xfId="15" applyNumberFormat="1" applyFont="1" applyBorder="1" applyAlignment="1">
      <alignment horizontal="center" vertical="center" wrapText="1"/>
    </xf>
    <xf numFmtId="0" fontId="14" fillId="0" borderId="16" xfId="19" applyFont="1" applyBorder="1" applyAlignment="1">
      <alignment horizontal="left"/>
    </xf>
    <xf numFmtId="0" fontId="14" fillId="0" borderId="15" xfId="19" applyFont="1" applyBorder="1" applyAlignment="1">
      <alignment horizontal="left"/>
    </xf>
    <xf numFmtId="0" fontId="14" fillId="0" borderId="17" xfId="19" applyFont="1" applyBorder="1" applyAlignment="1">
      <alignment horizontal="left"/>
    </xf>
    <xf numFmtId="0" fontId="14" fillId="0" borderId="34" xfId="20" applyFont="1" applyBorder="1" applyAlignment="1">
      <alignment horizontal="center"/>
    </xf>
    <xf numFmtId="0" fontId="14" fillId="0" borderId="39" xfId="20" applyFont="1" applyBorder="1" applyAlignment="1">
      <alignment horizontal="center"/>
    </xf>
    <xf numFmtId="0" fontId="14" fillId="0" borderId="35" xfId="20" applyFont="1" applyBorder="1" applyAlignment="1">
      <alignment horizontal="center"/>
    </xf>
    <xf numFmtId="0" fontId="43" fillId="57" borderId="34" xfId="1" applyFont="1" applyFill="1" applyBorder="1" applyAlignment="1">
      <alignment horizontal="center"/>
    </xf>
    <xf numFmtId="0" fontId="43" fillId="57" borderId="39" xfId="1" applyFont="1" applyFill="1" applyBorder="1" applyAlignment="1">
      <alignment horizontal="center"/>
    </xf>
    <xf numFmtId="0" fontId="43" fillId="57" borderId="35" xfId="1" applyFont="1" applyFill="1" applyBorder="1" applyAlignment="1">
      <alignment horizontal="center"/>
    </xf>
    <xf numFmtId="0" fontId="47" fillId="0" borderId="58" xfId="20" applyFont="1" applyBorder="1" applyAlignment="1">
      <alignment horizontal="center" wrapText="1"/>
    </xf>
    <xf numFmtId="0" fontId="47" fillId="0" borderId="39" xfId="20" applyFont="1" applyBorder="1" applyAlignment="1">
      <alignment horizontal="center" wrapText="1"/>
    </xf>
    <xf numFmtId="0" fontId="47" fillId="0" borderId="42" xfId="20" applyFont="1" applyBorder="1" applyAlignment="1">
      <alignment horizontal="center" wrapText="1"/>
    </xf>
    <xf numFmtId="0" fontId="14" fillId="0" borderId="62" xfId="20" applyFont="1" applyBorder="1" applyAlignment="1">
      <alignment horizontal="left"/>
    </xf>
    <xf numFmtId="0" fontId="14" fillId="0" borderId="46" xfId="20" applyFont="1" applyBorder="1" applyAlignment="1">
      <alignment horizontal="left"/>
    </xf>
    <xf numFmtId="0" fontId="14" fillId="0" borderId="47" xfId="20" applyFont="1" applyBorder="1" applyAlignment="1">
      <alignment horizontal="left"/>
    </xf>
    <xf numFmtId="0" fontId="14" fillId="0" borderId="1" xfId="20" applyFont="1" applyBorder="1" applyAlignment="1">
      <alignment horizontal="center"/>
    </xf>
    <xf numFmtId="0" fontId="14" fillId="0" borderId="15" xfId="20" applyFont="1" applyBorder="1" applyAlignment="1">
      <alignment horizontal="left"/>
    </xf>
    <xf numFmtId="0" fontId="14" fillId="0" borderId="17" xfId="20" applyFont="1" applyBorder="1" applyAlignment="1">
      <alignment horizontal="left"/>
    </xf>
    <xf numFmtId="4" fontId="14" fillId="0" borderId="34" xfId="20" applyNumberFormat="1" applyFont="1" applyBorder="1" applyAlignment="1">
      <alignment horizontal="center"/>
    </xf>
    <xf numFmtId="4" fontId="14" fillId="0" borderId="35" xfId="20" applyNumberFormat="1" applyFont="1" applyBorder="1" applyAlignment="1">
      <alignment horizontal="center"/>
    </xf>
    <xf numFmtId="0" fontId="14" fillId="0" borderId="12" xfId="20" applyFont="1" applyBorder="1" applyAlignment="1">
      <alignment horizontal="left"/>
    </xf>
    <xf numFmtId="0" fontId="14" fillId="0" borderId="66" xfId="20" applyFont="1" applyBorder="1" applyAlignment="1">
      <alignment horizontal="left"/>
    </xf>
    <xf numFmtId="0" fontId="47" fillId="0" borderId="58" xfId="20" applyFont="1" applyBorder="1" applyAlignment="1">
      <alignment horizontal="center"/>
    </xf>
    <xf numFmtId="0" fontId="47" fillId="0" borderId="39" xfId="20" applyFont="1" applyBorder="1" applyAlignment="1">
      <alignment horizontal="center"/>
    </xf>
    <xf numFmtId="0" fontId="47" fillId="0" borderId="42" xfId="20" applyFont="1" applyBorder="1" applyAlignment="1">
      <alignment horizontal="center"/>
    </xf>
    <xf numFmtId="0" fontId="14" fillId="0" borderId="62" xfId="19" applyFont="1" applyBorder="1" applyAlignment="1">
      <alignment horizontal="left" wrapText="1"/>
    </xf>
    <xf numFmtId="0" fontId="14" fillId="0" borderId="46" xfId="19" applyFont="1" applyBorder="1" applyAlignment="1">
      <alignment horizontal="left" wrapText="1"/>
    </xf>
    <xf numFmtId="0" fontId="14" fillId="0" borderId="47" xfId="19" applyFont="1" applyBorder="1" applyAlignment="1">
      <alignment horizontal="left" wrapText="1"/>
    </xf>
    <xf numFmtId="0" fontId="14" fillId="0" borderId="34" xfId="19" applyFont="1" applyBorder="1" applyAlignment="1">
      <alignment horizontal="center"/>
    </xf>
    <xf numFmtId="0" fontId="14" fillId="0" borderId="39" xfId="19" applyFont="1" applyBorder="1" applyAlignment="1">
      <alignment horizontal="center"/>
    </xf>
    <xf numFmtId="0" fontId="14" fillId="0" borderId="35" xfId="19" applyFont="1" applyBorder="1" applyAlignment="1">
      <alignment horizontal="center"/>
    </xf>
    <xf numFmtId="0" fontId="14" fillId="0" borderId="62" xfId="19" applyFont="1" applyBorder="1" applyAlignment="1">
      <alignment horizontal="left" vertical="center" wrapText="1"/>
    </xf>
    <xf numFmtId="0" fontId="14" fillId="0" borderId="46" xfId="19" applyFont="1" applyBorder="1" applyAlignment="1">
      <alignment horizontal="left" vertical="center" wrapText="1"/>
    </xf>
    <xf numFmtId="0" fontId="14" fillId="0" borderId="47" xfId="19" applyFont="1" applyBorder="1" applyAlignment="1">
      <alignment horizontal="left" vertical="center" wrapText="1"/>
    </xf>
    <xf numFmtId="0" fontId="14" fillId="58" borderId="8" xfId="1" applyFont="1" applyFill="1" applyBorder="1" applyAlignment="1">
      <alignment horizontal="center"/>
    </xf>
    <xf numFmtId="0" fontId="14" fillId="58" borderId="2" xfId="1" applyFont="1" applyFill="1" applyBorder="1" applyAlignment="1">
      <alignment horizontal="center"/>
    </xf>
    <xf numFmtId="0" fontId="14" fillId="58" borderId="0" xfId="1" applyFont="1" applyFill="1" applyAlignment="1">
      <alignment horizontal="center"/>
    </xf>
    <xf numFmtId="0" fontId="14" fillId="58" borderId="3" xfId="1" applyFont="1" applyFill="1" applyBorder="1" applyAlignment="1">
      <alignment horizontal="center"/>
    </xf>
    <xf numFmtId="0" fontId="14" fillId="58" borderId="1" xfId="1" applyFont="1" applyFill="1" applyBorder="1" applyAlignment="1">
      <alignment horizontal="center"/>
    </xf>
    <xf numFmtId="0" fontId="14" fillId="58" borderId="6" xfId="1" applyFont="1" applyFill="1" applyBorder="1" applyAlignment="1">
      <alignment horizontal="center"/>
    </xf>
    <xf numFmtId="0" fontId="47" fillId="0" borderId="34" xfId="18" applyFont="1" applyBorder="1" applyAlignment="1">
      <alignment horizontal="center" vertical="center"/>
    </xf>
    <xf numFmtId="0" fontId="47" fillId="0" borderId="39" xfId="18" applyFont="1" applyBorder="1" applyAlignment="1">
      <alignment horizontal="center" vertical="center"/>
    </xf>
    <xf numFmtId="0" fontId="47" fillId="0" borderId="42" xfId="18" applyFont="1" applyBorder="1" applyAlignment="1">
      <alignment horizontal="center" vertical="center"/>
    </xf>
    <xf numFmtId="0" fontId="14" fillId="0" borderId="45" xfId="1" applyFont="1" applyBorder="1" applyAlignment="1">
      <alignment horizontal="center"/>
    </xf>
    <xf numFmtId="0" fontId="14" fillId="0" borderId="46" xfId="1" applyFont="1" applyBorder="1" applyAlignment="1">
      <alignment horizontal="center"/>
    </xf>
    <xf numFmtId="0" fontId="14" fillId="0" borderId="47" xfId="1" applyFont="1" applyBorder="1" applyAlignment="1">
      <alignment horizontal="center"/>
    </xf>
    <xf numFmtId="0" fontId="14" fillId="0" borderId="14" xfId="1" applyFont="1" applyBorder="1" applyAlignment="1">
      <alignment horizontal="center"/>
    </xf>
    <xf numFmtId="0" fontId="14" fillId="0" borderId="15" xfId="1" applyFont="1" applyBorder="1" applyAlignment="1">
      <alignment horizontal="center"/>
    </xf>
    <xf numFmtId="0" fontId="14" fillId="0" borderId="17" xfId="1" applyFont="1" applyBorder="1" applyAlignment="1">
      <alignment horizontal="center"/>
    </xf>
    <xf numFmtId="0" fontId="14" fillId="0" borderId="14" xfId="15" applyFont="1" applyBorder="1" applyAlignment="1">
      <alignment horizontal="center"/>
    </xf>
    <xf numFmtId="0" fontId="14" fillId="0" borderId="15" xfId="15" applyFont="1" applyBorder="1" applyAlignment="1">
      <alignment horizontal="center"/>
    </xf>
    <xf numFmtId="0" fontId="14" fillId="0" borderId="17" xfId="15" applyFont="1" applyBorder="1" applyAlignment="1">
      <alignment horizontal="center"/>
    </xf>
    <xf numFmtId="0" fontId="14" fillId="0" borderId="29" xfId="15" applyFont="1" applyBorder="1" applyAlignment="1">
      <alignment horizontal="center"/>
    </xf>
    <xf numFmtId="0" fontId="14" fillId="0" borderId="12" xfId="15" applyFont="1" applyBorder="1" applyAlignment="1">
      <alignment horizontal="center"/>
    </xf>
    <xf numFmtId="0" fontId="14" fillId="0" borderId="66" xfId="15" applyFont="1" applyBorder="1" applyAlignment="1">
      <alignment horizontal="center"/>
    </xf>
    <xf numFmtId="0" fontId="14" fillId="0" borderId="34" xfId="1" applyFont="1" applyBorder="1" applyAlignment="1">
      <alignment horizontal="center"/>
    </xf>
    <xf numFmtId="0" fontId="14" fillId="0" borderId="39" xfId="1" applyFont="1" applyBorder="1" applyAlignment="1">
      <alignment horizontal="center"/>
    </xf>
    <xf numFmtId="0" fontId="14" fillId="0" borderId="42" xfId="1" applyFont="1" applyBorder="1" applyAlignment="1">
      <alignment horizontal="center"/>
    </xf>
    <xf numFmtId="0" fontId="14" fillId="0" borderId="34" xfId="15" applyFont="1" applyBorder="1" applyAlignment="1">
      <alignment horizontal="right"/>
    </xf>
    <xf numFmtId="0" fontId="14" fillId="0" borderId="39" xfId="15" applyFont="1" applyBorder="1" applyAlignment="1">
      <alignment horizontal="right"/>
    </xf>
    <xf numFmtId="0" fontId="14" fillId="0" borderId="35" xfId="15" applyFont="1" applyBorder="1" applyAlignment="1">
      <alignment horizontal="right"/>
    </xf>
    <xf numFmtId="0" fontId="47" fillId="0" borderId="62" xfId="18" applyFont="1" applyBorder="1" applyAlignment="1">
      <alignment horizontal="center" wrapText="1"/>
    </xf>
    <xf numFmtId="0" fontId="47" fillId="0" borderId="47" xfId="18" applyFont="1" applyBorder="1" applyAlignment="1">
      <alignment horizontal="center" wrapText="1"/>
    </xf>
    <xf numFmtId="0" fontId="14" fillId="0" borderId="11" xfId="0" applyFont="1" applyBorder="1" applyAlignment="1">
      <alignment horizontal="center" vertical="center"/>
    </xf>
    <xf numFmtId="0" fontId="14" fillId="0" borderId="16" xfId="15" applyFont="1" applyBorder="1" applyAlignment="1">
      <alignment horizontal="center" vertical="center"/>
    </xf>
    <xf numFmtId="0" fontId="14" fillId="0" borderId="17" xfId="15" applyFont="1" applyBorder="1" applyAlignment="1">
      <alignment horizontal="center" vertical="center"/>
    </xf>
    <xf numFmtId="0" fontId="14" fillId="0" borderId="16" xfId="15" applyFont="1" applyBorder="1" applyAlignment="1">
      <alignment horizontal="center" vertical="center" wrapText="1"/>
    </xf>
    <xf numFmtId="0" fontId="14" fillId="0" borderId="15" xfId="15" applyFont="1" applyBorder="1" applyAlignment="1">
      <alignment horizontal="center" vertical="center" wrapText="1"/>
    </xf>
    <xf numFmtId="0" fontId="14" fillId="0" borderId="17" xfId="15" applyFont="1" applyBorder="1" applyAlignment="1">
      <alignment horizontal="center" vertical="center" wrapText="1"/>
    </xf>
    <xf numFmtId="44" fontId="14" fillId="0" borderId="16" xfId="14" applyFont="1" applyBorder="1" applyAlignment="1">
      <alignment horizontal="center"/>
    </xf>
    <xf numFmtId="44" fontId="14" fillId="0" borderId="17" xfId="14" applyFont="1" applyBorder="1" applyAlignment="1">
      <alignment horizontal="center"/>
    </xf>
    <xf numFmtId="196" fontId="14" fillId="0" borderId="11" xfId="12" applyNumberFormat="1" applyFont="1" applyBorder="1" applyAlignment="1">
      <alignment horizontal="center"/>
    </xf>
    <xf numFmtId="44" fontId="14" fillId="0" borderId="11" xfId="14" applyFont="1" applyBorder="1" applyAlignment="1">
      <alignment horizontal="center"/>
    </xf>
    <xf numFmtId="0" fontId="14" fillId="0" borderId="16" xfId="1" applyFont="1" applyBorder="1" applyAlignment="1">
      <alignment horizontal="center" wrapText="1"/>
    </xf>
    <xf numFmtId="0" fontId="14" fillId="0" borderId="17" xfId="1" applyFont="1" applyBorder="1" applyAlignment="1">
      <alignment horizontal="center" wrapText="1"/>
    </xf>
    <xf numFmtId="0" fontId="47" fillId="0" borderId="41" xfId="18" applyFont="1" applyBorder="1" applyAlignment="1">
      <alignment horizontal="center" wrapText="1"/>
    </xf>
    <xf numFmtId="0" fontId="47" fillId="0" borderId="62" xfId="15" applyFont="1" applyBorder="1" applyAlignment="1">
      <alignment horizontal="center" wrapText="1"/>
    </xf>
    <xf numFmtId="0" fontId="47" fillId="0" borderId="47" xfId="15" applyFont="1" applyBorder="1" applyAlignment="1">
      <alignment horizontal="center" wrapText="1"/>
    </xf>
    <xf numFmtId="0" fontId="47" fillId="0" borderId="46" xfId="15" applyFont="1" applyBorder="1" applyAlignment="1">
      <alignment horizontal="center" wrapText="1"/>
    </xf>
    <xf numFmtId="0" fontId="14" fillId="0" borderId="11" xfId="0" applyFont="1" applyBorder="1" applyAlignment="1">
      <alignment horizontal="center"/>
    </xf>
    <xf numFmtId="9" fontId="14" fillId="0" borderId="11" xfId="12" applyFont="1" applyBorder="1" applyAlignment="1">
      <alignment horizontal="center"/>
    </xf>
    <xf numFmtId="44" fontId="14" fillId="0" borderId="11" xfId="16" applyFont="1" applyBorder="1" applyAlignment="1">
      <alignment horizontal="center"/>
    </xf>
    <xf numFmtId="0" fontId="14" fillId="0" borderId="11" xfId="18" applyFont="1" applyBorder="1" applyAlignment="1">
      <alignment horizontal="center"/>
    </xf>
    <xf numFmtId="0" fontId="14" fillId="0" borderId="16" xfId="1" applyFont="1" applyBorder="1" applyAlignment="1">
      <alignment horizontal="center" vertical="center"/>
    </xf>
    <xf numFmtId="0" fontId="14" fillId="0" borderId="17" xfId="1" applyFont="1" applyBorder="1" applyAlignment="1">
      <alignment horizontal="center" vertical="center"/>
    </xf>
    <xf numFmtId="0" fontId="14" fillId="0" borderId="16" xfId="1" applyFont="1" applyBorder="1" applyAlignment="1">
      <alignment horizontal="center" vertical="center" wrapText="1"/>
    </xf>
    <xf numFmtId="0" fontId="14" fillId="0" borderId="17" xfId="1" applyFont="1" applyBorder="1" applyAlignment="1">
      <alignment horizontal="center" vertical="center" wrapText="1"/>
    </xf>
    <xf numFmtId="9" fontId="14" fillId="0" borderId="11" xfId="17" applyFont="1" applyBorder="1" applyAlignment="1">
      <alignment horizontal="center"/>
    </xf>
    <xf numFmtId="0" fontId="14" fillId="0" borderId="34" xfId="15" applyFont="1" applyBorder="1" applyAlignment="1">
      <alignment horizontal="center"/>
    </xf>
    <xf numFmtId="0" fontId="14" fillId="0" borderId="39" xfId="15" applyFont="1" applyBorder="1" applyAlignment="1">
      <alignment horizontal="center"/>
    </xf>
    <xf numFmtId="0" fontId="14" fillId="0" borderId="42" xfId="15" applyFont="1" applyBorder="1" applyAlignment="1">
      <alignment horizontal="center"/>
    </xf>
    <xf numFmtId="0" fontId="14" fillId="0" borderId="58" xfId="15" applyFont="1" applyBorder="1"/>
    <xf numFmtId="0" fontId="14" fillId="0" borderId="42" xfId="15" applyFont="1" applyBorder="1"/>
    <xf numFmtId="0" fontId="14" fillId="0" borderId="39" xfId="15" applyFont="1" applyBorder="1"/>
    <xf numFmtId="44" fontId="14" fillId="0" borderId="57" xfId="16" applyFont="1" applyBorder="1" applyAlignment="1"/>
    <xf numFmtId="9" fontId="14" fillId="0" borderId="57" xfId="17" applyFont="1" applyBorder="1" applyAlignment="1"/>
    <xf numFmtId="9" fontId="14" fillId="0" borderId="58" xfId="17" applyFont="1" applyBorder="1" applyAlignment="1"/>
    <xf numFmtId="44" fontId="14" fillId="0" borderId="34" xfId="16" applyFont="1" applyBorder="1" applyAlignment="1">
      <alignment horizontal="right"/>
    </xf>
    <xf numFmtId="44" fontId="14" fillId="0" borderId="39" xfId="16" applyFont="1" applyBorder="1" applyAlignment="1">
      <alignment horizontal="right"/>
    </xf>
    <xf numFmtId="44" fontId="14" fillId="0" borderId="42" xfId="16" applyFont="1" applyBorder="1" applyAlignment="1">
      <alignment horizontal="right"/>
    </xf>
    <xf numFmtId="0" fontId="14" fillId="0" borderId="44" xfId="18" applyFont="1" applyBorder="1" applyAlignment="1">
      <alignment horizontal="center"/>
    </xf>
    <xf numFmtId="0" fontId="14" fillId="0" borderId="70" xfId="1" applyFont="1" applyBorder="1" applyAlignment="1">
      <alignment horizontal="center" vertical="center"/>
    </xf>
    <xf numFmtId="0" fontId="14" fillId="0" borderId="66" xfId="1" applyFont="1" applyBorder="1" applyAlignment="1">
      <alignment horizontal="center" vertical="center"/>
    </xf>
    <xf numFmtId="0" fontId="14" fillId="0" borderId="70" xfId="1" applyFont="1" applyBorder="1" applyAlignment="1">
      <alignment horizontal="center" vertical="center" wrapText="1"/>
    </xf>
    <xf numFmtId="0" fontId="14" fillId="0" borderId="12" xfId="1" applyFont="1" applyBorder="1" applyAlignment="1">
      <alignment horizontal="center" vertical="center" wrapText="1"/>
    </xf>
    <xf numFmtId="0" fontId="14" fillId="0" borderId="66" xfId="1" applyFont="1" applyBorder="1" applyAlignment="1">
      <alignment horizontal="center" vertical="center" wrapText="1"/>
    </xf>
    <xf numFmtId="44" fontId="14" fillId="0" borderId="44" xfId="16" applyFont="1" applyBorder="1" applyAlignment="1">
      <alignment horizontal="center"/>
    </xf>
    <xf numFmtId="9" fontId="14" fillId="0" borderId="44" xfId="17" applyFont="1" applyBorder="1" applyAlignment="1">
      <alignment horizontal="center"/>
    </xf>
    <xf numFmtId="0" fontId="14" fillId="0" borderId="70" xfId="1" applyFont="1" applyBorder="1" applyAlignment="1">
      <alignment horizontal="center" wrapText="1"/>
    </xf>
    <xf numFmtId="0" fontId="14" fillId="0" borderId="66" xfId="1" applyFont="1" applyBorder="1" applyAlignment="1">
      <alignment horizontal="center" wrapText="1"/>
    </xf>
    <xf numFmtId="0" fontId="3" fillId="11" borderId="78" xfId="26" applyFill="1" applyBorder="1" applyAlignment="1">
      <alignment horizontal="left" indent="1"/>
    </xf>
    <xf numFmtId="0" fontId="3" fillId="11" borderId="79" xfId="26" applyFill="1" applyBorder="1" applyAlignment="1">
      <alignment horizontal="left" indent="1"/>
    </xf>
    <xf numFmtId="0" fontId="3" fillId="11" borderId="79" xfId="26" applyFill="1" applyBorder="1" applyAlignment="1">
      <alignment horizontal="center"/>
    </xf>
    <xf numFmtId="2" fontId="3" fillId="11" borderId="85" xfId="26" applyNumberFormat="1" applyFill="1" applyBorder="1" applyAlignment="1">
      <alignment horizontal="center"/>
    </xf>
    <xf numFmtId="0" fontId="3" fillId="60" borderId="78" xfId="26" applyFill="1" applyBorder="1" applyAlignment="1" applyProtection="1">
      <alignment horizontal="left" vertical="center" indent="1"/>
      <protection locked="0"/>
    </xf>
    <xf numFmtId="0" fontId="3" fillId="60" borderId="79" xfId="26" applyFill="1" applyBorder="1" applyAlignment="1" applyProtection="1">
      <alignment horizontal="left" vertical="center" indent="1"/>
      <protection locked="0"/>
    </xf>
    <xf numFmtId="2" fontId="3" fillId="11" borderId="79" xfId="26" applyNumberFormat="1" applyFill="1" applyBorder="1" applyAlignment="1">
      <alignment horizontal="center"/>
    </xf>
    <xf numFmtId="11" fontId="3" fillId="63" borderId="79" xfId="26" applyNumberFormat="1" applyFill="1" applyBorder="1" applyAlignment="1">
      <alignment horizontal="center"/>
    </xf>
    <xf numFmtId="2" fontId="3" fillId="11" borderId="75" xfId="26" applyNumberFormat="1" applyFill="1" applyBorder="1" applyAlignment="1">
      <alignment horizontal="center"/>
    </xf>
    <xf numFmtId="0" fontId="3" fillId="63" borderId="88" xfId="26" applyFill="1" applyBorder="1" applyAlignment="1">
      <alignment horizontal="center"/>
    </xf>
    <xf numFmtId="0" fontId="3" fillId="60" borderId="78" xfId="26" applyFill="1" applyBorder="1" applyAlignment="1" applyProtection="1">
      <alignment horizontal="center" vertical="center"/>
      <protection locked="0"/>
    </xf>
    <xf numFmtId="0" fontId="3" fillId="60" borderId="79" xfId="26" applyFill="1" applyBorder="1" applyAlignment="1" applyProtection="1">
      <alignment horizontal="center" vertical="center"/>
      <protection locked="0"/>
    </xf>
    <xf numFmtId="2" fontId="3" fillId="11" borderId="78" xfId="26" applyNumberFormat="1" applyFill="1" applyBorder="1" applyAlignment="1">
      <alignment horizontal="center"/>
    </xf>
    <xf numFmtId="164" fontId="3" fillId="11" borderId="79" xfId="26" applyNumberFormat="1" applyFill="1" applyBorder="1" applyAlignment="1">
      <alignment horizontal="center"/>
    </xf>
    <xf numFmtId="0" fontId="3" fillId="60" borderId="81" xfId="26" applyFill="1" applyBorder="1" applyAlignment="1" applyProtection="1">
      <alignment horizontal="center"/>
      <protection locked="0"/>
    </xf>
    <xf numFmtId="0" fontId="3" fillId="60" borderId="82" xfId="26" applyFill="1" applyBorder="1" applyAlignment="1" applyProtection="1">
      <alignment horizontal="center"/>
      <protection locked="0"/>
    </xf>
    <xf numFmtId="1" fontId="3" fillId="11" borderId="78" xfId="26" applyNumberFormat="1" applyFill="1" applyBorder="1" applyAlignment="1">
      <alignment horizontal="center"/>
    </xf>
    <xf numFmtId="1" fontId="3" fillId="11" borderId="79" xfId="26" applyNumberFormat="1" applyFill="1" applyBorder="1" applyAlignment="1">
      <alignment horizontal="center"/>
    </xf>
    <xf numFmtId="0" fontId="3" fillId="11" borderId="77" xfId="26" applyFill="1" applyBorder="1" applyAlignment="1">
      <alignment horizontal="center" vertical="center"/>
    </xf>
    <xf numFmtId="0" fontId="3" fillId="11" borderId="75" xfId="26" applyFill="1" applyBorder="1" applyAlignment="1">
      <alignment horizontal="center" vertical="center"/>
    </xf>
    <xf numFmtId="0" fontId="3" fillId="11" borderId="78" xfId="26" applyFill="1" applyBorder="1" applyAlignment="1">
      <alignment horizontal="center"/>
    </xf>
    <xf numFmtId="0" fontId="3" fillId="60" borderId="82" xfId="26" applyFill="1" applyBorder="1" applyAlignment="1" applyProtection="1">
      <alignment horizontal="left" vertical="top"/>
      <protection locked="0"/>
    </xf>
    <xf numFmtId="0" fontId="3" fillId="60" borderId="83" xfId="26" applyFill="1" applyBorder="1" applyAlignment="1" applyProtection="1">
      <alignment horizontal="left" vertical="top"/>
      <protection locked="0"/>
    </xf>
    <xf numFmtId="0" fontId="3" fillId="60" borderId="0" xfId="26" applyFill="1" applyAlignment="1" applyProtection="1">
      <alignment horizontal="left" vertical="top"/>
      <protection locked="0"/>
    </xf>
    <xf numFmtId="0" fontId="3" fillId="60" borderId="3" xfId="26" applyFill="1" applyBorder="1" applyAlignment="1" applyProtection="1">
      <alignment horizontal="left" vertical="top"/>
      <protection locked="0"/>
    </xf>
    <xf numFmtId="0" fontId="3" fillId="60" borderId="1" xfId="26" applyFill="1" applyBorder="1" applyAlignment="1" applyProtection="1">
      <alignment horizontal="left" vertical="top"/>
      <protection locked="0"/>
    </xf>
    <xf numFmtId="0" fontId="3" fillId="60" borderId="6" xfId="26" applyFill="1" applyBorder="1" applyAlignment="1" applyProtection="1">
      <alignment horizontal="left" vertical="top"/>
      <protection locked="0"/>
    </xf>
    <xf numFmtId="197" fontId="3" fillId="11" borderId="79" xfId="26" applyNumberFormat="1" applyFill="1" applyBorder="1" applyAlignment="1">
      <alignment horizontal="center"/>
    </xf>
    <xf numFmtId="0" fontId="3" fillId="63" borderId="79" xfId="26" applyFill="1" applyBorder="1" applyAlignment="1">
      <alignment horizontal="center"/>
    </xf>
    <xf numFmtId="166" fontId="3" fillId="11" borderId="79" xfId="26" applyNumberFormat="1" applyFill="1" applyBorder="1" applyAlignment="1">
      <alignment horizontal="center"/>
    </xf>
    <xf numFmtId="0" fontId="57" fillId="11" borderId="1" xfId="26" applyFont="1" applyFill="1" applyBorder="1" applyAlignment="1">
      <alignment horizontal="center"/>
    </xf>
    <xf numFmtId="0" fontId="3" fillId="60" borderId="78" xfId="26" applyFill="1" applyBorder="1" applyAlignment="1" applyProtection="1">
      <alignment horizontal="center"/>
      <protection locked="0"/>
    </xf>
    <xf numFmtId="0" fontId="3" fillId="60" borderId="79" xfId="26" applyFill="1" applyBorder="1" applyAlignment="1" applyProtection="1">
      <alignment horizontal="center"/>
      <protection locked="0"/>
    </xf>
    <xf numFmtId="0" fontId="3" fillId="60" borderId="80" xfId="26" applyFill="1" applyBorder="1" applyAlignment="1" applyProtection="1">
      <alignment horizontal="center"/>
      <protection locked="0"/>
    </xf>
    <xf numFmtId="0" fontId="1" fillId="60" borderId="78" xfId="26" applyFont="1" applyFill="1" applyBorder="1" applyAlignment="1" applyProtection="1">
      <alignment horizontal="center"/>
      <protection locked="0"/>
    </xf>
    <xf numFmtId="0" fontId="3" fillId="0" borderId="78" xfId="26" applyBorder="1" applyAlignment="1">
      <alignment horizontal="center"/>
    </xf>
    <xf numFmtId="0" fontId="3" fillId="0" borderId="79" xfId="26" applyBorder="1" applyAlignment="1">
      <alignment horizontal="center"/>
    </xf>
    <xf numFmtId="2" fontId="3" fillId="0" borderId="0" xfId="26" applyNumberFormat="1" applyAlignment="1">
      <alignment horizontal="center"/>
    </xf>
    <xf numFmtId="9" fontId="0" fillId="11" borderId="0" xfId="27" applyFont="1" applyFill="1" applyAlignment="1" applyProtection="1">
      <alignment horizontal="center"/>
    </xf>
    <xf numFmtId="2" fontId="3" fillId="11" borderId="1" xfId="26" applyNumberFormat="1" applyFill="1" applyBorder="1" applyAlignment="1">
      <alignment horizontal="center"/>
    </xf>
    <xf numFmtId="0" fontId="3" fillId="11" borderId="1" xfId="26" applyFill="1" applyBorder="1" applyAlignment="1">
      <alignment horizontal="center"/>
    </xf>
    <xf numFmtId="0" fontId="3" fillId="0" borderId="75" xfId="26" applyBorder="1" applyAlignment="1">
      <alignment horizontal="center"/>
    </xf>
    <xf numFmtId="2" fontId="3" fillId="0" borderId="75" xfId="26" applyNumberFormat="1" applyBorder="1" applyAlignment="1">
      <alignment horizontal="center"/>
    </xf>
    <xf numFmtId="165" fontId="14" fillId="63" borderId="79" xfId="22" applyNumberFormat="1" applyFont="1" applyFill="1" applyBorder="1" applyAlignment="1" applyProtection="1">
      <alignment horizontal="center"/>
    </xf>
    <xf numFmtId="0" fontId="1" fillId="60" borderId="77" xfId="26" applyFont="1" applyFill="1" applyBorder="1" applyAlignment="1" applyProtection="1">
      <alignment horizontal="center"/>
      <protection locked="0"/>
    </xf>
    <xf numFmtId="0" fontId="3" fillId="60" borderId="75" xfId="26" applyFill="1" applyBorder="1" applyAlignment="1" applyProtection="1">
      <alignment horizontal="center"/>
      <protection locked="0"/>
    </xf>
    <xf numFmtId="0" fontId="1" fillId="60" borderId="75" xfId="26" applyFont="1" applyFill="1" applyBorder="1" applyAlignment="1" applyProtection="1">
      <alignment horizontal="center"/>
      <protection locked="0"/>
    </xf>
    <xf numFmtId="0" fontId="3" fillId="11" borderId="75" xfId="26" applyFill="1" applyBorder="1" applyAlignment="1">
      <alignment horizontal="center"/>
    </xf>
    <xf numFmtId="1" fontId="3" fillId="0" borderId="79" xfId="26" applyNumberFormat="1" applyBorder="1" applyAlignment="1">
      <alignment horizontal="center"/>
    </xf>
    <xf numFmtId="2" fontId="14" fillId="63" borderId="79" xfId="22" applyNumberFormat="1" applyFont="1" applyFill="1" applyBorder="1" applyAlignment="1" applyProtection="1">
      <alignment horizontal="center"/>
    </xf>
    <xf numFmtId="0" fontId="3" fillId="60" borderId="7" xfId="26" applyFill="1" applyBorder="1" applyAlignment="1" applyProtection="1">
      <alignment horizontal="center"/>
      <protection locked="0"/>
    </xf>
    <xf numFmtId="0" fontId="3" fillId="60" borderId="8" xfId="26" applyFill="1" applyBorder="1" applyAlignment="1" applyProtection="1">
      <alignment horizontal="center"/>
      <protection locked="0"/>
    </xf>
    <xf numFmtId="0" fontId="3" fillId="60" borderId="87" xfId="26" applyFill="1" applyBorder="1" applyAlignment="1" applyProtection="1">
      <alignment horizontal="center" vertical="center"/>
      <protection locked="0"/>
    </xf>
    <xf numFmtId="0" fontId="3" fillId="60" borderId="88" xfId="26" applyFill="1" applyBorder="1" applyAlignment="1" applyProtection="1">
      <alignment horizontal="center" vertical="center"/>
      <protection locked="0"/>
    </xf>
    <xf numFmtId="0" fontId="3" fillId="60" borderId="75" xfId="26" applyFill="1" applyBorder="1" applyAlignment="1" applyProtection="1">
      <alignment horizontal="center" vertical="center"/>
      <protection locked="0"/>
    </xf>
    <xf numFmtId="2" fontId="3" fillId="61" borderId="77" xfId="26" applyNumberFormat="1" applyFill="1" applyBorder="1" applyAlignment="1">
      <alignment horizontal="center" vertical="center"/>
    </xf>
    <xf numFmtId="2" fontId="3" fillId="61" borderId="75" xfId="26" applyNumberFormat="1" applyFill="1" applyBorder="1" applyAlignment="1">
      <alignment horizontal="center" vertical="center"/>
    </xf>
    <xf numFmtId="0" fontId="3" fillId="60" borderId="77" xfId="26" applyFill="1" applyBorder="1" applyAlignment="1" applyProtection="1">
      <alignment horizontal="center" vertical="center"/>
      <protection locked="0"/>
    </xf>
    <xf numFmtId="0" fontId="3" fillId="60" borderId="80" xfId="26" applyFill="1" applyBorder="1" applyAlignment="1" applyProtection="1">
      <alignment horizontal="center" vertical="center"/>
      <protection locked="0"/>
    </xf>
    <xf numFmtId="0" fontId="3" fillId="11" borderId="78" xfId="26" applyFill="1" applyBorder="1" applyAlignment="1">
      <alignment horizontal="center" vertical="center"/>
    </xf>
    <xf numFmtId="0" fontId="3" fillId="11" borderId="79" xfId="26" applyFill="1" applyBorder="1" applyAlignment="1">
      <alignment horizontal="center" vertical="center"/>
    </xf>
    <xf numFmtId="0" fontId="3" fillId="11" borderId="80" xfId="26" applyFill="1" applyBorder="1" applyAlignment="1">
      <alignment horizontal="center" vertical="center"/>
    </xf>
    <xf numFmtId="0" fontId="1" fillId="60" borderId="87" xfId="26" applyFont="1" applyFill="1" applyBorder="1" applyAlignment="1" applyProtection="1">
      <alignment horizontal="center" vertical="center"/>
      <protection locked="0"/>
    </xf>
    <xf numFmtId="0" fontId="3" fillId="60" borderId="89" xfId="26" applyFill="1" applyBorder="1" applyAlignment="1" applyProtection="1">
      <alignment horizontal="center" vertical="center"/>
      <protection locked="0"/>
    </xf>
    <xf numFmtId="0" fontId="3" fillId="60" borderId="76" xfId="26" applyFill="1" applyBorder="1" applyAlignment="1" applyProtection="1">
      <alignment horizontal="center"/>
      <protection locked="0"/>
    </xf>
    <xf numFmtId="0" fontId="18" fillId="11" borderId="81" xfId="26" applyFont="1" applyFill="1" applyBorder="1" applyAlignment="1">
      <alignment horizontal="left" vertical="top"/>
    </xf>
    <xf numFmtId="0" fontId="18" fillId="11" borderId="82" xfId="26" applyFont="1" applyFill="1" applyBorder="1" applyAlignment="1">
      <alignment horizontal="left" vertical="top"/>
    </xf>
    <xf numFmtId="0" fontId="18" fillId="11" borderId="83" xfId="26" applyFont="1" applyFill="1" applyBorder="1" applyAlignment="1">
      <alignment horizontal="left" vertical="top"/>
    </xf>
    <xf numFmtId="0" fontId="18" fillId="11" borderId="4" xfId="26" applyFont="1" applyFill="1" applyBorder="1" applyAlignment="1">
      <alignment horizontal="left" vertical="top"/>
    </xf>
    <xf numFmtId="0" fontId="18" fillId="11" borderId="0" xfId="26" applyFont="1" applyFill="1" applyAlignment="1">
      <alignment horizontal="left" vertical="top"/>
    </xf>
    <xf numFmtId="0" fontId="18" fillId="11" borderId="3" xfId="26" applyFont="1" applyFill="1" applyBorder="1" applyAlignment="1">
      <alignment horizontal="left" vertical="top"/>
    </xf>
    <xf numFmtId="0" fontId="18" fillId="11" borderId="84" xfId="26" applyFont="1" applyFill="1" applyBorder="1" applyAlignment="1">
      <alignment horizontal="left" vertical="top"/>
    </xf>
    <xf numFmtId="0" fontId="18" fillId="11" borderId="85" xfId="26" applyFont="1" applyFill="1" applyBorder="1" applyAlignment="1">
      <alignment horizontal="left" vertical="top"/>
    </xf>
    <xf numFmtId="0" fontId="18" fillId="11" borderId="86" xfId="26" applyFont="1" applyFill="1" applyBorder="1" applyAlignment="1">
      <alignment horizontal="left" vertical="top"/>
    </xf>
    <xf numFmtId="0" fontId="3" fillId="60" borderId="81" xfId="26" applyFill="1" applyBorder="1" applyAlignment="1" applyProtection="1">
      <alignment horizontal="left" vertical="top"/>
      <protection locked="0"/>
    </xf>
    <xf numFmtId="0" fontId="3" fillId="60" borderId="4" xfId="26" applyFill="1" applyBorder="1" applyAlignment="1" applyProtection="1">
      <alignment horizontal="left" vertical="top"/>
      <protection locked="0"/>
    </xf>
    <xf numFmtId="0" fontId="3" fillId="60" borderId="84" xfId="26" applyFill="1" applyBorder="1" applyAlignment="1" applyProtection="1">
      <alignment horizontal="left" vertical="top"/>
      <protection locked="0"/>
    </xf>
    <xf numFmtId="0" fontId="3" fillId="60" borderId="85" xfId="26" applyFill="1" applyBorder="1" applyAlignment="1" applyProtection="1">
      <alignment horizontal="left" vertical="top"/>
      <protection locked="0"/>
    </xf>
    <xf numFmtId="0" fontId="3" fillId="60" borderId="86" xfId="26" applyFill="1" applyBorder="1" applyAlignment="1" applyProtection="1">
      <alignment horizontal="left" vertical="top"/>
      <protection locked="0"/>
    </xf>
    <xf numFmtId="0" fontId="3" fillId="61" borderId="78" xfId="26" applyFill="1" applyBorder="1" applyAlignment="1">
      <alignment horizontal="center" vertical="center"/>
    </xf>
    <xf numFmtId="0" fontId="3" fillId="61" borderId="79" xfId="26" applyFill="1" applyBorder="1" applyAlignment="1">
      <alignment horizontal="center" vertical="center"/>
    </xf>
    <xf numFmtId="0" fontId="1" fillId="60" borderId="16" xfId="26" applyFont="1" applyFill="1" applyBorder="1" applyAlignment="1" applyProtection="1">
      <alignment horizontal="left"/>
      <protection locked="0"/>
    </xf>
    <xf numFmtId="0" fontId="3" fillId="60" borderId="15" xfId="26" applyFill="1" applyBorder="1" applyAlignment="1" applyProtection="1">
      <alignment horizontal="left"/>
      <protection locked="0"/>
    </xf>
    <xf numFmtId="0" fontId="3" fillId="60" borderId="17" xfId="26" applyFill="1" applyBorder="1" applyAlignment="1" applyProtection="1">
      <alignment horizontal="left"/>
      <protection locked="0"/>
    </xf>
    <xf numFmtId="0" fontId="3" fillId="60" borderId="16" xfId="26" quotePrefix="1" applyFill="1" applyBorder="1" applyAlignment="1" applyProtection="1">
      <alignment horizontal="center"/>
      <protection locked="0"/>
    </xf>
    <xf numFmtId="0" fontId="3" fillId="60" borderId="15" xfId="26" quotePrefix="1" applyFill="1" applyBorder="1" applyAlignment="1" applyProtection="1">
      <alignment horizontal="center"/>
      <protection locked="0"/>
    </xf>
    <xf numFmtId="0" fontId="3" fillId="60" borderId="28" xfId="26" quotePrefix="1" applyFill="1" applyBorder="1" applyAlignment="1" applyProtection="1">
      <alignment horizontal="center"/>
      <protection locked="0"/>
    </xf>
    <xf numFmtId="14" fontId="3" fillId="60" borderId="16" xfId="26" quotePrefix="1" applyNumberFormat="1" applyFill="1" applyBorder="1" applyAlignment="1" applyProtection="1">
      <alignment horizontal="left"/>
      <protection locked="0"/>
    </xf>
    <xf numFmtId="14" fontId="3" fillId="60" borderId="15" xfId="26" quotePrefix="1" applyNumberFormat="1" applyFill="1" applyBorder="1" applyAlignment="1" applyProtection="1">
      <alignment horizontal="left"/>
      <protection locked="0"/>
    </xf>
    <xf numFmtId="14" fontId="3" fillId="60" borderId="28" xfId="26" quotePrefix="1" applyNumberFormat="1" applyFill="1" applyBorder="1" applyAlignment="1" applyProtection="1">
      <alignment horizontal="left"/>
      <protection locked="0"/>
    </xf>
    <xf numFmtId="0" fontId="1" fillId="60" borderId="70" xfId="26" applyFont="1" applyFill="1" applyBorder="1" applyAlignment="1" applyProtection="1">
      <alignment horizontal="left"/>
      <protection locked="0"/>
    </xf>
    <xf numFmtId="0" fontId="3" fillId="60" borderId="12" xfId="26" applyFill="1" applyBorder="1" applyAlignment="1" applyProtection="1">
      <alignment horizontal="left"/>
      <protection locked="0"/>
    </xf>
    <xf numFmtId="0" fontId="3" fillId="60" borderId="66" xfId="26" applyFill="1" applyBorder="1" applyAlignment="1" applyProtection="1">
      <alignment horizontal="left"/>
      <protection locked="0"/>
    </xf>
    <xf numFmtId="0" fontId="3" fillId="60" borderId="70" xfId="26" applyFill="1" applyBorder="1" applyAlignment="1" applyProtection="1">
      <alignment horizontal="center"/>
      <protection locked="0"/>
    </xf>
    <xf numFmtId="0" fontId="3" fillId="60" borderId="66" xfId="26" applyFill="1" applyBorder="1" applyAlignment="1" applyProtection="1">
      <alignment horizontal="center"/>
      <protection locked="0"/>
    </xf>
    <xf numFmtId="0" fontId="3" fillId="60" borderId="30" xfId="26" applyFill="1" applyBorder="1" applyAlignment="1" applyProtection="1">
      <alignment horizontal="center"/>
      <protection locked="0"/>
    </xf>
    <xf numFmtId="0" fontId="55" fillId="11" borderId="7" xfId="26" applyFont="1" applyFill="1" applyBorder="1" applyAlignment="1">
      <alignment horizontal="center"/>
    </xf>
    <xf numFmtId="0" fontId="55" fillId="11" borderId="8" xfId="26" applyFont="1" applyFill="1" applyBorder="1" applyAlignment="1">
      <alignment horizontal="center"/>
    </xf>
    <xf numFmtId="0" fontId="55" fillId="11" borderId="2" xfId="26" applyFont="1" applyFill="1" applyBorder="1" applyAlignment="1">
      <alignment horizontal="center"/>
    </xf>
    <xf numFmtId="0" fontId="55" fillId="11" borderId="5" xfId="26" applyFont="1" applyFill="1" applyBorder="1" applyAlignment="1">
      <alignment horizontal="center"/>
    </xf>
    <xf numFmtId="0" fontId="55" fillId="11" borderId="1" xfId="26" applyFont="1" applyFill="1" applyBorder="1" applyAlignment="1">
      <alignment horizontal="center"/>
    </xf>
    <xf numFmtId="0" fontId="55" fillId="11" borderId="6" xfId="26" applyFont="1" applyFill="1" applyBorder="1" applyAlignment="1">
      <alignment horizontal="center"/>
    </xf>
    <xf numFmtId="0" fontId="3" fillId="60" borderId="62" xfId="26" quotePrefix="1" applyFill="1" applyBorder="1" applyAlignment="1" applyProtection="1">
      <alignment horizontal="left"/>
      <protection locked="0"/>
    </xf>
    <xf numFmtId="0" fontId="3" fillId="60" borderId="46" xfId="26" quotePrefix="1" applyFill="1" applyBorder="1" applyAlignment="1" applyProtection="1">
      <alignment horizontal="left"/>
      <protection locked="0"/>
    </xf>
    <xf numFmtId="0" fontId="3" fillId="60" borderId="47" xfId="26" quotePrefix="1" applyFill="1" applyBorder="1" applyAlignment="1" applyProtection="1">
      <alignment horizontal="left"/>
      <protection locked="0"/>
    </xf>
    <xf numFmtId="0" fontId="3" fillId="60" borderId="62" xfId="26" applyFill="1" applyBorder="1" applyAlignment="1" applyProtection="1">
      <alignment horizontal="left"/>
      <protection locked="0"/>
    </xf>
    <xf numFmtId="0" fontId="3" fillId="60" borderId="46" xfId="26" applyFill="1" applyBorder="1" applyAlignment="1" applyProtection="1">
      <alignment horizontal="left"/>
      <protection locked="0"/>
    </xf>
    <xf numFmtId="0" fontId="3" fillId="60" borderId="73" xfId="26" applyFill="1" applyBorder="1" applyAlignment="1" applyProtection="1">
      <alignment horizontal="left"/>
      <protection locked="0"/>
    </xf>
    <xf numFmtId="0" fontId="3" fillId="60" borderId="78" xfId="26" applyFill="1" applyBorder="1" applyAlignment="1" applyProtection="1">
      <alignment horizontal="left" indent="1"/>
      <protection locked="0"/>
    </xf>
    <xf numFmtId="0" fontId="3" fillId="60" borderId="79" xfId="26" applyFill="1" applyBorder="1" applyAlignment="1" applyProtection="1">
      <alignment horizontal="left" indent="1"/>
      <protection locked="0"/>
    </xf>
    <xf numFmtId="0" fontId="3" fillId="60" borderId="87" xfId="26" applyFill="1" applyBorder="1" applyAlignment="1" applyProtection="1">
      <alignment horizontal="left" indent="1"/>
      <protection locked="0"/>
    </xf>
    <xf numFmtId="0" fontId="3" fillId="60" borderId="88" xfId="26" applyFill="1" applyBorder="1" applyAlignment="1" applyProtection="1">
      <alignment horizontal="left" indent="1"/>
      <protection locked="0"/>
    </xf>
    <xf numFmtId="0" fontId="3" fillId="60" borderId="77" xfId="26" applyFill="1" applyBorder="1" applyAlignment="1" applyProtection="1">
      <alignment horizontal="left" indent="1"/>
      <protection locked="0"/>
    </xf>
    <xf numFmtId="0" fontId="3" fillId="60" borderId="75" xfId="26" applyFill="1" applyBorder="1" applyAlignment="1" applyProtection="1">
      <alignment horizontal="left" indent="1"/>
      <protection locked="0"/>
    </xf>
    <xf numFmtId="2" fontId="3" fillId="11" borderId="88" xfId="26" applyNumberFormat="1" applyFill="1" applyBorder="1" applyAlignment="1">
      <alignment horizontal="center"/>
    </xf>
    <xf numFmtId="2" fontId="3" fillId="61" borderId="84" xfId="26" applyNumberFormat="1" applyFill="1" applyBorder="1" applyAlignment="1">
      <alignment horizontal="center" vertical="center"/>
    </xf>
    <xf numFmtId="2" fontId="3" fillId="61" borderId="85" xfId="26" applyNumberFormat="1" applyFill="1" applyBorder="1" applyAlignment="1">
      <alignment horizontal="center" vertical="center"/>
    </xf>
    <xf numFmtId="164" fontId="3" fillId="60" borderId="79" xfId="26" applyNumberFormat="1" applyFill="1" applyBorder="1" applyAlignment="1" applyProtection="1">
      <alignment horizontal="center"/>
      <protection locked="0"/>
    </xf>
    <xf numFmtId="1" fontId="3" fillId="63" borderId="1" xfId="26" applyNumberFormat="1" applyFill="1" applyBorder="1" applyAlignment="1">
      <alignment horizontal="center" vertical="center"/>
    </xf>
    <xf numFmtId="0" fontId="3" fillId="63" borderId="79" xfId="26" applyFill="1" applyBorder="1" applyAlignment="1">
      <alignment horizontal="left"/>
    </xf>
    <xf numFmtId="0" fontId="3" fillId="63" borderId="88" xfId="26" applyFill="1" applyBorder="1" applyAlignment="1">
      <alignment horizontal="left"/>
    </xf>
    <xf numFmtId="0" fontId="3" fillId="63" borderId="75" xfId="26" applyFill="1" applyBorder="1" applyAlignment="1">
      <alignment horizontal="center"/>
    </xf>
    <xf numFmtId="0" fontId="64" fillId="11" borderId="79" xfId="0" applyFont="1" applyFill="1" applyBorder="1" applyAlignment="1">
      <alignment horizontal="center" vertical="center"/>
    </xf>
    <xf numFmtId="0" fontId="3" fillId="60" borderId="87" xfId="26" applyFill="1" applyBorder="1" applyAlignment="1" applyProtection="1">
      <alignment horizontal="center"/>
      <protection locked="0"/>
    </xf>
    <xf numFmtId="0" fontId="3" fillId="60" borderId="88" xfId="26" applyFill="1" applyBorder="1" applyAlignment="1" applyProtection="1">
      <alignment horizontal="center"/>
      <protection locked="0"/>
    </xf>
    <xf numFmtId="0" fontId="18" fillId="13" borderId="39" xfId="26" applyFont="1" applyFill="1" applyBorder="1" applyAlignment="1">
      <alignment horizontal="center"/>
    </xf>
    <xf numFmtId="0" fontId="18" fillId="13" borderId="35" xfId="26" applyFont="1" applyFill="1" applyBorder="1" applyAlignment="1">
      <alignment horizontal="center"/>
    </xf>
    <xf numFmtId="2" fontId="3" fillId="11" borderId="87" xfId="26" applyNumberFormat="1" applyFill="1" applyBorder="1" applyAlignment="1">
      <alignment horizontal="center"/>
    </xf>
    <xf numFmtId="0" fontId="3" fillId="11" borderId="81" xfId="26" applyFill="1" applyBorder="1" applyAlignment="1">
      <alignment horizontal="center"/>
    </xf>
    <xf numFmtId="0" fontId="3" fillId="11" borderId="82" xfId="26" applyFill="1" applyBorder="1" applyAlignment="1">
      <alignment horizontal="center"/>
    </xf>
    <xf numFmtId="2" fontId="3" fillId="11" borderId="81" xfId="26" applyNumberFormat="1" applyFill="1" applyBorder="1" applyAlignment="1">
      <alignment horizontal="center"/>
    </xf>
    <xf numFmtId="2" fontId="3" fillId="11" borderId="82" xfId="26" applyNumberFormat="1" applyFill="1" applyBorder="1" applyAlignment="1">
      <alignment horizontal="center"/>
    </xf>
    <xf numFmtId="0" fontId="18" fillId="20" borderId="34" xfId="26" applyFont="1" applyFill="1" applyBorder="1" applyAlignment="1">
      <alignment horizontal="center"/>
    </xf>
    <xf numFmtId="0" fontId="18" fillId="20" borderId="39" xfId="26" applyFont="1" applyFill="1" applyBorder="1" applyAlignment="1">
      <alignment horizontal="center"/>
    </xf>
    <xf numFmtId="0" fontId="18" fillId="20" borderId="35" xfId="26" applyFont="1" applyFill="1" applyBorder="1" applyAlignment="1">
      <alignment horizontal="center"/>
    </xf>
    <xf numFmtId="0" fontId="3" fillId="11" borderId="16" xfId="26" applyFill="1" applyBorder="1" applyAlignment="1">
      <alignment horizontal="left"/>
    </xf>
    <xf numFmtId="0" fontId="3" fillId="11" borderId="15" xfId="26" applyFill="1" applyBorder="1" applyAlignment="1">
      <alignment horizontal="left"/>
    </xf>
    <xf numFmtId="0" fontId="3" fillId="11" borderId="17" xfId="26" applyFill="1" applyBorder="1" applyAlignment="1">
      <alignment horizontal="left"/>
    </xf>
    <xf numFmtId="0" fontId="3" fillId="11" borderId="16" xfId="26" quotePrefix="1" applyFill="1" applyBorder="1" applyAlignment="1">
      <alignment horizontal="center"/>
    </xf>
    <xf numFmtId="0" fontId="3" fillId="11" borderId="15" xfId="26" quotePrefix="1" applyFill="1" applyBorder="1" applyAlignment="1">
      <alignment horizontal="center"/>
    </xf>
    <xf numFmtId="0" fontId="3" fillId="11" borderId="28" xfId="26" quotePrefix="1" applyFill="1" applyBorder="1" applyAlignment="1">
      <alignment horizontal="center"/>
    </xf>
    <xf numFmtId="14" fontId="3" fillId="11" borderId="16" xfId="26" quotePrefix="1" applyNumberFormat="1" applyFill="1" applyBorder="1" applyAlignment="1">
      <alignment horizontal="left"/>
    </xf>
    <xf numFmtId="14" fontId="3" fillId="11" borderId="15" xfId="26" quotePrefix="1" applyNumberFormat="1" applyFill="1" applyBorder="1" applyAlignment="1">
      <alignment horizontal="left"/>
    </xf>
    <xf numFmtId="14" fontId="3" fillId="11" borderId="28" xfId="26" quotePrefix="1" applyNumberFormat="1" applyFill="1" applyBorder="1" applyAlignment="1">
      <alignment horizontal="left"/>
    </xf>
    <xf numFmtId="0" fontId="3" fillId="11" borderId="70" xfId="26" applyFill="1" applyBorder="1" applyAlignment="1">
      <alignment horizontal="left"/>
    </xf>
    <xf numFmtId="0" fontId="3" fillId="11" borderId="12" xfId="26" applyFill="1" applyBorder="1" applyAlignment="1">
      <alignment horizontal="left"/>
    </xf>
    <xf numFmtId="0" fontId="3" fillId="11" borderId="66" xfId="26" applyFill="1" applyBorder="1" applyAlignment="1">
      <alignment horizontal="left"/>
    </xf>
    <xf numFmtId="0" fontId="3" fillId="11" borderId="70" xfId="26" applyFill="1" applyBorder="1" applyAlignment="1">
      <alignment horizontal="center"/>
    </xf>
    <xf numFmtId="0" fontId="3" fillId="11" borderId="66" xfId="26" applyFill="1" applyBorder="1" applyAlignment="1">
      <alignment horizontal="center"/>
    </xf>
    <xf numFmtId="0" fontId="3" fillId="11" borderId="30" xfId="26" applyFill="1" applyBorder="1" applyAlignment="1">
      <alignment horizontal="center"/>
    </xf>
    <xf numFmtId="2" fontId="3" fillId="11" borderId="62" xfId="26" quotePrefix="1" applyNumberFormat="1" applyFill="1" applyBorder="1" applyAlignment="1">
      <alignment horizontal="left"/>
    </xf>
    <xf numFmtId="2" fontId="3" fillId="11" borderId="46" xfId="26" quotePrefix="1" applyNumberFormat="1" applyFill="1" applyBorder="1" applyAlignment="1">
      <alignment horizontal="left"/>
    </xf>
    <xf numFmtId="2" fontId="3" fillId="11" borderId="47" xfId="26" quotePrefix="1" applyNumberFormat="1" applyFill="1" applyBorder="1" applyAlignment="1">
      <alignment horizontal="left"/>
    </xf>
    <xf numFmtId="0" fontId="3" fillId="11" borderId="62" xfId="26" applyFill="1" applyBorder="1" applyAlignment="1">
      <alignment horizontal="left"/>
    </xf>
    <xf numFmtId="0" fontId="3" fillId="11" borderId="46" xfId="26" applyFill="1" applyBorder="1" applyAlignment="1">
      <alignment horizontal="left"/>
    </xf>
    <xf numFmtId="0" fontId="3" fillId="11" borderId="73" xfId="26" applyFill="1" applyBorder="1" applyAlignment="1">
      <alignment horizontal="left"/>
    </xf>
    <xf numFmtId="0" fontId="3" fillId="11" borderId="80" xfId="26" applyFill="1" applyBorder="1" applyAlignment="1">
      <alignment horizontal="center"/>
    </xf>
    <xf numFmtId="0" fontId="3" fillId="11" borderId="77" xfId="26" applyFill="1" applyBorder="1" applyAlignment="1" applyProtection="1">
      <alignment horizontal="center"/>
      <protection locked="0"/>
    </xf>
    <xf numFmtId="0" fontId="3" fillId="11" borderId="75" xfId="26" applyFill="1" applyBorder="1" applyAlignment="1" applyProtection="1">
      <alignment horizontal="center"/>
      <protection locked="0"/>
    </xf>
    <xf numFmtId="0" fontId="3" fillId="11" borderId="76" xfId="26" applyFill="1" applyBorder="1" applyAlignment="1" applyProtection="1">
      <alignment horizontal="center"/>
      <protection locked="0"/>
    </xf>
    <xf numFmtId="0" fontId="3" fillId="11" borderId="81" xfId="26" applyFill="1" applyBorder="1" applyAlignment="1">
      <alignment horizontal="left" vertical="top"/>
    </xf>
    <xf numFmtId="0" fontId="3" fillId="11" borderId="82" xfId="26" applyFill="1" applyBorder="1" applyAlignment="1">
      <alignment horizontal="left" vertical="top"/>
    </xf>
    <xf numFmtId="0" fontId="3" fillId="11" borderId="83" xfId="26" applyFill="1" applyBorder="1" applyAlignment="1">
      <alignment horizontal="left" vertical="top"/>
    </xf>
    <xf numFmtId="0" fontId="3" fillId="11" borderId="5" xfId="26" applyFill="1" applyBorder="1" applyAlignment="1">
      <alignment horizontal="left" vertical="top"/>
    </xf>
    <xf numFmtId="0" fontId="3" fillId="11" borderId="1" xfId="26" applyFill="1" applyBorder="1" applyAlignment="1">
      <alignment horizontal="left" vertical="top"/>
    </xf>
    <xf numFmtId="0" fontId="3" fillId="11" borderId="6" xfId="26" applyFill="1" applyBorder="1" applyAlignment="1">
      <alignment horizontal="left" vertical="top"/>
    </xf>
    <xf numFmtId="0" fontId="3" fillId="11" borderId="34" xfId="26" applyFill="1" applyBorder="1" applyAlignment="1" applyProtection="1">
      <alignment horizontal="center"/>
      <protection locked="0"/>
    </xf>
    <xf numFmtId="0" fontId="3" fillId="11" borderId="39" xfId="26" applyFill="1" applyBorder="1" applyAlignment="1" applyProtection="1">
      <alignment horizontal="center"/>
      <protection locked="0"/>
    </xf>
    <xf numFmtId="0" fontId="3" fillId="11" borderId="35" xfId="26" applyFill="1" applyBorder="1" applyAlignment="1" applyProtection="1">
      <alignment horizontal="center"/>
      <protection locked="0"/>
    </xf>
    <xf numFmtId="0" fontId="3" fillId="11" borderId="87" xfId="26" applyFill="1" applyBorder="1" applyAlignment="1">
      <alignment horizontal="center" vertical="center"/>
    </xf>
    <xf numFmtId="0" fontId="3" fillId="11" borderId="88" xfId="26" applyFill="1" applyBorder="1" applyAlignment="1">
      <alignment horizontal="center" vertical="center"/>
    </xf>
    <xf numFmtId="0" fontId="3" fillId="11" borderId="77" xfId="26" applyFill="1" applyBorder="1" applyAlignment="1">
      <alignment horizontal="center"/>
    </xf>
    <xf numFmtId="0" fontId="3" fillId="11" borderId="84" xfId="26" applyFill="1" applyBorder="1" applyAlignment="1">
      <alignment horizontal="center" vertical="center"/>
    </xf>
    <xf numFmtId="0" fontId="3" fillId="11" borderId="85" xfId="26" applyFill="1" applyBorder="1" applyAlignment="1">
      <alignment horizontal="center" vertical="center"/>
    </xf>
    <xf numFmtId="2" fontId="3" fillId="11" borderId="77" xfId="26" applyNumberFormat="1" applyFill="1" applyBorder="1" applyAlignment="1">
      <alignment horizontal="center" vertical="center"/>
    </xf>
    <xf numFmtId="2" fontId="3" fillId="11" borderId="75" xfId="26" applyNumberFormat="1" applyFill="1" applyBorder="1" applyAlignment="1">
      <alignment horizontal="center" vertical="center"/>
    </xf>
    <xf numFmtId="0" fontId="3" fillId="0" borderId="87" xfId="26" applyBorder="1" applyAlignment="1">
      <alignment horizontal="center" vertical="center"/>
    </xf>
    <xf numFmtId="0" fontId="3" fillId="0" borderId="88" xfId="26" applyBorder="1" applyAlignment="1">
      <alignment horizontal="center" vertical="center"/>
    </xf>
    <xf numFmtId="0" fontId="3" fillId="0" borderId="89" xfId="26" applyBorder="1" applyAlignment="1">
      <alignment horizontal="center" vertical="center"/>
    </xf>
    <xf numFmtId="0" fontId="3" fillId="0" borderId="77" xfId="26" applyBorder="1" applyAlignment="1">
      <alignment horizontal="center"/>
    </xf>
    <xf numFmtId="0" fontId="3" fillId="0" borderId="76" xfId="26" applyBorder="1" applyAlignment="1">
      <alignment horizontal="center"/>
    </xf>
    <xf numFmtId="0" fontId="3" fillId="0" borderId="77" xfId="26" applyBorder="1" applyAlignment="1">
      <alignment horizontal="center" vertical="center"/>
    </xf>
    <xf numFmtId="0" fontId="3" fillId="0" borderId="75" xfId="26" applyBorder="1" applyAlignment="1">
      <alignment horizontal="center" vertical="center"/>
    </xf>
    <xf numFmtId="0" fontId="3" fillId="0" borderId="78" xfId="26" applyBorder="1" applyAlignment="1">
      <alignment horizontal="center" vertical="center"/>
    </xf>
    <xf numFmtId="0" fontId="3" fillId="0" borderId="79" xfId="26" applyBorder="1" applyAlignment="1">
      <alignment horizontal="center" vertical="center"/>
    </xf>
    <xf numFmtId="0" fontId="3" fillId="0" borderId="80" xfId="26" applyBorder="1" applyAlignment="1">
      <alignment horizontal="center" vertical="center"/>
    </xf>
    <xf numFmtId="0" fontId="3" fillId="11" borderId="81" xfId="26" applyFill="1" applyBorder="1" applyAlignment="1" applyProtection="1">
      <alignment horizontal="left" vertical="top"/>
      <protection locked="0"/>
    </xf>
    <xf numFmtId="0" fontId="3" fillId="11" borderId="82" xfId="26" applyFill="1" applyBorder="1" applyAlignment="1" applyProtection="1">
      <alignment horizontal="left" vertical="top"/>
      <protection locked="0"/>
    </xf>
    <xf numFmtId="0" fontId="3" fillId="11" borderId="83" xfId="26" applyFill="1" applyBorder="1" applyAlignment="1" applyProtection="1">
      <alignment horizontal="left" vertical="top"/>
      <protection locked="0"/>
    </xf>
    <xf numFmtId="0" fontId="3" fillId="11" borderId="4" xfId="26" applyFill="1" applyBorder="1" applyAlignment="1" applyProtection="1">
      <alignment horizontal="left" vertical="top"/>
      <protection locked="0"/>
    </xf>
    <xf numFmtId="0" fontId="3" fillId="11" borderId="0" xfId="26" applyFill="1" applyAlignment="1" applyProtection="1">
      <alignment horizontal="left" vertical="top"/>
      <protection locked="0"/>
    </xf>
    <xf numFmtId="0" fontId="3" fillId="11" borderId="3" xfId="26" applyFill="1" applyBorder="1" applyAlignment="1" applyProtection="1">
      <alignment horizontal="left" vertical="top"/>
      <protection locked="0"/>
    </xf>
    <xf numFmtId="0" fontId="3" fillId="11" borderId="84" xfId="26" applyFill="1" applyBorder="1" applyAlignment="1" applyProtection="1">
      <alignment horizontal="left" vertical="top"/>
      <protection locked="0"/>
    </xf>
    <xf numFmtId="0" fontId="3" fillId="11" borderId="85" xfId="26" applyFill="1" applyBorder="1" applyAlignment="1" applyProtection="1">
      <alignment horizontal="left" vertical="top"/>
      <protection locked="0"/>
    </xf>
    <xf numFmtId="0" fontId="3" fillId="11" borderId="86" xfId="26" applyFill="1" applyBorder="1" applyAlignment="1" applyProtection="1">
      <alignment horizontal="left" vertical="top"/>
      <protection locked="0"/>
    </xf>
    <xf numFmtId="0" fontId="3" fillId="11" borderId="78" xfId="26" applyFill="1" applyBorder="1" applyAlignment="1" applyProtection="1">
      <alignment horizontal="center"/>
      <protection locked="0"/>
    </xf>
    <xf numFmtId="0" fontId="3" fillId="11" borderId="79" xfId="26" applyFill="1" applyBorder="1" applyAlignment="1" applyProtection="1">
      <alignment horizontal="center"/>
      <protection locked="0"/>
    </xf>
    <xf numFmtId="0" fontId="3" fillId="0" borderId="80" xfId="26" applyBorder="1" applyAlignment="1">
      <alignment horizontal="center"/>
    </xf>
    <xf numFmtId="0" fontId="3" fillId="11" borderId="78" xfId="26" applyFill="1" applyBorder="1" applyAlignment="1" applyProtection="1">
      <alignment horizontal="center" vertical="center"/>
      <protection locked="0"/>
    </xf>
    <xf numFmtId="0" fontId="3" fillId="11" borderId="79" xfId="26" applyFill="1" applyBorder="1" applyAlignment="1" applyProtection="1">
      <alignment horizontal="center" vertical="center"/>
      <protection locked="0"/>
    </xf>
    <xf numFmtId="0" fontId="3" fillId="11" borderId="80" xfId="26" applyFill="1" applyBorder="1" applyAlignment="1" applyProtection="1">
      <alignment horizontal="center" vertical="center"/>
      <protection locked="0"/>
    </xf>
    <xf numFmtId="0" fontId="3" fillId="60" borderId="0" xfId="26" applyFill="1" applyAlignment="1" applyProtection="1">
      <alignment horizontal="center"/>
      <protection locked="0"/>
    </xf>
    <xf numFmtId="2" fontId="3" fillId="11" borderId="75" xfId="26" applyNumberFormat="1" applyFill="1" applyBorder="1" applyAlignment="1" applyProtection="1">
      <alignment horizontal="center" vertical="center"/>
      <protection locked="0"/>
    </xf>
    <xf numFmtId="0" fontId="3" fillId="11" borderId="75" xfId="26" applyFill="1" applyBorder="1" applyAlignment="1" applyProtection="1">
      <alignment horizontal="center" vertical="center"/>
      <protection locked="0"/>
    </xf>
    <xf numFmtId="2" fontId="3" fillId="0" borderId="79" xfId="26" applyNumberFormat="1" applyBorder="1" applyAlignment="1">
      <alignment horizontal="center"/>
    </xf>
    <xf numFmtId="164" fontId="3" fillId="0" borderId="79" xfId="26" applyNumberFormat="1" applyBorder="1" applyAlignment="1">
      <alignment horizontal="center"/>
    </xf>
    <xf numFmtId="0" fontId="3" fillId="11" borderId="16" xfId="26" applyFill="1" applyBorder="1" applyAlignment="1" applyProtection="1">
      <alignment horizontal="left"/>
      <protection locked="0"/>
    </xf>
    <xf numFmtId="0" fontId="3" fillId="11" borderId="15" xfId="26" applyFill="1" applyBorder="1" applyAlignment="1" applyProtection="1">
      <alignment horizontal="left"/>
      <protection locked="0"/>
    </xf>
    <xf numFmtId="0" fontId="3" fillId="11" borderId="17" xfId="26" applyFill="1" applyBorder="1" applyAlignment="1" applyProtection="1">
      <alignment horizontal="left"/>
      <protection locked="0"/>
    </xf>
    <xf numFmtId="0" fontId="3" fillId="11" borderId="16" xfId="26" quotePrefix="1" applyFill="1" applyBorder="1" applyAlignment="1" applyProtection="1">
      <alignment horizontal="center"/>
      <protection locked="0"/>
    </xf>
    <xf numFmtId="0" fontId="3" fillId="11" borderId="15" xfId="26" quotePrefix="1" applyFill="1" applyBorder="1" applyAlignment="1" applyProtection="1">
      <alignment horizontal="center"/>
      <protection locked="0"/>
    </xf>
    <xf numFmtId="0" fontId="3" fillId="11" borderId="28" xfId="26" quotePrefix="1" applyFill="1" applyBorder="1" applyAlignment="1" applyProtection="1">
      <alignment horizontal="center"/>
      <protection locked="0"/>
    </xf>
    <xf numFmtId="14" fontId="3" fillId="11" borderId="16" xfId="26" quotePrefix="1" applyNumberFormat="1" applyFill="1" applyBorder="1" applyAlignment="1" applyProtection="1">
      <alignment horizontal="left"/>
      <protection locked="0"/>
    </xf>
    <xf numFmtId="14" fontId="3" fillId="11" borderId="15" xfId="26" quotePrefix="1" applyNumberFormat="1" applyFill="1" applyBorder="1" applyAlignment="1" applyProtection="1">
      <alignment horizontal="left"/>
      <protection locked="0"/>
    </xf>
    <xf numFmtId="14" fontId="3" fillId="11" borderId="28" xfId="26" quotePrefix="1" applyNumberFormat="1" applyFill="1" applyBorder="1" applyAlignment="1" applyProtection="1">
      <alignment horizontal="left"/>
      <protection locked="0"/>
    </xf>
    <xf numFmtId="0" fontId="3" fillId="11" borderId="70" xfId="26" applyFill="1" applyBorder="1" applyAlignment="1" applyProtection="1">
      <alignment horizontal="left"/>
      <protection locked="0"/>
    </xf>
    <xf numFmtId="0" fontId="3" fillId="11" borderId="12" xfId="26" applyFill="1" applyBorder="1" applyAlignment="1" applyProtection="1">
      <alignment horizontal="left"/>
      <protection locked="0"/>
    </xf>
    <xf numFmtId="0" fontId="3" fillId="11" borderId="66" xfId="26" applyFill="1" applyBorder="1" applyAlignment="1" applyProtection="1">
      <alignment horizontal="left"/>
      <protection locked="0"/>
    </xf>
    <xf numFmtId="0" fontId="3" fillId="11" borderId="70" xfId="26" applyFill="1" applyBorder="1" applyAlignment="1" applyProtection="1">
      <alignment horizontal="center"/>
      <protection locked="0"/>
    </xf>
    <xf numFmtId="0" fontId="3" fillId="11" borderId="66" xfId="26" applyFill="1" applyBorder="1" applyAlignment="1" applyProtection="1">
      <alignment horizontal="center"/>
      <protection locked="0"/>
    </xf>
    <xf numFmtId="0" fontId="3" fillId="11" borderId="30" xfId="26" applyFill="1" applyBorder="1" applyAlignment="1" applyProtection="1">
      <alignment horizontal="center"/>
      <protection locked="0"/>
    </xf>
    <xf numFmtId="2" fontId="3" fillId="11" borderId="62" xfId="26" quotePrefix="1" applyNumberFormat="1" applyFill="1" applyBorder="1" applyAlignment="1" applyProtection="1">
      <alignment horizontal="left"/>
      <protection locked="0"/>
    </xf>
    <xf numFmtId="2" fontId="3" fillId="11" borderId="46" xfId="26" quotePrefix="1" applyNumberFormat="1" applyFill="1" applyBorder="1" applyAlignment="1" applyProtection="1">
      <alignment horizontal="left"/>
      <protection locked="0"/>
    </xf>
    <xf numFmtId="2" fontId="3" fillId="11" borderId="47" xfId="26" quotePrefix="1" applyNumberFormat="1" applyFill="1" applyBorder="1" applyAlignment="1" applyProtection="1">
      <alignment horizontal="left"/>
      <protection locked="0"/>
    </xf>
    <xf numFmtId="0" fontId="3" fillId="11" borderId="62" xfId="26" applyFill="1" applyBorder="1" applyAlignment="1" applyProtection="1">
      <alignment horizontal="left"/>
      <protection locked="0"/>
    </xf>
    <xf numFmtId="0" fontId="3" fillId="11" borderId="46" xfId="26" applyFill="1" applyBorder="1" applyAlignment="1" applyProtection="1">
      <alignment horizontal="left"/>
      <protection locked="0"/>
    </xf>
    <xf numFmtId="0" fontId="3" fillId="11" borderId="73" xfId="26" applyFill="1" applyBorder="1" applyAlignment="1" applyProtection="1">
      <alignment horizontal="left"/>
      <protection locked="0"/>
    </xf>
    <xf numFmtId="2" fontId="3" fillId="63" borderId="87" xfId="26" applyNumberFormat="1" applyFill="1" applyBorder="1" applyAlignment="1">
      <alignment horizontal="center"/>
    </xf>
    <xf numFmtId="2" fontId="3" fillId="63" borderId="88" xfId="26" applyNumberFormat="1" applyFill="1" applyBorder="1" applyAlignment="1">
      <alignment horizontal="center"/>
    </xf>
    <xf numFmtId="0" fontId="3" fillId="63" borderId="78" xfId="26" applyFill="1" applyBorder="1" applyAlignment="1">
      <alignment horizontal="center"/>
    </xf>
    <xf numFmtId="2" fontId="3" fillId="63" borderId="78" xfId="26" applyNumberFormat="1" applyFill="1" applyBorder="1" applyAlignment="1">
      <alignment horizontal="center"/>
    </xf>
    <xf numFmtId="2" fontId="3" fillId="63" borderId="79" xfId="26" applyNumberFormat="1" applyFill="1" applyBorder="1" applyAlignment="1">
      <alignment horizontal="center"/>
    </xf>
    <xf numFmtId="0" fontId="3" fillId="60" borderId="34" xfId="26" applyFill="1" applyBorder="1" applyAlignment="1" applyProtection="1">
      <alignment horizontal="center"/>
      <protection locked="0"/>
    </xf>
    <xf numFmtId="0" fontId="3" fillId="60" borderId="39" xfId="26" applyFill="1" applyBorder="1" applyAlignment="1" applyProtection="1">
      <alignment horizontal="center"/>
      <protection locked="0"/>
    </xf>
    <xf numFmtId="0" fontId="3" fillId="60" borderId="35" xfId="26" applyFill="1" applyBorder="1" applyAlignment="1" applyProtection="1">
      <alignment horizontal="center"/>
      <protection locked="0"/>
    </xf>
    <xf numFmtId="0" fontId="3" fillId="60" borderId="34" xfId="26" applyFill="1" applyBorder="1" applyAlignment="1" applyProtection="1">
      <alignment horizontal="center" vertical="center"/>
      <protection locked="0"/>
    </xf>
    <xf numFmtId="0" fontId="3" fillId="60" borderId="35" xfId="26" applyFill="1" applyBorder="1" applyAlignment="1" applyProtection="1">
      <alignment horizontal="center" vertical="center"/>
      <protection locked="0"/>
    </xf>
    <xf numFmtId="2" fontId="3" fillId="63" borderId="4" xfId="26" applyNumberFormat="1" applyFill="1" applyBorder="1" applyAlignment="1">
      <alignment horizontal="center"/>
    </xf>
    <xf numFmtId="2" fontId="3" fillId="63" borderId="0" xfId="26" applyNumberFormat="1" applyFill="1" applyAlignment="1">
      <alignment horizontal="center"/>
    </xf>
    <xf numFmtId="0" fontId="3" fillId="60" borderId="5" xfId="26" applyFill="1" applyBorder="1" applyAlignment="1" applyProtection="1">
      <alignment horizontal="center"/>
      <protection locked="0"/>
    </xf>
    <xf numFmtId="0" fontId="3" fillId="60" borderId="1" xfId="26" applyFill="1" applyBorder="1" applyAlignment="1" applyProtection="1">
      <alignment horizontal="center"/>
      <protection locked="0"/>
    </xf>
    <xf numFmtId="0" fontId="3" fillId="60" borderId="6" xfId="26" applyFill="1" applyBorder="1" applyAlignment="1" applyProtection="1">
      <alignment horizontal="center"/>
      <protection locked="0"/>
    </xf>
    <xf numFmtId="164" fontId="63" fillId="63" borderId="34" xfId="26" applyNumberFormat="1" applyFont="1" applyFill="1" applyBorder="1" applyAlignment="1">
      <alignment horizontal="center" vertical="center" wrapText="1"/>
    </xf>
    <xf numFmtId="164" fontId="63" fillId="63" borderId="35" xfId="26" applyNumberFormat="1" applyFont="1" applyFill="1" applyBorder="1" applyAlignment="1">
      <alignment horizontal="center" vertical="center" wrapText="1"/>
    </xf>
    <xf numFmtId="2" fontId="3" fillId="63" borderId="84" xfId="26" applyNumberFormat="1" applyFill="1" applyBorder="1" applyAlignment="1">
      <alignment horizontal="center"/>
    </xf>
    <xf numFmtId="2" fontId="3" fillId="63" borderId="85" xfId="26" applyNumberFormat="1" applyFill="1" applyBorder="1" applyAlignment="1">
      <alignment horizontal="center"/>
    </xf>
    <xf numFmtId="0" fontId="3" fillId="63" borderId="82" xfId="26" applyFill="1" applyBorder="1" applyAlignment="1">
      <alignment horizontal="center"/>
    </xf>
    <xf numFmtId="0" fontId="3" fillId="60" borderId="5" xfId="26" applyFill="1" applyBorder="1" applyAlignment="1" applyProtection="1">
      <alignment horizontal="left"/>
      <protection locked="0"/>
    </xf>
    <xf numFmtId="0" fontId="3" fillId="60" borderId="6" xfId="26" applyFill="1" applyBorder="1" applyAlignment="1" applyProtection="1">
      <alignment horizontal="left"/>
      <protection locked="0"/>
    </xf>
    <xf numFmtId="0" fontId="3" fillId="63" borderId="75" xfId="26" applyFill="1" applyBorder="1" applyAlignment="1">
      <alignment horizontal="center" vertical="center"/>
    </xf>
    <xf numFmtId="0" fontId="3" fillId="60" borderId="34" xfId="26" applyFill="1" applyBorder="1" applyAlignment="1" applyProtection="1">
      <alignment horizontal="left"/>
      <protection locked="0"/>
    </xf>
    <xf numFmtId="0" fontId="3" fillId="60" borderId="35" xfId="26" applyFill="1" applyBorder="1" applyAlignment="1" applyProtection="1">
      <alignment horizontal="left"/>
      <protection locked="0"/>
    </xf>
    <xf numFmtId="0" fontId="9" fillId="61" borderId="11" xfId="26" applyFont="1" applyFill="1" applyBorder="1" applyAlignment="1">
      <alignment horizontal="center" vertical="center"/>
    </xf>
    <xf numFmtId="0" fontId="3" fillId="61" borderId="11" xfId="26" applyFill="1" applyBorder="1" applyAlignment="1">
      <alignment horizontal="center" vertical="center"/>
    </xf>
    <xf numFmtId="0" fontId="3" fillId="61" borderId="16" xfId="26" applyFill="1" applyBorder="1" applyAlignment="1">
      <alignment horizontal="center"/>
    </xf>
    <xf numFmtId="0" fontId="3" fillId="61" borderId="17" xfId="26" applyFill="1" applyBorder="1" applyAlignment="1">
      <alignment horizontal="center"/>
    </xf>
    <xf numFmtId="0" fontId="3" fillId="61" borderId="11" xfId="26" applyFill="1" applyBorder="1" applyAlignment="1">
      <alignment horizontal="center"/>
    </xf>
    <xf numFmtId="0" fontId="3" fillId="61" borderId="15" xfId="26" applyFill="1" applyBorder="1" applyAlignment="1">
      <alignment horizontal="center"/>
    </xf>
    <xf numFmtId="0" fontId="14" fillId="61" borderId="11" xfId="26" applyFont="1" applyFill="1" applyBorder="1" applyAlignment="1">
      <alignment horizontal="center"/>
    </xf>
    <xf numFmtId="0" fontId="19" fillId="9" borderId="34" xfId="1" applyFont="1" applyFill="1" applyBorder="1" applyAlignment="1">
      <alignment horizontal="center" vertical="center"/>
    </xf>
    <xf numFmtId="0" fontId="19" fillId="9" borderId="39" xfId="1" applyFont="1" applyFill="1" applyBorder="1" applyAlignment="1">
      <alignment horizontal="center" vertical="center"/>
    </xf>
    <xf numFmtId="0" fontId="19" fillId="9" borderId="35" xfId="1" applyFont="1" applyFill="1" applyBorder="1" applyAlignment="1">
      <alignment horizontal="center" vertical="center"/>
    </xf>
    <xf numFmtId="0" fontId="26" fillId="11" borderId="0" xfId="1" applyFont="1" applyFill="1" applyAlignment="1">
      <alignment horizontal="left" vertical="center" wrapText="1"/>
    </xf>
    <xf numFmtId="0" fontId="20" fillId="11" borderId="8" xfId="1" applyFont="1" applyFill="1" applyBorder="1" applyAlignment="1">
      <alignment horizontal="center" vertical="center"/>
    </xf>
    <xf numFmtId="0" fontId="19" fillId="10" borderId="34" xfId="1" applyFont="1" applyFill="1" applyBorder="1" applyAlignment="1">
      <alignment horizontal="center" vertical="center"/>
    </xf>
    <xf numFmtId="0" fontId="19" fillId="10" borderId="39" xfId="1" applyFont="1" applyFill="1" applyBorder="1" applyAlignment="1">
      <alignment horizontal="center" vertical="center"/>
    </xf>
    <xf numFmtId="0" fontId="20" fillId="11" borderId="7" xfId="1" applyFont="1" applyFill="1" applyBorder="1" applyAlignment="1">
      <alignment horizontal="right" vertical="center"/>
    </xf>
    <xf numFmtId="0" fontId="20" fillId="11" borderId="8" xfId="1" applyFont="1" applyFill="1" applyBorder="1" applyAlignment="1">
      <alignment horizontal="right" vertical="center"/>
    </xf>
    <xf numFmtId="0" fontId="20" fillId="11" borderId="0" xfId="1" applyFont="1" applyFill="1" applyAlignment="1">
      <alignment horizontal="right" vertical="center"/>
    </xf>
    <xf numFmtId="0" fontId="20" fillId="11" borderId="4" xfId="1" applyFont="1" applyFill="1" applyBorder="1" applyAlignment="1">
      <alignment horizontal="right" vertical="center"/>
    </xf>
    <xf numFmtId="0" fontId="20" fillId="11" borderId="5" xfId="1" applyFont="1" applyFill="1" applyBorder="1" applyAlignment="1">
      <alignment horizontal="right" vertical="center"/>
    </xf>
    <xf numFmtId="0" fontId="20" fillId="11" borderId="1" xfId="1" applyFont="1" applyFill="1" applyBorder="1" applyAlignment="1">
      <alignment horizontal="right" vertical="center"/>
    </xf>
    <xf numFmtId="0" fontId="25" fillId="13" borderId="39" xfId="1" applyFont="1" applyFill="1" applyBorder="1" applyAlignment="1">
      <alignment horizontal="center" vertical="center"/>
    </xf>
    <xf numFmtId="0" fontId="25" fillId="13" borderId="35" xfId="1" applyFont="1" applyFill="1" applyBorder="1" applyAlignment="1">
      <alignment horizontal="center" vertical="center"/>
    </xf>
    <xf numFmtId="0" fontId="25" fillId="13" borderId="34" xfId="1" applyFont="1" applyFill="1" applyBorder="1" applyAlignment="1">
      <alignment horizontal="center" vertical="center"/>
    </xf>
    <xf numFmtId="0" fontId="38" fillId="11" borderId="4" xfId="1" applyFont="1" applyFill="1" applyBorder="1" applyAlignment="1">
      <alignment horizontal="right" vertical="center"/>
    </xf>
    <xf numFmtId="0" fontId="38" fillId="11" borderId="0" xfId="1" applyFont="1" applyFill="1" applyAlignment="1">
      <alignment horizontal="right" vertical="center"/>
    </xf>
    <xf numFmtId="0" fontId="20" fillId="11" borderId="1" xfId="1" applyFont="1" applyFill="1" applyBorder="1" applyAlignment="1">
      <alignment horizontal="center" vertical="center"/>
    </xf>
    <xf numFmtId="0" fontId="19" fillId="10" borderId="35" xfId="1" applyFont="1" applyFill="1" applyBorder="1" applyAlignment="1">
      <alignment horizontal="center" vertical="center"/>
    </xf>
    <xf numFmtId="0" fontId="20" fillId="11" borderId="0" xfId="1" applyFont="1" applyFill="1" applyAlignment="1">
      <alignment horizontal="center" vertical="center"/>
    </xf>
    <xf numFmtId="0" fontId="19" fillId="9" borderId="7" xfId="1" applyFont="1" applyFill="1" applyBorder="1" applyAlignment="1">
      <alignment horizontal="center" vertical="center"/>
    </xf>
    <xf numFmtId="0" fontId="19" fillId="9" borderId="8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horizontal="center" vertical="center"/>
    </xf>
    <xf numFmtId="0" fontId="19" fillId="9" borderId="5" xfId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9" fillId="9" borderId="6" xfId="1" applyFont="1" applyFill="1" applyBorder="1" applyAlignment="1">
      <alignment horizontal="center" vertical="center"/>
    </xf>
    <xf numFmtId="0" fontId="26" fillId="11" borderId="16" xfId="1" applyFont="1" applyFill="1" applyBorder="1" applyAlignment="1" applyProtection="1">
      <alignment horizontal="center" vertical="center" wrapText="1"/>
      <protection locked="0"/>
    </xf>
    <xf numFmtId="0" fontId="26" fillId="11" borderId="15" xfId="1" applyFont="1" applyFill="1" applyBorder="1" applyAlignment="1" applyProtection="1">
      <alignment horizontal="center" vertical="center" wrapText="1"/>
      <protection locked="0"/>
    </xf>
    <xf numFmtId="0" fontId="26" fillId="11" borderId="17" xfId="1" applyFont="1" applyFill="1" applyBorder="1" applyAlignment="1" applyProtection="1">
      <alignment horizontal="center" vertical="center" wrapText="1"/>
      <protection locked="0"/>
    </xf>
    <xf numFmtId="0" fontId="19" fillId="10" borderId="15" xfId="1" applyFont="1" applyFill="1" applyBorder="1" applyAlignment="1">
      <alignment horizontal="center" vertical="center"/>
    </xf>
    <xf numFmtId="0" fontId="19" fillId="0" borderId="26" xfId="1" applyFont="1" applyBorder="1" applyAlignment="1" applyProtection="1">
      <alignment horizontal="center" vertical="center"/>
      <protection locked="0"/>
    </xf>
    <xf numFmtId="0" fontId="19" fillId="0" borderId="27" xfId="1" applyFont="1" applyBorder="1" applyAlignment="1" applyProtection="1">
      <alignment horizontal="center" vertical="center"/>
      <protection locked="0"/>
    </xf>
    <xf numFmtId="0" fontId="19" fillId="0" borderId="16" xfId="1" applyFont="1" applyBorder="1" applyAlignment="1" applyProtection="1">
      <alignment horizontal="center" vertical="center"/>
      <protection locked="0"/>
    </xf>
    <xf numFmtId="0" fontId="19" fillId="0" borderId="17" xfId="1" applyFont="1" applyBorder="1" applyAlignment="1" applyProtection="1">
      <alignment horizontal="center" vertical="center"/>
      <protection locked="0"/>
    </xf>
    <xf numFmtId="0" fontId="26" fillId="11" borderId="26" xfId="1" applyFont="1" applyFill="1" applyBorder="1" applyAlignment="1" applyProtection="1">
      <alignment horizontal="center" vertical="center" wrapText="1"/>
      <protection locked="0"/>
    </xf>
    <xf numFmtId="0" fontId="26" fillId="11" borderId="10" xfId="1" applyFont="1" applyFill="1" applyBorder="1" applyAlignment="1" applyProtection="1">
      <alignment horizontal="center" vertical="center" wrapText="1"/>
      <protection locked="0"/>
    </xf>
    <xf numFmtId="0" fontId="26" fillId="11" borderId="27" xfId="1" applyFont="1" applyFill="1" applyBorder="1" applyAlignment="1" applyProtection="1">
      <alignment horizontal="center" vertical="center" wrapText="1"/>
      <protection locked="0"/>
    </xf>
    <xf numFmtId="170" fontId="20" fillId="11" borderId="41" xfId="1" applyNumberFormat="1" applyFont="1" applyFill="1" applyBorder="1" applyAlignment="1" applyProtection="1">
      <alignment horizontal="center" vertical="center"/>
      <protection locked="0"/>
    </xf>
    <xf numFmtId="0" fontId="19" fillId="10" borderId="17" xfId="1" applyFont="1" applyFill="1" applyBorder="1" applyAlignment="1">
      <alignment horizontal="center" vertical="center"/>
    </xf>
    <xf numFmtId="170" fontId="20" fillId="11" borderId="11" xfId="1" applyNumberFormat="1" applyFont="1" applyFill="1" applyBorder="1" applyAlignment="1" applyProtection="1">
      <alignment horizontal="center" vertical="center"/>
      <protection locked="0"/>
    </xf>
    <xf numFmtId="0" fontId="19" fillId="10" borderId="10" xfId="1" applyFont="1" applyFill="1" applyBorder="1" applyAlignment="1">
      <alignment horizontal="center" vertical="center"/>
    </xf>
    <xf numFmtId="0" fontId="19" fillId="10" borderId="27" xfId="1" applyFont="1" applyFill="1" applyBorder="1" applyAlignment="1">
      <alignment horizontal="center" vertical="center"/>
    </xf>
    <xf numFmtId="0" fontId="9" fillId="0" borderId="11" xfId="1" applyBorder="1" applyAlignment="1" applyProtection="1">
      <alignment horizontal="center"/>
      <protection locked="0"/>
    </xf>
    <xf numFmtId="9" fontId="9" fillId="0" borderId="11" xfId="1" applyNumberFormat="1" applyBorder="1" applyAlignment="1" applyProtection="1">
      <alignment horizontal="center"/>
      <protection locked="0"/>
    </xf>
    <xf numFmtId="170" fontId="9" fillId="0" borderId="11" xfId="1" applyNumberFormat="1" applyBorder="1" applyAlignment="1" applyProtection="1">
      <alignment horizontal="center"/>
      <protection locked="0"/>
    </xf>
    <xf numFmtId="0" fontId="18" fillId="0" borderId="34" xfId="10" applyFont="1" applyBorder="1" applyAlignment="1">
      <alignment horizontal="center"/>
    </xf>
    <xf numFmtId="0" fontId="18" fillId="0" borderId="39" xfId="10" applyFont="1" applyBorder="1" applyAlignment="1">
      <alignment horizontal="center"/>
    </xf>
    <xf numFmtId="0" fontId="18" fillId="0" borderId="35" xfId="10" applyFont="1" applyBorder="1" applyAlignment="1">
      <alignment horizontal="center"/>
    </xf>
    <xf numFmtId="181" fontId="32" fillId="14" borderId="16" xfId="10" applyNumberFormat="1" applyFont="1" applyFill="1" applyBorder="1" applyAlignment="1">
      <alignment horizontal="left" vertical="center"/>
    </xf>
    <xf numFmtId="181" fontId="32" fillId="14" borderId="15" xfId="10" applyNumberFormat="1" applyFont="1" applyFill="1" applyBorder="1" applyAlignment="1">
      <alignment horizontal="left" vertical="center"/>
    </xf>
    <xf numFmtId="181" fontId="32" fillId="14" borderId="17" xfId="10" applyNumberFormat="1" applyFont="1" applyFill="1" applyBorder="1" applyAlignment="1">
      <alignment horizontal="left" vertical="center"/>
    </xf>
    <xf numFmtId="0" fontId="18" fillId="0" borderId="7" xfId="10" applyFont="1" applyBorder="1" applyAlignment="1">
      <alignment horizontal="center"/>
    </xf>
    <xf numFmtId="0" fontId="18" fillId="0" borderId="8" xfId="10" applyFont="1" applyBorder="1" applyAlignment="1">
      <alignment horizontal="center"/>
    </xf>
    <xf numFmtId="0" fontId="18" fillId="0" borderId="2" xfId="10" applyFont="1" applyBorder="1" applyAlignment="1">
      <alignment horizontal="center"/>
    </xf>
    <xf numFmtId="1" fontId="36" fillId="2" borderId="40" xfId="10" applyNumberFormat="1" applyFont="1" applyFill="1" applyBorder="1" applyAlignment="1">
      <alignment horizontal="center" vertical="center"/>
    </xf>
    <xf numFmtId="0" fontId="36" fillId="2" borderId="33" xfId="10" applyFont="1" applyFill="1" applyBorder="1" applyAlignment="1">
      <alignment horizontal="center" vertical="center"/>
    </xf>
    <xf numFmtId="0" fontId="36" fillId="2" borderId="40" xfId="10" applyFont="1" applyFill="1" applyBorder="1" applyAlignment="1">
      <alignment horizontal="center" vertical="center"/>
    </xf>
    <xf numFmtId="0" fontId="31" fillId="0" borderId="5" xfId="10" applyFont="1" applyBorder="1" applyAlignment="1">
      <alignment horizontal="right"/>
    </xf>
    <xf numFmtId="0" fontId="31" fillId="0" borderId="1" xfId="10" applyFont="1" applyBorder="1" applyAlignment="1">
      <alignment horizontal="right"/>
    </xf>
    <xf numFmtId="0" fontId="7" fillId="0" borderId="1" xfId="10" applyBorder="1" applyAlignment="1">
      <alignment horizontal="right"/>
    </xf>
    <xf numFmtId="0" fontId="7" fillId="0" borderId="6" xfId="10" applyBorder="1" applyAlignment="1">
      <alignment horizontal="right"/>
    </xf>
    <xf numFmtId="0" fontId="18" fillId="0" borderId="34" xfId="10" applyFont="1" applyBorder="1" applyAlignment="1">
      <alignment horizontal="center" vertical="center"/>
    </xf>
    <xf numFmtId="0" fontId="18" fillId="0" borderId="39" xfId="10" applyFont="1" applyBorder="1" applyAlignment="1">
      <alignment horizontal="center" vertical="center"/>
    </xf>
    <xf numFmtId="0" fontId="1" fillId="21" borderId="0" xfId="10" applyFont="1" applyFill="1" applyAlignment="1">
      <alignment horizontal="left" vertical="center" indent="1"/>
    </xf>
    <xf numFmtId="0" fontId="7" fillId="21" borderId="0" xfId="10" applyFill="1" applyAlignment="1">
      <alignment horizontal="left" vertical="center" indent="1"/>
    </xf>
    <xf numFmtId="0" fontId="1" fillId="20" borderId="0" xfId="10" applyFont="1" applyFill="1" applyAlignment="1">
      <alignment horizontal="left" vertical="center" indent="1"/>
    </xf>
    <xf numFmtId="0" fontId="7" fillId="20" borderId="0" xfId="10" applyFill="1" applyAlignment="1">
      <alignment horizontal="left" vertical="center" indent="1"/>
    </xf>
    <xf numFmtId="0" fontId="7" fillId="21" borderId="0" xfId="10" applyFill="1" applyAlignment="1">
      <alignment horizontal="center" vertical="center"/>
    </xf>
    <xf numFmtId="0" fontId="7" fillId="30" borderId="0" xfId="10" applyFill="1" applyAlignment="1">
      <alignment horizontal="left" indent="1"/>
    </xf>
    <xf numFmtId="0" fontId="18" fillId="18" borderId="7" xfId="10" applyFont="1" applyFill="1" applyBorder="1" applyAlignment="1">
      <alignment horizontal="center" vertical="center"/>
    </xf>
    <xf numFmtId="0" fontId="18" fillId="18" borderId="8" xfId="10" applyFont="1" applyFill="1" applyBorder="1" applyAlignment="1">
      <alignment horizontal="center" vertical="center"/>
    </xf>
    <xf numFmtId="0" fontId="18" fillId="18" borderId="2" xfId="10" applyFont="1" applyFill="1" applyBorder="1" applyAlignment="1">
      <alignment horizontal="center" vertical="center"/>
    </xf>
    <xf numFmtId="0" fontId="7" fillId="20" borderId="8" xfId="10" applyFill="1" applyBorder="1" applyAlignment="1">
      <alignment horizontal="left" indent="1"/>
    </xf>
    <xf numFmtId="0" fontId="7" fillId="21" borderId="0" xfId="10" applyFill="1" applyAlignment="1">
      <alignment horizontal="left" indent="1"/>
    </xf>
    <xf numFmtId="0" fontId="7" fillId="20" borderId="0" xfId="10" applyFill="1" applyAlignment="1">
      <alignment horizontal="left" indent="1"/>
    </xf>
    <xf numFmtId="0" fontId="1" fillId="20" borderId="0" xfId="10" applyFont="1" applyFill="1" applyAlignment="1">
      <alignment horizontal="center" vertical="center"/>
    </xf>
    <xf numFmtId="0" fontId="7" fillId="20" borderId="0" xfId="10" applyFill="1" applyAlignment="1">
      <alignment horizontal="center" vertical="center"/>
    </xf>
    <xf numFmtId="0" fontId="7" fillId="4" borderId="0" xfId="10" applyFill="1" applyAlignment="1">
      <alignment horizontal="left" indent="1"/>
    </xf>
    <xf numFmtId="0" fontId="7" fillId="4" borderId="8" xfId="10" applyFill="1" applyBorder="1" applyAlignment="1">
      <alignment horizontal="left" indent="1"/>
    </xf>
    <xf numFmtId="0" fontId="1" fillId="30" borderId="0" xfId="10" applyFont="1" applyFill="1" applyAlignment="1">
      <alignment horizontal="left" vertical="center" indent="1"/>
    </xf>
    <xf numFmtId="0" fontId="7" fillId="30" borderId="0" xfId="10" applyFill="1" applyAlignment="1">
      <alignment horizontal="left" vertical="center" indent="1"/>
    </xf>
    <xf numFmtId="0" fontId="7" fillId="4" borderId="0" xfId="10" applyFill="1" applyAlignment="1">
      <alignment horizontal="left" vertical="center" indent="1"/>
    </xf>
    <xf numFmtId="0" fontId="1" fillId="4" borderId="0" xfId="10" applyFont="1" applyFill="1" applyAlignment="1">
      <alignment horizontal="left" vertical="center" indent="1"/>
    </xf>
    <xf numFmtId="0" fontId="1" fillId="21" borderId="0" xfId="10" applyFont="1" applyFill="1" applyAlignment="1">
      <alignment horizontal="center" vertical="center"/>
    </xf>
    <xf numFmtId="0" fontId="7" fillId="5" borderId="0" xfId="10" applyFill="1" applyAlignment="1">
      <alignment horizontal="center" vertical="center"/>
    </xf>
    <xf numFmtId="0" fontId="7" fillId="5" borderId="8" xfId="10" applyFill="1" applyBorder="1" applyAlignment="1">
      <alignment horizontal="center"/>
    </xf>
    <xf numFmtId="0" fontId="7" fillId="21" borderId="0" xfId="10" applyFill="1" applyAlignment="1">
      <alignment horizontal="center"/>
    </xf>
    <xf numFmtId="0" fontId="7" fillId="5" borderId="0" xfId="10" applyFill="1" applyAlignment="1">
      <alignment horizontal="center"/>
    </xf>
    <xf numFmtId="0" fontId="18" fillId="27" borderId="7" xfId="10" applyFont="1" applyFill="1" applyBorder="1" applyAlignment="1">
      <alignment horizontal="center" vertical="center"/>
    </xf>
    <xf numFmtId="0" fontId="18" fillId="27" borderId="8" xfId="10" applyFont="1" applyFill="1" applyBorder="1" applyAlignment="1">
      <alignment horizontal="center" vertical="center"/>
    </xf>
    <xf numFmtId="0" fontId="18" fillId="27" borderId="2" xfId="10" applyFont="1" applyFill="1" applyBorder="1" applyAlignment="1">
      <alignment horizontal="center" vertical="center"/>
    </xf>
    <xf numFmtId="0" fontId="1" fillId="28" borderId="8" xfId="10" applyFont="1" applyFill="1" applyBorder="1" applyAlignment="1">
      <alignment horizontal="left" indent="1"/>
    </xf>
    <xf numFmtId="0" fontId="7" fillId="28" borderId="8" xfId="10" applyFill="1" applyBorder="1" applyAlignment="1">
      <alignment horizontal="left" indent="1"/>
    </xf>
    <xf numFmtId="0" fontId="7" fillId="29" borderId="0" xfId="10" applyFill="1" applyAlignment="1">
      <alignment horizontal="left" indent="1"/>
    </xf>
    <xf numFmtId="0" fontId="7" fillId="28" borderId="0" xfId="10" applyFill="1" applyAlignment="1">
      <alignment horizontal="left" indent="1"/>
    </xf>
    <xf numFmtId="0" fontId="7" fillId="29" borderId="0" xfId="10" applyFill="1" applyAlignment="1">
      <alignment horizontal="right"/>
    </xf>
    <xf numFmtId="0" fontId="1" fillId="28" borderId="0" xfId="10" applyFont="1" applyFill="1" applyAlignment="1">
      <alignment horizontal="left" vertical="center" indent="1"/>
    </xf>
    <xf numFmtId="0" fontId="7" fillId="28" borderId="0" xfId="10" applyFill="1" applyAlignment="1">
      <alignment horizontal="left" vertical="center" indent="1"/>
    </xf>
    <xf numFmtId="0" fontId="1" fillId="29" borderId="0" xfId="10" applyFont="1" applyFill="1" applyAlignment="1">
      <alignment horizontal="left" vertical="center" indent="1"/>
    </xf>
    <xf numFmtId="0" fontId="7" fillId="29" borderId="0" xfId="10" applyFill="1" applyAlignment="1">
      <alignment horizontal="left" vertical="center" indent="1"/>
    </xf>
    <xf numFmtId="0" fontId="7" fillId="28" borderId="0" xfId="10" applyFill="1" applyAlignment="1">
      <alignment horizontal="center" vertical="center"/>
    </xf>
    <xf numFmtId="0" fontId="1" fillId="31" borderId="0" xfId="10" applyFont="1" applyFill="1" applyAlignment="1">
      <alignment horizontal="left" vertical="center" indent="1"/>
    </xf>
    <xf numFmtId="0" fontId="7" fillId="31" borderId="0" xfId="10" applyFill="1" applyAlignment="1">
      <alignment horizontal="left" vertical="center" indent="1"/>
    </xf>
    <xf numFmtId="0" fontId="7" fillId="32" borderId="0" xfId="10" applyFill="1" applyAlignment="1">
      <alignment horizontal="left" vertical="center" indent="1"/>
    </xf>
    <xf numFmtId="0" fontId="7" fillId="31" borderId="0" xfId="10" applyFill="1" applyAlignment="1">
      <alignment horizontal="center" vertical="center"/>
    </xf>
    <xf numFmtId="0" fontId="7" fillId="32" borderId="0" xfId="10" applyFill="1" applyAlignment="1">
      <alignment horizontal="right"/>
    </xf>
    <xf numFmtId="0" fontId="7" fillId="31" borderId="0" xfId="10" applyFill="1" applyAlignment="1">
      <alignment horizontal="left" indent="1"/>
    </xf>
    <xf numFmtId="0" fontId="7" fillId="32" borderId="0" xfId="10" applyFill="1" applyAlignment="1">
      <alignment horizontal="left" indent="1"/>
    </xf>
    <xf numFmtId="0" fontId="1" fillId="37" borderId="8" xfId="10" applyFont="1" applyFill="1" applyBorder="1" applyAlignment="1">
      <alignment horizontal="left" indent="1"/>
    </xf>
    <xf numFmtId="0" fontId="7" fillId="37" borderId="8" xfId="10" applyFill="1" applyBorder="1" applyAlignment="1">
      <alignment horizontal="left" indent="1"/>
    </xf>
    <xf numFmtId="0" fontId="7" fillId="35" borderId="0" xfId="10" applyFill="1" applyAlignment="1">
      <alignment horizontal="left" vertical="center" indent="1"/>
    </xf>
    <xf numFmtId="0" fontId="7" fillId="34" borderId="0" xfId="10" applyFill="1" applyAlignment="1">
      <alignment horizontal="center" vertical="center"/>
    </xf>
    <xf numFmtId="0" fontId="7" fillId="35" borderId="0" xfId="10" applyFill="1" applyAlignment="1">
      <alignment horizontal="right"/>
    </xf>
    <xf numFmtId="0" fontId="7" fillId="34" borderId="0" xfId="10" applyFill="1" applyAlignment="1">
      <alignment horizontal="left" indent="1"/>
    </xf>
    <xf numFmtId="0" fontId="7" fillId="35" borderId="0" xfId="10" applyFill="1" applyAlignment="1">
      <alignment horizontal="left" indent="1"/>
    </xf>
    <xf numFmtId="0" fontId="7" fillId="34" borderId="0" xfId="10" applyFill="1" applyAlignment="1">
      <alignment horizontal="left" vertical="center" indent="1"/>
    </xf>
    <xf numFmtId="0" fontId="7" fillId="38" borderId="0" xfId="10" applyFill="1" applyAlignment="1">
      <alignment horizontal="left" indent="1"/>
    </xf>
    <xf numFmtId="0" fontId="7" fillId="37" borderId="0" xfId="10" applyFill="1" applyAlignment="1">
      <alignment horizontal="left" indent="1"/>
    </xf>
    <xf numFmtId="0" fontId="7" fillId="38" borderId="0" xfId="10" applyFill="1" applyAlignment="1">
      <alignment horizontal="left" vertical="center" indent="1"/>
    </xf>
    <xf numFmtId="0" fontId="7" fillId="37" borderId="0" xfId="10" applyFill="1" applyAlignment="1">
      <alignment horizontal="left" vertical="center" indent="1"/>
    </xf>
    <xf numFmtId="0" fontId="7" fillId="38" borderId="0" xfId="10" applyFill="1" applyAlignment="1">
      <alignment horizontal="center" vertical="center"/>
    </xf>
    <xf numFmtId="0" fontId="7" fillId="37" borderId="0" xfId="10" applyFill="1" applyAlignment="1">
      <alignment horizontal="right"/>
    </xf>
    <xf numFmtId="0" fontId="7" fillId="41" borderId="0" xfId="10" applyFill="1" applyAlignment="1">
      <alignment horizontal="left" vertical="center" indent="1"/>
    </xf>
    <xf numFmtId="0" fontId="1" fillId="42" borderId="0" xfId="10" applyFont="1" applyFill="1" applyAlignment="1">
      <alignment horizontal="left" vertical="center" indent="1"/>
    </xf>
    <xf numFmtId="0" fontId="7" fillId="42" borderId="0" xfId="10" applyFill="1" applyAlignment="1">
      <alignment horizontal="left" vertical="center" indent="1"/>
    </xf>
    <xf numFmtId="0" fontId="1" fillId="41" borderId="0" xfId="10" applyFont="1" applyFill="1" applyAlignment="1">
      <alignment horizontal="left" vertical="center" indent="1"/>
    </xf>
    <xf numFmtId="0" fontId="7" fillId="41" borderId="8" xfId="10" applyFill="1" applyBorder="1" applyAlignment="1">
      <alignment horizontal="left" indent="1"/>
    </xf>
    <xf numFmtId="0" fontId="7" fillId="42" borderId="0" xfId="10" applyFill="1" applyAlignment="1">
      <alignment horizontal="left" indent="1"/>
    </xf>
    <xf numFmtId="0" fontId="1" fillId="41" borderId="0" xfId="10" applyFont="1" applyFill="1" applyAlignment="1">
      <alignment horizontal="left" indent="1"/>
    </xf>
    <xf numFmtId="0" fontId="7" fillId="41" borderId="0" xfId="10" applyFill="1" applyAlignment="1">
      <alignment horizontal="left" indent="1"/>
    </xf>
    <xf numFmtId="0" fontId="7" fillId="42" borderId="0" xfId="10" applyFill="1" applyAlignment="1">
      <alignment horizontal="center" vertical="center"/>
    </xf>
    <xf numFmtId="0" fontId="7" fillId="44" borderId="0" xfId="10" applyFill="1" applyAlignment="1">
      <alignment horizontal="left" vertical="center" indent="1"/>
    </xf>
    <xf numFmtId="0" fontId="1" fillId="45" borderId="0" xfId="10" applyFont="1" applyFill="1" applyAlignment="1">
      <alignment horizontal="left" vertical="center" indent="1"/>
    </xf>
    <xf numFmtId="0" fontId="7" fillId="45" borderId="0" xfId="10" applyFill="1" applyAlignment="1">
      <alignment horizontal="left" vertical="center" indent="1"/>
    </xf>
    <xf numFmtId="0" fontId="7" fillId="44" borderId="0" xfId="10" applyFill="1" applyAlignment="1">
      <alignment horizontal="center" vertical="center"/>
    </xf>
    <xf numFmtId="0" fontId="7" fillId="46" borderId="0" xfId="10" applyFill="1" applyAlignment="1">
      <alignment horizontal="right"/>
    </xf>
    <xf numFmtId="0" fontId="7" fillId="44" borderId="8" xfId="10" applyFill="1" applyBorder="1" applyAlignment="1">
      <alignment horizontal="left" indent="1"/>
    </xf>
    <xf numFmtId="0" fontId="1" fillId="45" borderId="0" xfId="10" applyFont="1" applyFill="1" applyAlignment="1">
      <alignment horizontal="left" indent="1"/>
    </xf>
    <xf numFmtId="0" fontId="7" fillId="45" borderId="0" xfId="10" applyFill="1" applyAlignment="1">
      <alignment horizontal="left" indent="1"/>
    </xf>
    <xf numFmtId="0" fontId="7" fillId="44" borderId="0" xfId="10" applyFill="1" applyAlignment="1">
      <alignment horizontal="left" indent="1"/>
    </xf>
    <xf numFmtId="0" fontId="7" fillId="45" borderId="0" xfId="10" applyFill="1" applyAlignment="1">
      <alignment horizontal="center" vertical="center"/>
    </xf>
    <xf numFmtId="0" fontId="7" fillId="44" borderId="0" xfId="10" applyFill="1" applyAlignment="1">
      <alignment horizontal="right"/>
    </xf>
    <xf numFmtId="0" fontId="7" fillId="47" borderId="8" xfId="10" applyFill="1" applyBorder="1" applyAlignment="1">
      <alignment horizontal="left" indent="1"/>
    </xf>
    <xf numFmtId="0" fontId="7" fillId="47" borderId="0" xfId="10" applyFill="1" applyAlignment="1">
      <alignment horizontal="left" indent="1"/>
    </xf>
    <xf numFmtId="0" fontId="1" fillId="44" borderId="0" xfId="10" applyFont="1" applyFill="1" applyAlignment="1">
      <alignment horizontal="left" indent="1"/>
    </xf>
    <xf numFmtId="0" fontId="1" fillId="44" borderId="0" xfId="10" applyFont="1" applyFill="1" applyAlignment="1">
      <alignment horizontal="left" vertical="center" indent="1"/>
    </xf>
    <xf numFmtId="0" fontId="7" fillId="48" borderId="0" xfId="10" applyFill="1" applyAlignment="1">
      <alignment horizontal="right"/>
    </xf>
    <xf numFmtId="0" fontId="7" fillId="47" borderId="0" xfId="10" applyFill="1" applyAlignment="1">
      <alignment horizontal="center" vertical="center"/>
    </xf>
    <xf numFmtId="0" fontId="7" fillId="31" borderId="0" xfId="10" applyFill="1" applyAlignment="1">
      <alignment horizontal="right"/>
    </xf>
    <xf numFmtId="0" fontId="7" fillId="39" borderId="8" xfId="10" applyFill="1" applyBorder="1" applyAlignment="1">
      <alignment horizontal="left" indent="1"/>
    </xf>
    <xf numFmtId="0" fontId="7" fillId="48" borderId="0" xfId="10" applyFill="1" applyAlignment="1">
      <alignment horizontal="left" indent="1"/>
    </xf>
    <xf numFmtId="0" fontId="7" fillId="47" borderId="0" xfId="10" applyFill="1" applyAlignment="1">
      <alignment horizontal="left" vertical="center" indent="1"/>
    </xf>
    <xf numFmtId="0" fontId="1" fillId="47" borderId="0" xfId="10" applyFont="1" applyFill="1" applyAlignment="1">
      <alignment horizontal="left" vertical="center" indent="1"/>
    </xf>
    <xf numFmtId="0" fontId="7" fillId="49" borderId="0" xfId="10" applyFill="1" applyAlignment="1">
      <alignment horizontal="left" indent="1"/>
    </xf>
    <xf numFmtId="0" fontId="7" fillId="39" borderId="0" xfId="10" applyFill="1" applyAlignment="1">
      <alignment horizontal="left" indent="1"/>
    </xf>
    <xf numFmtId="0" fontId="7" fillId="39" borderId="0" xfId="10" applyFill="1" applyAlignment="1">
      <alignment horizontal="left" vertical="center" indent="1"/>
    </xf>
    <xf numFmtId="0" fontId="1" fillId="48" borderId="0" xfId="10" applyFont="1" applyFill="1" applyAlignment="1">
      <alignment horizontal="left" vertical="center" indent="1"/>
    </xf>
    <xf numFmtId="0" fontId="7" fillId="48" borderId="0" xfId="10" applyFill="1" applyAlignment="1">
      <alignment horizontal="left" vertical="center" indent="1"/>
    </xf>
    <xf numFmtId="0" fontId="7" fillId="39" borderId="0" xfId="10" applyFill="1" applyAlignment="1">
      <alignment horizontal="center" vertical="center"/>
    </xf>
    <xf numFmtId="0" fontId="7" fillId="49" borderId="0" xfId="10" applyFill="1" applyAlignment="1">
      <alignment horizontal="left" vertical="center" indent="1"/>
    </xf>
    <xf numFmtId="0" fontId="7" fillId="28" borderId="0" xfId="10" applyFill="1" applyAlignment="1">
      <alignment horizontal="right"/>
    </xf>
    <xf numFmtId="0" fontId="7" fillId="31" borderId="8" xfId="10" applyFill="1" applyBorder="1" applyAlignment="1">
      <alignment horizontal="left" indent="1"/>
    </xf>
    <xf numFmtId="0" fontId="7" fillId="3" borderId="0" xfId="10" applyFill="1" applyAlignment="1">
      <alignment horizontal="left" vertical="center" indent="1"/>
    </xf>
    <xf numFmtId="0" fontId="1" fillId="49" borderId="0" xfId="10" applyFont="1" applyFill="1" applyAlignment="1">
      <alignment horizontal="left" vertical="center" indent="1"/>
    </xf>
    <xf numFmtId="0" fontId="7" fillId="3" borderId="0" xfId="10" applyFill="1" applyAlignment="1">
      <alignment horizontal="left" indent="1"/>
    </xf>
    <xf numFmtId="0" fontId="7" fillId="49" borderId="0" xfId="10" applyFill="1" applyAlignment="1">
      <alignment horizontal="center" vertical="center"/>
    </xf>
    <xf numFmtId="0" fontId="1" fillId="3" borderId="0" xfId="10" applyFont="1" applyFill="1" applyAlignment="1">
      <alignment horizontal="left" vertical="center" indent="1"/>
    </xf>
    <xf numFmtId="0" fontId="7" fillId="3" borderId="0" xfId="10" applyFill="1" applyAlignment="1">
      <alignment horizontal="center" vertical="center"/>
    </xf>
    <xf numFmtId="0" fontId="7" fillId="29" borderId="0" xfId="10" applyFill="1" applyAlignment="1">
      <alignment horizontal="center" vertical="center"/>
    </xf>
    <xf numFmtId="0" fontId="7" fillId="29" borderId="0" xfId="10" applyFill="1" applyAlignment="1">
      <alignment horizontal="center"/>
    </xf>
    <xf numFmtId="0" fontId="7" fillId="28" borderId="8" xfId="10" applyFill="1" applyBorder="1" applyAlignment="1">
      <alignment horizontal="center"/>
    </xf>
    <xf numFmtId="0" fontId="7" fillId="0" borderId="0" xfId="10" applyAlignment="1">
      <alignment horizontal="center"/>
    </xf>
    <xf numFmtId="0" fontId="1" fillId="28" borderId="0" xfId="10" applyFont="1" applyFill="1" applyAlignment="1">
      <alignment horizontal="center" vertical="center"/>
    </xf>
    <xf numFmtId="0" fontId="1" fillId="29" borderId="0" xfId="10" applyFont="1" applyFill="1" applyAlignment="1">
      <alignment horizontal="center" vertical="center"/>
    </xf>
    <xf numFmtId="0" fontId="7" fillId="28" borderId="0" xfId="10" applyFill="1" applyAlignment="1">
      <alignment horizontal="center"/>
    </xf>
    <xf numFmtId="0" fontId="7" fillId="0" borderId="0" xfId="10" applyAlignment="1">
      <alignment horizontal="center" vertical="center"/>
    </xf>
    <xf numFmtId="0" fontId="18" fillId="0" borderId="7" xfId="29" applyFont="1" applyBorder="1" applyAlignment="1">
      <alignment horizontal="center"/>
    </xf>
    <xf numFmtId="0" fontId="18" fillId="0" borderId="8" xfId="29" applyFont="1" applyBorder="1" applyAlignment="1">
      <alignment horizontal="center"/>
    </xf>
    <xf numFmtId="0" fontId="18" fillId="0" borderId="2" xfId="29" applyFont="1" applyBorder="1" applyAlignment="1">
      <alignment horizontal="center"/>
    </xf>
  </cellXfs>
  <cellStyles count="30">
    <cellStyle name="Comma 2" xfId="8" xr:uid="{4C2813D6-A5B8-4875-B17C-62F6FCB411F8}"/>
    <cellStyle name="Currency" xfId="14" builtinId="4"/>
    <cellStyle name="Currency 2" xfId="9" xr:uid="{9EBC082B-BF5D-474D-8A28-1D881B85D097}"/>
    <cellStyle name="Currency 3" xfId="11" xr:uid="{6B0189A0-D930-418C-82D1-7CAD3A4AA2B6}"/>
    <cellStyle name="Currency 4" xfId="16" xr:uid="{86D70FA6-32DF-4FE5-8E63-5B391CA0EE09}"/>
    <cellStyle name="Good" xfId="22" builtinId="26"/>
    <cellStyle name="Hyperlink" xfId="13" builtinId="8"/>
    <cellStyle name="Hyperlink 2" xfId="25" xr:uid="{EC0CE9EC-FA02-4D88-9CC2-E4E36ABB93CE}"/>
    <cellStyle name="Input" xfId="3" builtinId="20"/>
    <cellStyle name="Normal" xfId="0" builtinId="0"/>
    <cellStyle name="Normal 2" xfId="1" xr:uid="{00000000-0005-0000-0000-000001000000}"/>
    <cellStyle name="Normal 3" xfId="2" xr:uid="{C9F407E6-687B-4E90-8C3F-CDF11B6A642E}"/>
    <cellStyle name="Normal 4" xfId="10" xr:uid="{7D8E3130-B2BE-48C0-B5A2-26BC27A8A9E7}"/>
    <cellStyle name="Normal 4 2" xfId="29" xr:uid="{795BDA5F-AD40-47A5-9BBB-964F2274F6D6}"/>
    <cellStyle name="Normal 5" xfId="18" xr:uid="{7EBC13A5-581A-4950-B279-D74E64B3DF91}"/>
    <cellStyle name="Normal 6" xfId="21" xr:uid="{C1846B79-EBEB-43EB-91D4-4CBA3A129C72}"/>
    <cellStyle name="Normal 7" xfId="23" xr:uid="{21D1B5D6-ACC8-4628-96C2-C620550D122D}"/>
    <cellStyle name="Normal 8" xfId="26" xr:uid="{57FD5F95-CE85-49AC-849E-F0AB0F875169}"/>
    <cellStyle name="Normal 9" xfId="28" xr:uid="{51EF61F0-3A31-4CFD-9019-182196304DD5}"/>
    <cellStyle name="Normal_(Cost Recap Sheet)" xfId="5" xr:uid="{F077BE66-8C84-427B-9EA0-35953BB3C1CE}"/>
    <cellStyle name="Normal_(Cost Recap Sheet) 2" xfId="15" xr:uid="{7C58FD84-F697-4763-846A-1A03BAE6373B}"/>
    <cellStyle name="Normal_Arkansas - Large Hopper with Live Bottom" xfId="20" xr:uid="{FFC2DB01-A5DF-405D-9EF1-D875ADAA5275}"/>
    <cellStyle name="Normal_Blank Worksheet (Costing model)" xfId="19" xr:uid="{305590E8-4ADF-4355-82C7-0296CE3ABBD8}"/>
    <cellStyle name="Note 2" xfId="7" xr:uid="{61D6B1E4-444F-41A0-8233-B34522CA8371}"/>
    <cellStyle name="Output" xfId="4" builtinId="21"/>
    <cellStyle name="Percent" xfId="12" builtinId="5"/>
    <cellStyle name="Percent 2" xfId="6" xr:uid="{DEF1185F-8580-42F4-9F4D-1F09CD4B9D2C}"/>
    <cellStyle name="Percent 3" xfId="17" xr:uid="{E17F5E1E-97DF-4337-99FC-A40C0E08FD0C}"/>
    <cellStyle name="Percent 4" xfId="24" xr:uid="{B0A17B58-7A31-4EA1-9302-3804B7FE1292}"/>
    <cellStyle name="Percent 5" xfId="27" xr:uid="{889CEBB4-EF9E-4D5B-B7C0-F67525399556}"/>
  </cellStyles>
  <dxfs count="222"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27" formatCode="m/d/yyyy\ h:mm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86" formatCode="@&quot;-in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textRotation="0" indent="0" justifyLastLine="0" shrinkToFit="0" readingOrder="0"/>
    </dxf>
    <dxf>
      <numFmt numFmtId="0" formatCode="General"/>
    </dxf>
    <dxf>
      <numFmt numFmtId="19" formatCode="m/d/yyyy"/>
    </dxf>
    <dxf>
      <numFmt numFmtId="0" formatCode="General"/>
      <alignment horizont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numFmt numFmtId="172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&quot;$&quot;#,##0.00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numFmt numFmtId="19" formatCode="m/d/yyyy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 style="medium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numFmt numFmtId="17" formatCode="#\ ?/?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top style="medium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18" formatCode="#\ ??/??"/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86" formatCode="@&quot;-in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Calibri"/>
        <family val="2"/>
        <scheme val="minor"/>
      </font>
      <numFmt numFmtId="19" formatCode="m/d/yyyy"/>
      <fill>
        <patternFill patternType="solid">
          <fgColor indexed="64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Calibri"/>
        <family val="2"/>
        <scheme val="minor"/>
      </font>
      <numFmt numFmtId="19" formatCode="m/d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Calibri"/>
        <family val="2"/>
        <scheme val="minor"/>
      </font>
      <numFmt numFmtId="172" formatCode="&quot;$&quot;#,##0.0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85" formatCode="@\ &quot;in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85" formatCode="@\ &quot;in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86" formatCode="@&quot;-in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83" formatCode="0.0000\-\i\n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2" formatCode="#,##0.000&quot;-mm&quot;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</dxf>
    <dxf>
      <numFmt numFmtId="19" formatCode="m/d/yyyy"/>
    </dxf>
    <dxf>
      <fill>
        <patternFill patternType="none">
          <fgColor indexed="64"/>
          <bgColor indexed="65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0000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</dxfs>
  <tableStyles count="3" defaultTableStyle="TableStyleMedium9" defaultPivotStyle="PivotStyleLight16">
    <tableStyle name="Purchased_TBL" pivot="0" count="0" xr9:uid="{49F9C94B-A127-4D2D-B649-283EA4D048EB}"/>
    <tableStyle name="Table Style 1" pivot="0" count="0" xr9:uid="{EB149158-3C2F-40B3-A291-4ED01441526D}"/>
    <tableStyle name="Table Style 2" pivot="0" count="0" xr9:uid="{D3285B6E-2E32-4914-BFB3-9412F8862717}"/>
  </tableStyles>
  <colors>
    <mruColors>
      <color rgb="FFFFFFCC"/>
      <color rgb="FFCCFFCC"/>
      <color rgb="FF99CCFF"/>
      <color rgb="FFFFF2CC"/>
      <color rgb="FF8060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1.png"/><Relationship Id="rId6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5" Type="http://schemas.openxmlformats.org/officeDocument/2006/relationships/image" Target="../media/image19.png"/><Relationship Id="rId10" Type="http://schemas.openxmlformats.org/officeDocument/2006/relationships/image" Target="../media/image24.png"/><Relationship Id="rId4" Type="http://schemas.openxmlformats.org/officeDocument/2006/relationships/image" Target="../media/image18.png"/><Relationship Id="rId9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46</xdr:col>
      <xdr:colOff>83126</xdr:colOff>
      <xdr:row>87</xdr:row>
      <xdr:rowOff>80964</xdr:rowOff>
    </xdr:from>
    <xdr:to>
      <xdr:col>48</xdr:col>
      <xdr:colOff>76200</xdr:colOff>
      <xdr:row>89</xdr:row>
      <xdr:rowOff>118307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D0E5AB9-0A19-4E85-9EB2-553A8A0BF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75026" y="17959389"/>
          <a:ext cx="488374" cy="427868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2</xdr:row>
      <xdr:rowOff>19050</xdr:rowOff>
    </xdr:from>
    <xdr:to>
      <xdr:col>13</xdr:col>
      <xdr:colOff>57815</xdr:colOff>
      <xdr:row>6</xdr:row>
      <xdr:rowOff>55335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8E7F2-BB51-4BD5-9A34-DF1E06872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457200"/>
          <a:ext cx="2686715" cy="855435"/>
        </a:xfrm>
        <a:prstGeom prst="rect">
          <a:avLst/>
        </a:prstGeom>
      </xdr:spPr>
    </xdr:pic>
    <xdr:clientData/>
  </xdr:twoCellAnchor>
  <xdr:twoCellAnchor editAs="oneCell">
    <xdr:from>
      <xdr:col>42</xdr:col>
      <xdr:colOff>114299</xdr:colOff>
      <xdr:row>1</xdr:row>
      <xdr:rowOff>88691</xdr:rowOff>
    </xdr:from>
    <xdr:to>
      <xdr:col>53</xdr:col>
      <xdr:colOff>198120</xdr:colOff>
      <xdr:row>6</xdr:row>
      <xdr:rowOff>140689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973D13-6023-4D40-8833-47042081F360}"/>
            </a:ext>
            <a:ext uri="{147F2762-F138-4A5C-976F-8EAC2B608ADB}">
              <a16:predDERef xmlns:a16="http://schemas.microsoft.com/office/drawing/2014/main" pred="{7938E7F2-BB51-4BD5-9A34-DF1E06872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37" t="11337" r="29535" b="12487"/>
        <a:stretch/>
      </xdr:blipFill>
      <xdr:spPr>
        <a:xfrm>
          <a:off x="10515599" y="288716"/>
          <a:ext cx="2807971" cy="1109273"/>
        </a:xfrm>
        <a:prstGeom prst="rect">
          <a:avLst/>
        </a:prstGeom>
      </xdr:spPr>
    </xdr:pic>
    <xdr:clientData/>
  </xdr:twoCellAnchor>
  <xdr:twoCellAnchor editAs="absolute">
    <xdr:from>
      <xdr:col>42</xdr:col>
      <xdr:colOff>38100</xdr:colOff>
      <xdr:row>87</xdr:row>
      <xdr:rowOff>88985</xdr:rowOff>
    </xdr:from>
    <xdr:to>
      <xdr:col>45</xdr:col>
      <xdr:colOff>13786</xdr:colOff>
      <xdr:row>89</xdr:row>
      <xdr:rowOff>114299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C47F514-77E0-4996-991B-439D71B1E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39400" y="17967410"/>
          <a:ext cx="718636" cy="415839"/>
        </a:xfrm>
        <a:prstGeom prst="rect">
          <a:avLst/>
        </a:prstGeom>
      </xdr:spPr>
    </xdr:pic>
    <xdr:clientData/>
  </xdr:twoCellAnchor>
  <xdr:twoCellAnchor editAs="absolute">
    <xdr:from>
      <xdr:col>49</xdr:col>
      <xdr:colOff>200891</xdr:colOff>
      <xdr:row>87</xdr:row>
      <xdr:rowOff>82610</xdr:rowOff>
    </xdr:from>
    <xdr:to>
      <xdr:col>53</xdr:col>
      <xdr:colOff>14720</xdr:colOff>
      <xdr:row>89</xdr:row>
      <xdr:rowOff>84628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5C09BCD-D56E-44D0-B646-157657FA7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35741" y="17961035"/>
          <a:ext cx="804429" cy="392543"/>
        </a:xfrm>
        <a:prstGeom prst="rect">
          <a:avLst/>
        </a:prstGeom>
      </xdr:spPr>
    </xdr:pic>
    <xdr:clientData/>
  </xdr:twoCellAnchor>
  <xdr:twoCellAnchor editAs="absolute">
    <xdr:from>
      <xdr:col>47</xdr:col>
      <xdr:colOff>83271</xdr:colOff>
      <xdr:row>91</xdr:row>
      <xdr:rowOff>109539</xdr:rowOff>
    </xdr:from>
    <xdr:to>
      <xdr:col>51</xdr:col>
      <xdr:colOff>95250</xdr:colOff>
      <xdr:row>93</xdr:row>
      <xdr:rowOff>161690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DEB2DC6-906B-43A3-8568-9BDEF458B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22821" y="18759489"/>
          <a:ext cx="1002579" cy="433151"/>
        </a:xfrm>
        <a:prstGeom prst="rect">
          <a:avLst/>
        </a:prstGeom>
      </xdr:spPr>
    </xdr:pic>
    <xdr:clientData/>
  </xdr:twoCellAnchor>
  <xdr:twoCellAnchor editAs="absolute">
    <xdr:from>
      <xdr:col>43</xdr:col>
      <xdr:colOff>243320</xdr:colOff>
      <xdr:row>91</xdr:row>
      <xdr:rowOff>107558</xdr:rowOff>
    </xdr:from>
    <xdr:to>
      <xdr:col>46</xdr:col>
      <xdr:colOff>161925</xdr:colOff>
      <xdr:row>93</xdr:row>
      <xdr:rowOff>163670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3AA0B27-3F6C-41C1-B239-022BF88A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892270" y="18757508"/>
          <a:ext cx="661555" cy="4371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2</xdr:row>
      <xdr:rowOff>19050</xdr:rowOff>
    </xdr:from>
    <xdr:to>
      <xdr:col>13</xdr:col>
      <xdr:colOff>57815</xdr:colOff>
      <xdr:row>6</xdr:row>
      <xdr:rowOff>55335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7222E5-B9E3-4592-85AE-BD4455AE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457200"/>
          <a:ext cx="2686715" cy="855435"/>
        </a:xfrm>
        <a:prstGeom prst="rect">
          <a:avLst/>
        </a:prstGeom>
      </xdr:spPr>
    </xdr:pic>
    <xdr:clientData/>
  </xdr:twoCellAnchor>
  <xdr:twoCellAnchor editAs="oneCell">
    <xdr:from>
      <xdr:col>42</xdr:col>
      <xdr:colOff>85724</xdr:colOff>
      <xdr:row>1</xdr:row>
      <xdr:rowOff>174416</xdr:rowOff>
    </xdr:from>
    <xdr:to>
      <xdr:col>53</xdr:col>
      <xdr:colOff>169545</xdr:colOff>
      <xdr:row>7</xdr:row>
      <xdr:rowOff>35914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B6253D-B3AA-4F74-94F5-C69C8B08F2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37" t="11337" r="29535" b="12487"/>
        <a:stretch/>
      </xdr:blipFill>
      <xdr:spPr>
        <a:xfrm>
          <a:off x="10487024" y="374441"/>
          <a:ext cx="2807971" cy="11092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2</xdr:row>
      <xdr:rowOff>19050</xdr:rowOff>
    </xdr:from>
    <xdr:to>
      <xdr:col>13</xdr:col>
      <xdr:colOff>54005</xdr:colOff>
      <xdr:row>6</xdr:row>
      <xdr:rowOff>59145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CE00A6-5C82-42E0-A93B-6872DF166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457200"/>
          <a:ext cx="2682905" cy="859245"/>
        </a:xfrm>
        <a:prstGeom prst="rect">
          <a:avLst/>
        </a:prstGeom>
      </xdr:spPr>
    </xdr:pic>
    <xdr:clientData/>
  </xdr:twoCellAnchor>
  <xdr:twoCellAnchor editAs="oneCell">
    <xdr:from>
      <xdr:col>42</xdr:col>
      <xdr:colOff>85724</xdr:colOff>
      <xdr:row>1</xdr:row>
      <xdr:rowOff>174416</xdr:rowOff>
    </xdr:from>
    <xdr:to>
      <xdr:col>53</xdr:col>
      <xdr:colOff>173355</xdr:colOff>
      <xdr:row>7</xdr:row>
      <xdr:rowOff>35914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5468BC-6F9B-4F53-9F95-B11500ABB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37" t="11337" r="29535" b="12487"/>
        <a:stretch/>
      </xdr:blipFill>
      <xdr:spPr>
        <a:xfrm>
          <a:off x="10487024" y="374441"/>
          <a:ext cx="2811781" cy="11092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2</xdr:row>
      <xdr:rowOff>19050</xdr:rowOff>
    </xdr:from>
    <xdr:to>
      <xdr:col>13</xdr:col>
      <xdr:colOff>54005</xdr:colOff>
      <xdr:row>6</xdr:row>
      <xdr:rowOff>59145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71709B-A226-47CB-91EA-BAF719613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457200"/>
          <a:ext cx="2682905" cy="859245"/>
        </a:xfrm>
        <a:prstGeom prst="rect">
          <a:avLst/>
        </a:prstGeom>
      </xdr:spPr>
    </xdr:pic>
    <xdr:clientData/>
  </xdr:twoCellAnchor>
  <xdr:twoCellAnchor editAs="oneCell">
    <xdr:from>
      <xdr:col>42</xdr:col>
      <xdr:colOff>85724</xdr:colOff>
      <xdr:row>1</xdr:row>
      <xdr:rowOff>174416</xdr:rowOff>
    </xdr:from>
    <xdr:to>
      <xdr:col>53</xdr:col>
      <xdr:colOff>173355</xdr:colOff>
      <xdr:row>7</xdr:row>
      <xdr:rowOff>35914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2F36086-228A-44B5-B44F-D45751806D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37" t="11337" r="29535" b="12487"/>
        <a:stretch/>
      </xdr:blipFill>
      <xdr:spPr>
        <a:xfrm>
          <a:off x="10487024" y="374441"/>
          <a:ext cx="2811781" cy="1109273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25</xdr:row>
      <xdr:rowOff>0</xdr:rowOff>
    </xdr:from>
    <xdr:to>
      <xdr:col>54</xdr:col>
      <xdr:colOff>0</xdr:colOff>
      <xdr:row>43</xdr:row>
      <xdr:rowOff>54413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E015754-2EEE-46F6-BBDB-1A55AD74D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67750" y="5172075"/>
          <a:ext cx="4705350" cy="3483413"/>
        </a:xfrm>
        <a:prstGeom prst="rect">
          <a:avLst/>
        </a:prstGeom>
      </xdr:spPr>
    </xdr:pic>
    <xdr:clientData/>
  </xdr:twoCellAnchor>
  <xdr:twoCellAnchor editAs="oneCell">
    <xdr:from>
      <xdr:col>34</xdr:col>
      <xdr:colOff>171450</xdr:colOff>
      <xdr:row>20</xdr:row>
      <xdr:rowOff>47625</xdr:rowOff>
    </xdr:from>
    <xdr:to>
      <xdr:col>53</xdr:col>
      <xdr:colOff>211498</xdr:colOff>
      <xdr:row>24</xdr:row>
      <xdr:rowOff>36060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2FDC92-C72D-48A7-AC66-6BCC02C58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91550" y="4267200"/>
          <a:ext cx="4745398" cy="7504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2</xdr:row>
      <xdr:rowOff>19050</xdr:rowOff>
    </xdr:from>
    <xdr:to>
      <xdr:col>12</xdr:col>
      <xdr:colOff>210215</xdr:colOff>
      <xdr:row>6</xdr:row>
      <xdr:rowOff>59145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424307-B68E-4CBB-9FA2-6A4776713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457200"/>
          <a:ext cx="2677190" cy="859245"/>
        </a:xfrm>
        <a:prstGeom prst="rect">
          <a:avLst/>
        </a:prstGeom>
      </xdr:spPr>
    </xdr:pic>
    <xdr:clientData/>
  </xdr:twoCellAnchor>
  <xdr:twoCellAnchor editAs="oneCell">
    <xdr:from>
      <xdr:col>42</xdr:col>
      <xdr:colOff>85724</xdr:colOff>
      <xdr:row>1</xdr:row>
      <xdr:rowOff>174416</xdr:rowOff>
    </xdr:from>
    <xdr:to>
      <xdr:col>53</xdr:col>
      <xdr:colOff>173355</xdr:colOff>
      <xdr:row>7</xdr:row>
      <xdr:rowOff>35914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2D228D-68C9-4496-81A2-A8C0199940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37" t="11337" r="29535" b="12487"/>
        <a:stretch/>
      </xdr:blipFill>
      <xdr:spPr>
        <a:xfrm>
          <a:off x="10601324" y="374441"/>
          <a:ext cx="2811781" cy="110927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655320</xdr:colOff>
      <xdr:row>10</xdr:row>
      <xdr:rowOff>74295</xdr:rowOff>
    </xdr:from>
    <xdr:to>
      <xdr:col>10</xdr:col>
      <xdr:colOff>193400</xdr:colOff>
      <xdr:row>26</xdr:row>
      <xdr:rowOff>244631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5CA7C4-2D2D-45B7-8D88-8C96DA075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8895" y="2169795"/>
          <a:ext cx="4433930" cy="34088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20</xdr:row>
      <xdr:rowOff>180974</xdr:rowOff>
    </xdr:from>
    <xdr:to>
      <xdr:col>15</xdr:col>
      <xdr:colOff>590551</xdr:colOff>
      <xdr:row>29</xdr:row>
      <xdr:rowOff>71822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7A88E3-4654-41FE-BC6C-8BF3454084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46" t="4988" r="19364" b="6348"/>
        <a:stretch/>
      </xdr:blipFill>
      <xdr:spPr>
        <a:xfrm>
          <a:off x="5876925" y="4781549"/>
          <a:ext cx="5572126" cy="1862523"/>
        </a:xfrm>
        <a:prstGeom prst="rect">
          <a:avLst/>
        </a:prstGeom>
      </xdr:spPr>
    </xdr:pic>
    <xdr:clientData/>
  </xdr:twoCellAnchor>
  <xdr:twoCellAnchor editAs="absolute">
    <xdr:from>
      <xdr:col>0</xdr:col>
      <xdr:colOff>590551</xdr:colOff>
      <xdr:row>8</xdr:row>
      <xdr:rowOff>85725</xdr:rowOff>
    </xdr:from>
    <xdr:to>
      <xdr:col>1</xdr:col>
      <xdr:colOff>552451</xdr:colOff>
      <xdr:row>10</xdr:row>
      <xdr:rowOff>51613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DE7379-4637-917D-14ED-DB08E80B3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551" y="1838325"/>
          <a:ext cx="685800" cy="404038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47626</xdr:colOff>
      <xdr:row>8</xdr:row>
      <xdr:rowOff>66675</xdr:rowOff>
    </xdr:from>
    <xdr:to>
      <xdr:col>4</xdr:col>
      <xdr:colOff>38101</xdr:colOff>
      <xdr:row>10</xdr:row>
      <xdr:rowOff>26263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680AACB-53BF-13CB-E4C3-20E45638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9326" y="1819275"/>
          <a:ext cx="800100" cy="397738"/>
        </a:xfrm>
        <a:prstGeom prst="rect">
          <a:avLst/>
        </a:prstGeom>
      </xdr:spPr>
    </xdr:pic>
    <xdr:clientData/>
  </xdr:twoCellAnchor>
  <xdr:twoCellAnchor editAs="absolute">
    <xdr:from>
      <xdr:col>5</xdr:col>
      <xdr:colOff>322263</xdr:colOff>
      <xdr:row>8</xdr:row>
      <xdr:rowOff>0</xdr:rowOff>
    </xdr:from>
    <xdr:to>
      <xdr:col>7</xdr:col>
      <xdr:colOff>46034</xdr:colOff>
      <xdr:row>10</xdr:row>
      <xdr:rowOff>76199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D91485-AFDA-F1D3-5332-3B681681E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7488" y="1752600"/>
          <a:ext cx="1171571" cy="514349"/>
        </a:xfrm>
        <a:prstGeom prst="rect">
          <a:avLst/>
        </a:prstGeom>
      </xdr:spPr>
    </xdr:pic>
    <xdr:clientData/>
  </xdr:twoCellAnchor>
  <xdr:twoCellAnchor editAs="absolute">
    <xdr:from>
      <xdr:col>4</xdr:col>
      <xdr:colOff>209551</xdr:colOff>
      <xdr:row>8</xdr:row>
      <xdr:rowOff>9526</xdr:rowOff>
    </xdr:from>
    <xdr:to>
      <xdr:col>5</xdr:col>
      <xdr:colOff>228601</xdr:colOff>
      <xdr:row>10</xdr:row>
      <xdr:rowOff>69752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A085AE-72E3-12D1-95F8-8AB960AC3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90876" y="1762126"/>
          <a:ext cx="742950" cy="498376"/>
        </a:xfrm>
        <a:prstGeom prst="rect">
          <a:avLst/>
        </a:prstGeom>
      </xdr:spPr>
    </xdr:pic>
    <xdr:clientData/>
  </xdr:twoCellAnchor>
  <xdr:twoCellAnchor editAs="absolute">
    <xdr:from>
      <xdr:col>2</xdr:col>
      <xdr:colOff>142875</xdr:colOff>
      <xdr:row>8</xdr:row>
      <xdr:rowOff>85725</xdr:rowOff>
    </xdr:from>
    <xdr:to>
      <xdr:col>2</xdr:col>
      <xdr:colOff>638175</xdr:colOff>
      <xdr:row>10</xdr:row>
      <xdr:rowOff>86707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480398-AD82-E6C3-935B-BAE74F549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90675" y="1838325"/>
          <a:ext cx="495300" cy="43913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16</xdr:col>
      <xdr:colOff>0</xdr:colOff>
      <xdr:row>10</xdr:row>
      <xdr:rowOff>171835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9B966B-1D4A-4231-B960-3148F06B8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48" r="4259"/>
        <a:stretch/>
      </xdr:blipFill>
      <xdr:spPr>
        <a:xfrm>
          <a:off x="7486650" y="0"/>
          <a:ext cx="7086600" cy="2095885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15</xdr:row>
      <xdr:rowOff>104775</xdr:rowOff>
    </xdr:from>
    <xdr:to>
      <xdr:col>17</xdr:col>
      <xdr:colOff>990600</xdr:colOff>
      <xdr:row>17</xdr:row>
      <xdr:rowOff>133350</xdr:rowOff>
    </xdr:to>
    <xdr:sp macro="[0]!PURCH_PARTS" textlink="">
      <xdr:nvSpPr>
        <xdr:cNvPr id="3" name="TextBox 2">
          <a:extLst>
            <a:ext uri="{FF2B5EF4-FFF2-40B4-BE49-F238E27FC236}">
              <a16:creationId xmlns:a16="http://schemas.microsoft.com/office/drawing/2014/main" id="{509D5095-D673-C884-ED73-0A79E6FAA8D0}"/>
            </a:ext>
          </a:extLst>
        </xdr:cNvPr>
        <xdr:cNvSpPr txBox="1"/>
      </xdr:nvSpPr>
      <xdr:spPr>
        <a:xfrm>
          <a:off x="15068550" y="3000375"/>
          <a:ext cx="1828800" cy="4191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bg1">
              <a:lumMod val="6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kern="120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CALCULATE COST</a:t>
          </a:r>
        </a:p>
      </xdr:txBody>
    </xdr:sp>
    <xdr:clientData/>
  </xdr:twoCellAnchor>
  <xdr:twoCellAnchor>
    <xdr:from>
      <xdr:col>16</xdr:col>
      <xdr:colOff>495300</xdr:colOff>
      <xdr:row>19</xdr:row>
      <xdr:rowOff>14288</xdr:rowOff>
    </xdr:from>
    <xdr:to>
      <xdr:col>17</xdr:col>
      <xdr:colOff>990600</xdr:colOff>
      <xdr:row>20</xdr:row>
      <xdr:rowOff>366713</xdr:rowOff>
    </xdr:to>
    <xdr:sp macro="[0]!SP100_Update" textlink="">
      <xdr:nvSpPr>
        <xdr:cNvPr id="4" name="TextBox 3">
          <a:extLst>
            <a:ext uri="{FF2B5EF4-FFF2-40B4-BE49-F238E27FC236}">
              <a16:creationId xmlns:a16="http://schemas.microsoft.com/office/drawing/2014/main" id="{6DE1DC3A-8791-3AA7-86F9-975F9505DABE}"/>
            </a:ext>
          </a:extLst>
        </xdr:cNvPr>
        <xdr:cNvSpPr txBox="1"/>
      </xdr:nvSpPr>
      <xdr:spPr>
        <a:xfrm>
          <a:off x="15068550" y="3700463"/>
          <a:ext cx="1828800" cy="56197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bg1">
              <a:lumMod val="6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0" kern="1200" cap="none" spc="0">
              <a:ln w="0"/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PURCHASED PART UPDATE</a:t>
          </a:r>
        </a:p>
      </xdr:txBody>
    </xdr:sp>
    <xdr:clientData/>
  </xdr:twoCellAnchor>
  <xdr:twoCellAnchor>
    <xdr:from>
      <xdr:col>16</xdr:col>
      <xdr:colOff>495300</xdr:colOff>
      <xdr:row>22</xdr:row>
      <xdr:rowOff>47626</xdr:rowOff>
    </xdr:from>
    <xdr:to>
      <xdr:col>17</xdr:col>
      <xdr:colOff>1000125</xdr:colOff>
      <xdr:row>24</xdr:row>
      <xdr:rowOff>161926</xdr:rowOff>
    </xdr:to>
    <xdr:sp macro="[0]!MET_UPDATE" textlink="">
      <xdr:nvSpPr>
        <xdr:cNvPr id="5" name="TextBox 4">
          <a:extLst>
            <a:ext uri="{FF2B5EF4-FFF2-40B4-BE49-F238E27FC236}">
              <a16:creationId xmlns:a16="http://schemas.microsoft.com/office/drawing/2014/main" id="{7667370D-F2BD-BD28-2102-9F0FEA3EC0D2}"/>
            </a:ext>
          </a:extLst>
        </xdr:cNvPr>
        <xdr:cNvSpPr txBox="1"/>
      </xdr:nvSpPr>
      <xdr:spPr>
        <a:xfrm>
          <a:off x="15068550" y="4543426"/>
          <a:ext cx="1838325" cy="5334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bg1">
              <a:lumMod val="6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0" kern="1200" cap="none" spc="0">
              <a:ln w="0"/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METAL PRICING UPDATE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28575</xdr:colOff>
      <xdr:row>5</xdr:row>
      <xdr:rowOff>114300</xdr:rowOff>
    </xdr:from>
    <xdr:to>
      <xdr:col>29</xdr:col>
      <xdr:colOff>352426</xdr:colOff>
      <xdr:row>13</xdr:row>
      <xdr:rowOff>128674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8BF395-09CB-4FC6-86CF-E2655FF1B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68525" y="1476375"/>
          <a:ext cx="3981451" cy="1538374"/>
        </a:xfrm>
        <a:prstGeom prst="rect">
          <a:avLst/>
        </a:prstGeom>
      </xdr:spPr>
    </xdr:pic>
    <xdr:clientData/>
  </xdr:twoCellAnchor>
  <xdr:twoCellAnchor editAs="oneCell">
    <xdr:from>
      <xdr:col>23</xdr:col>
      <xdr:colOff>247650</xdr:colOff>
      <xdr:row>20</xdr:row>
      <xdr:rowOff>19050</xdr:rowOff>
    </xdr:from>
    <xdr:to>
      <xdr:col>28</xdr:col>
      <xdr:colOff>295275</xdr:colOff>
      <xdr:row>31</xdr:row>
      <xdr:rowOff>42775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7F2086-EBA9-457B-8445-AAC0A6EA1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82700" y="4248150"/>
          <a:ext cx="3095625" cy="2128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333375</xdr:colOff>
      <xdr:row>77</xdr:row>
      <xdr:rowOff>28575</xdr:rowOff>
    </xdr:from>
    <xdr:to>
      <xdr:col>27</xdr:col>
      <xdr:colOff>47625</xdr:colOff>
      <xdr:row>86</xdr:row>
      <xdr:rowOff>143389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679DFC0-373A-4C7C-BAAF-4A5D25724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68425" y="10220325"/>
          <a:ext cx="2152650" cy="185788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9525</xdr:colOff>
      <xdr:row>11</xdr:row>
      <xdr:rowOff>19050</xdr:rowOff>
    </xdr:from>
    <xdr:to>
      <xdr:col>24</xdr:col>
      <xdr:colOff>560268</xdr:colOff>
      <xdr:row>20</xdr:row>
      <xdr:rowOff>186100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BF197-B1EB-4887-AE27-ED8D4101C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8800" y="2705100"/>
          <a:ext cx="4523227" cy="1881550"/>
        </a:xfrm>
        <a:prstGeom prst="rect">
          <a:avLst/>
        </a:prstGeom>
      </xdr:spPr>
    </xdr:pic>
    <xdr:clientData/>
  </xdr:twoCellAnchor>
  <xdr:twoCellAnchor editAs="oneCell">
    <xdr:from>
      <xdr:col>18</xdr:col>
      <xdr:colOff>771524</xdr:colOff>
      <xdr:row>30</xdr:row>
      <xdr:rowOff>85654</xdr:rowOff>
    </xdr:from>
    <xdr:to>
      <xdr:col>24</xdr:col>
      <xdr:colOff>330987</xdr:colOff>
      <xdr:row>40</xdr:row>
      <xdr:rowOff>47356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903477-3C45-4BDE-8497-12158FFE8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49274" y="6791254"/>
          <a:ext cx="4304033" cy="1866702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28574</xdr:colOff>
      <xdr:row>50</xdr:row>
      <xdr:rowOff>149752</xdr:rowOff>
    </xdr:from>
    <xdr:to>
      <xdr:col>24</xdr:col>
      <xdr:colOff>464953</xdr:colOff>
      <xdr:row>58</xdr:row>
      <xdr:rowOff>180547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A7D3E4-34A5-4065-B2BD-7E3B2A167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77849" y="10303402"/>
          <a:ext cx="4408863" cy="155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609600</xdr:colOff>
      <xdr:row>71</xdr:row>
      <xdr:rowOff>76201</xdr:rowOff>
    </xdr:from>
    <xdr:to>
      <xdr:col>25</xdr:col>
      <xdr:colOff>217437</xdr:colOff>
      <xdr:row>78</xdr:row>
      <xdr:rowOff>12563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627321D-7326-4D3C-A899-D3E957BA1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87350" y="14249401"/>
          <a:ext cx="4980496" cy="1269862"/>
        </a:xfrm>
        <a:prstGeom prst="rect">
          <a:avLst/>
        </a:prstGeom>
      </xdr:spPr>
    </xdr:pic>
    <xdr:clientData/>
  </xdr:twoCellAnchor>
  <xdr:twoCellAnchor editAs="oneCell">
    <xdr:from>
      <xdr:col>19</xdr:col>
      <xdr:colOff>485722</xdr:colOff>
      <xdr:row>90</xdr:row>
      <xdr:rowOff>130548</xdr:rowOff>
    </xdr:from>
    <xdr:to>
      <xdr:col>27</xdr:col>
      <xdr:colOff>67797</xdr:colOff>
      <xdr:row>105</xdr:row>
      <xdr:rowOff>172382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40E9DAC-056A-42AB-87F2-23F279C9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7457" y="17959107"/>
          <a:ext cx="5520632" cy="2899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120463</xdr:colOff>
      <xdr:row>120</xdr:row>
      <xdr:rowOff>116540</xdr:rowOff>
    </xdr:from>
    <xdr:to>
      <xdr:col>24</xdr:col>
      <xdr:colOff>679077</xdr:colOff>
      <xdr:row>135</xdr:row>
      <xdr:rowOff>56942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A10AB7-93A3-4310-9E17-A891F57A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570698" y="23682511"/>
          <a:ext cx="1634378" cy="2842725"/>
        </a:xfrm>
        <a:prstGeom prst="rect">
          <a:avLst/>
        </a:prstGeom>
      </xdr:spPr>
    </xdr:pic>
    <xdr:clientData/>
  </xdr:twoCellAnchor>
  <xdr:twoCellAnchor editAs="oneCell">
    <xdr:from>
      <xdr:col>19</xdr:col>
      <xdr:colOff>192180</xdr:colOff>
      <xdr:row>109</xdr:row>
      <xdr:rowOff>17370</xdr:rowOff>
    </xdr:from>
    <xdr:to>
      <xdr:col>21</xdr:col>
      <xdr:colOff>643778</xdr:colOff>
      <xdr:row>120</xdr:row>
      <xdr:rowOff>15856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FBCCB1D-6D71-43E3-A3D1-2B0B2B894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03915" y="21487841"/>
          <a:ext cx="1761565" cy="2093986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148</xdr:row>
      <xdr:rowOff>19050</xdr:rowOff>
    </xdr:from>
    <xdr:to>
      <xdr:col>28</xdr:col>
      <xdr:colOff>61152</xdr:colOff>
      <xdr:row>153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462D91B-396F-4FC3-B90B-9D7966CB6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192375" y="20421600"/>
          <a:ext cx="3623501" cy="1095375"/>
        </a:xfrm>
        <a:prstGeom prst="rect">
          <a:avLst/>
        </a:prstGeom>
      </xdr:spPr>
    </xdr:pic>
    <xdr:clientData/>
  </xdr:twoCellAnchor>
  <xdr:twoCellAnchor editAs="oneCell">
    <xdr:from>
      <xdr:col>18</xdr:col>
      <xdr:colOff>668992</xdr:colOff>
      <xdr:row>137</xdr:row>
      <xdr:rowOff>31377</xdr:rowOff>
    </xdr:from>
    <xdr:to>
      <xdr:col>22</xdr:col>
      <xdr:colOff>693645</xdr:colOff>
      <xdr:row>145</xdr:row>
      <xdr:rowOff>73711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28019B5-EEFD-46D0-8EC6-0A7ABD36A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107521" y="26880671"/>
          <a:ext cx="2790825" cy="1566334"/>
        </a:xfrm>
        <a:prstGeom prst="rect">
          <a:avLst/>
        </a:prstGeom>
      </xdr:spPr>
    </xdr:pic>
    <xdr:clientData/>
  </xdr:twoCellAnchor>
  <xdr:twoCellAnchor editAs="oneCell">
    <xdr:from>
      <xdr:col>23</xdr:col>
      <xdr:colOff>95250</xdr:colOff>
      <xdr:row>158</xdr:row>
      <xdr:rowOff>38100</xdr:rowOff>
    </xdr:from>
    <xdr:to>
      <xdr:col>27</xdr:col>
      <xdr:colOff>108069</xdr:colOff>
      <xdr:row>175</xdr:row>
      <xdr:rowOff>85724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16B83B7-2DEB-4B31-A64A-81DAB0BA1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182850" y="21031200"/>
          <a:ext cx="3070344" cy="3295650"/>
        </a:xfrm>
        <a:prstGeom prst="rect">
          <a:avLst/>
        </a:prstGeom>
      </xdr:spPr>
    </xdr:pic>
    <xdr:clientData/>
  </xdr:twoCellAnchor>
  <xdr:twoCellAnchor editAs="oneCell">
    <xdr:from>
      <xdr:col>23</xdr:col>
      <xdr:colOff>85726</xdr:colOff>
      <xdr:row>239</xdr:row>
      <xdr:rowOff>161926</xdr:rowOff>
    </xdr:from>
    <xdr:to>
      <xdr:col>27</xdr:col>
      <xdr:colOff>171451</xdr:colOff>
      <xdr:row>250</xdr:row>
      <xdr:rowOff>4810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2023051-B67C-4988-8D5B-B40DAA671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173326" y="24441151"/>
          <a:ext cx="3143250" cy="193838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136122</xdr:colOff>
      <xdr:row>2</xdr:row>
      <xdr:rowOff>47625</xdr:rowOff>
    </xdr:from>
    <xdr:to>
      <xdr:col>33</xdr:col>
      <xdr:colOff>255863</xdr:colOff>
      <xdr:row>10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016DE4-5B21-47EF-BA5A-97027165D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24122" y="752475"/>
          <a:ext cx="6491966" cy="1609725"/>
        </a:xfrm>
        <a:prstGeom prst="rect">
          <a:avLst/>
        </a:prstGeom>
      </xdr:spPr>
    </xdr:pic>
    <xdr:clientData/>
  </xdr:twoCellAnchor>
  <xdr:twoCellAnchor editAs="oneCell">
    <xdr:from>
      <xdr:col>23</xdr:col>
      <xdr:colOff>145222</xdr:colOff>
      <xdr:row>11</xdr:row>
      <xdr:rowOff>66675</xdr:rowOff>
    </xdr:from>
    <xdr:to>
      <xdr:col>32</xdr:col>
      <xdr:colOff>265330</xdr:colOff>
      <xdr:row>22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46AB4D-0009-4965-9752-4A22B2428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433222" y="2514600"/>
          <a:ext cx="5882733" cy="2095500"/>
        </a:xfrm>
        <a:prstGeom prst="rect">
          <a:avLst/>
        </a:prstGeom>
      </xdr:spPr>
    </xdr:pic>
    <xdr:clientData/>
  </xdr:twoCellAnchor>
  <xdr:twoCellAnchor editAs="oneCell">
    <xdr:from>
      <xdr:col>23</xdr:col>
      <xdr:colOff>276225</xdr:colOff>
      <xdr:row>23</xdr:row>
      <xdr:rowOff>0</xdr:rowOff>
    </xdr:from>
    <xdr:to>
      <xdr:col>32</xdr:col>
      <xdr:colOff>531982</xdr:colOff>
      <xdr:row>36</xdr:row>
      <xdr:rowOff>86644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6C01473-9148-46B0-A00B-47627D557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20775" y="8780523"/>
          <a:ext cx="6018382" cy="258219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chael Sutherland" id="{FCF67650-D879-439C-949C-B9B3AE940085}" userId="S::msutherland@jmsequipment.com::72cb34fc-42ff-4abf-88e4-b4685719b9b9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2256BA3-BBAF-433F-87BF-A1744CB7233A}" autoFormatId="16" applyNumberFormats="0" applyBorderFormats="0" applyFontFormats="0" applyPatternFormats="0" applyAlignmentFormats="0" applyWidthHeightFormats="0">
  <queryTableRefresh nextId="133">
    <queryTableFields count="13">
      <queryTableField id="110" name="Description" tableColumnId="110"/>
      <queryTableField id="111" name="Material" tableColumnId="111"/>
      <queryTableField id="124" name="ThicknessIn" tableColumnId="1"/>
      <queryTableField id="125" name="ThicknessGauge" tableColumnId="2"/>
      <queryTableField id="114" name="Standard Widths" tableColumnId="114"/>
      <queryTableField id="115" name="Standard Lengths" tableColumnId="115"/>
      <queryTableField id="116" name="Process" tableColumnId="116"/>
      <queryTableField id="117" name="ASTM" tableColumnId="117"/>
      <queryTableField id="118" name="Finish" tableColumnId="118"/>
      <queryTableField id="126" name="FinalPrice" tableColumnId="3"/>
      <queryTableField id="127" name="QuoteDate" tableColumnId="4"/>
      <queryTableField id="128" name="Vendor" tableColumnId="5"/>
      <queryTableField id="132" name="Merged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6EF8B58-883D-4DBF-9297-43FAA2ECCA89}" autoFormatId="16" applyNumberFormats="0" applyBorderFormats="0" applyFontFormats="0" applyPatternFormats="0" applyAlignmentFormats="0" applyWidthHeightFormats="0">
  <queryTableRefresh nextId="21">
    <queryTableFields count="9">
      <queryTableField id="11" name="PartNum" tableColumnId="1"/>
      <queryTableField id="12" name="PartDescription" tableColumnId="2"/>
      <queryTableField id="7" name="Vendor_Name" tableColumnId="7"/>
      <queryTableField id="3" name="Part_ClassID" tableColumnId="3"/>
      <queryTableField id="13" name="UnitCost" tableColumnId="4"/>
      <queryTableField id="19" name="PODetail_PUM" tableColumnId="9"/>
      <queryTableField id="14" name="PONUM" tableColumnId="5"/>
      <queryTableField id="15" name="OrderDate" tableColumnId="6"/>
      <queryTableField id="16" name="CommentText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4F89374-B81E-4E03-81B7-D7E887DBDBCC}" autoFormatId="16" applyNumberFormats="0" applyBorderFormats="0" applyFontFormats="0" applyPatternFormats="0" applyAlignmentFormats="0" applyWidthHeightFormats="0">
  <queryTableRefresh nextId="15">
    <queryTableFields count="8">
      <queryTableField id="1" name="Part_PartNum" tableColumnId="1"/>
      <queryTableField id="2" name="Part_PartDescription" tableColumnId="2"/>
      <queryTableField id="3" name="Vendor_Name" tableColumnId="3"/>
      <queryTableField id="4" name="Part_ClassID" tableColumnId="4"/>
      <queryTableField id="9" name="Unit_Cost" tableColumnId="5"/>
      <queryTableField id="10" name="PO_NUM" tableColumnId="6"/>
      <queryTableField id="11" name="Order_Date" tableColumnId="7"/>
      <queryTableField id="8" name="Part_CommentText" tableColumnId="8"/>
    </queryTableFields>
  </queryTableRefresh>
</queryTable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4787D4-AF92-45A1-8BEC-7386220E40F2}" name="TU_LENGTHS" displayName="TU_LENGTHS" ref="CB2:CB9" totalsRowShown="0" headerRowDxfId="188" dataDxfId="186" headerRowBorderDxfId="187" tableBorderDxfId="185" totalsRowBorderDxfId="184" headerRowCellStyle="Normal 8" dataCellStyle="Normal 8">
  <autoFilter ref="CB2:CB9" xr:uid="{EF4787D4-AF92-45A1-8BEC-7386220E40F2}">
    <filterColumn colId="0" hiddenButton="1"/>
  </autoFilter>
  <tableColumns count="1">
    <tableColumn id="1" xr3:uid="{E22379D6-A166-48DD-8E94-9B8A970CE233}" name="Take Up Lengths" dataDxfId="183" dataCellStyle="Normal 8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BE03AE6-9CC3-4F14-A273-60591CF1695F}" name="LAG_TDES" displayName="LAG_TDES" ref="B8:C11" totalsRowShown="0" headerRowDxfId="182" headerRowBorderDxfId="181" tableBorderDxfId="180" totalsRowBorderDxfId="179" headerRowCellStyle="Normal 8">
  <autoFilter ref="B8:C11" xr:uid="{CBE03AE6-9CC3-4F14-A273-60591CF1695F}">
    <filterColumn colId="0" hiddenButton="1"/>
    <filterColumn colId="1" hiddenButton="1"/>
  </autoFilter>
  <tableColumns count="2">
    <tableColumn id="1" xr3:uid="{606865A4-8DA4-43CB-923E-0241005C7800}" name="THICKNESS" dataDxfId="178" dataCellStyle="Normal 8"/>
    <tableColumn id="2" xr3:uid="{5815CD70-36C9-498B-84FE-7876DCD9064F}" name="DESIGNATION" dataDxfId="177" dataCellStyle="Normal 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3EBCF5F-7E50-4F3A-82EF-AC36FE985E17}" name="PP_COST" displayName="PP_COST" ref="A46:K84" totalsRowShown="0" headerRowDxfId="164" headerRowCellStyle="Currency">
  <autoFilter ref="A46:K84" xr:uid="{63EBCF5F-7E50-4F3A-82EF-AC36FE985E17}"/>
  <tableColumns count="11">
    <tableColumn id="1" xr3:uid="{FBB212A4-7669-47BF-8998-E38137BB99F4}" name="PART NUMBER" totalsRowDxfId="163" dataCellStyle="Normal 4" totalsRowCellStyle="Normal 4"/>
    <tableColumn id="2" xr3:uid="{659626DD-E6BF-42E2-BC79-E801A7E7C294}" name="THICKNESS" totalsRowDxfId="162" dataCellStyle="Normal 4" totalsRowCellStyle="Normal 4"/>
    <tableColumn id="3" xr3:uid="{6CB164C1-AC3B-4B90-8FC9-727759C9351F}" name="PART DESCRIPTION" totalsRowDxfId="161" dataCellStyle="Normal 4" totalsRowCellStyle="Normal 4"/>
    <tableColumn id="4" xr3:uid="{BCE12A46-76F7-4183-A4CB-07C69824684E}" name="QTY" dataDxfId="160" totalsRowDxfId="159" dataCellStyle="Currency" totalsRowCellStyle="Currency">
      <calculatedColumnFormula>SUMIF('TAIL-HEAD SECTIONS'!B$91:B$121,BOM!A47,'TAIL-HEAD SECTIONS'!H$91:H$121)+SUMIF(STANDARDS!B$235:B$322,BOM!A47,STANDARDS!H$235:H$322)+SUMIF('COST PER FT'!B$138:B$164,BOM!A47,'COST PER FT'!H$138:H$164)</calculatedColumnFormula>
    </tableColumn>
    <tableColumn id="5" xr3:uid="{D4B1B48D-C22C-4E4C-9E17-48E62A97E7E4}" name="UOM" totalsRowDxfId="158"/>
    <tableColumn id="6" xr3:uid="{C07517F4-E43A-4BE2-8594-5441DD00C26E}" name="UNIT COST" dataDxfId="157" totalsRowDxfId="156" dataCellStyle="Currency" totalsRowCellStyle="Currency"/>
    <tableColumn id="7" xr3:uid="{19DD4051-D10C-4200-82AC-F3C4E9C2EDDF}" name="COST" dataDxfId="155" totalsRowDxfId="154">
      <calculatedColumnFormula>D47*F47</calculatedColumnFormula>
    </tableColumn>
    <tableColumn id="8" xr3:uid="{02B91ABE-0E22-4F14-9AE2-3DA9CC26D47F}" name="RANK" totalsRowDxfId="153">
      <calculatedColumnFormula>RANK(G47,G$47:G$84,0)</calculatedColumnFormula>
    </tableColumn>
    <tableColumn id="9" xr3:uid="{849731F2-7F6A-43A1-BE48-33247F3406E9}" name="VENDOR">
      <calculatedColumnFormula array="1">_xlfn.IFNA(_xlfn.XLOOKUP(PP_COST[[#This Row],[PART NUMBER]],PC_500[[#All],[Part_PartNum]],PC_500[[#All],[Vendor_Name]]),"")</calculatedColumnFormula>
    </tableColumn>
    <tableColumn id="10" xr3:uid="{2B539E40-189A-46F2-A7D3-AEE2F35FE6D0}" name="PO DATE" dataDxfId="152">
      <calculatedColumnFormula array="1">_xlfn.IFNA(_xlfn.XLOOKUP(PP_COST[[#This Row],[PART NUMBER]],PC_500[[#All],[Part_PartNum]],PC_500[[#All],[Order_Date]]),"")</calculatedColumnFormula>
    </tableColumn>
    <tableColumn id="11" xr3:uid="{B03F4AA9-0027-4A93-949A-DFAD1D8F7203}" name="PO NUMBER" dataDxfId="151">
      <calculatedColumnFormula array="1">_xlfn.IFNA(_xlfn.XLOOKUP(PP_COST[[#This Row],[PART NUMBER]],PC_500[[#All],[Part_PartNum]],PC_500[[#All],[PO_NUM]]),"")</calculatedColumnFormula>
    </tableColumn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B62844C-4008-415A-BFAB-B06ACC452C02}" name="MET_TBL" displayName="MET_TBL" ref="A2:H27" totalsRowShown="0" headerRowDxfId="150" headerRowCellStyle="Normal 4">
  <autoFilter ref="A2:H27" xr:uid="{2B62844C-4008-415A-BFAB-B06ACC452C02}"/>
  <tableColumns count="8">
    <tableColumn id="1" xr3:uid="{A4078CED-FF71-42EF-A44B-0D25D52516A4}" name="PART NUMBER"/>
    <tableColumn id="2" xr3:uid="{C7B37B4D-F453-40E9-B098-EDC5FDD80D7E}" name="THICKNESS"/>
    <tableColumn id="3" xr3:uid="{9B0630AC-56A4-4E95-AF18-0C130EF42B86}" name="PART DESCRIPTION">
      <calculatedColumnFormula array="1">_xlfn.XLOOKUP(A3,RAW_100[[#All],[PartNum]],RAW_100[[#All],[PartDescription]])</calculatedColumnFormula>
    </tableColumn>
    <tableColumn id="4" xr3:uid="{B332D620-6B5C-481D-960C-829BE1399550}" name="QTY" dataDxfId="149">
      <calculatedColumnFormula>SUMIF('TAIL-HEAD SECTIONS'!B$92:B$101,BOM!A3,'TAIL-HEAD SECTIONS'!H$92:H$101)+SUMIF(STANDARDS!B$236:B$251,BOM!A3,STANDARDS!H$236:H$251)+SUMIF('COST PER FT'!B$139:B$143,BOM!A3,'COST PER FT'!H$139:H$144)</calculatedColumnFormula>
    </tableColumn>
    <tableColumn id="5" xr3:uid="{02EF9844-9EC1-4255-8F60-E2CD8EB5E56A}" name="UOM" dataDxfId="148"/>
    <tableColumn id="6" xr3:uid="{A492445A-ED14-4241-81D0-49EF0735A92B}" name="UNIT COST" dataDxfId="147" dataCellStyle="Currency">
      <calculatedColumnFormula array="1">_xlfn.XLOOKUP(A3,RAW_100[[#All],[PartNum]],RAW_100[[#All],[UnitCost]])</calculatedColumnFormula>
    </tableColumn>
    <tableColumn id="7" xr3:uid="{CDA3C535-59BD-4261-A071-E1C058DCF0B1}" name="COST" dataDxfId="146">
      <calculatedColumnFormula>D3*F3</calculatedColumnFormula>
    </tableColumn>
    <tableColumn id="8" xr3:uid="{9B73CFFC-9723-4BA7-8F48-F21A57E626CE}" name="RANK">
      <calculatedColumnFormula>RANK(G3,G$3:G$27,0)</calculatedColumnFormula>
    </tableColumn>
  </tableColumns>
  <tableStyleInfo name="Purchased_TB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D802D0-EEDA-4958-B385-4125B7597AF6}" name="NMET_TBL" displayName="NMET_TBL" ref="A32:H41" totalsRowShown="0" headerRowDxfId="145" headerRowCellStyle="Normal 4">
  <autoFilter ref="A32:H41" xr:uid="{A0D802D0-EEDA-4958-B385-4125B7597AF6}"/>
  <tableColumns count="8">
    <tableColumn id="1" xr3:uid="{B4E0F319-5625-4E9C-B203-41482DB5EC6F}" name="PART NUMBER"/>
    <tableColumn id="2" xr3:uid="{385B52E4-8BD1-424C-99B4-6F83B6E913EB}" name="THICKNESS"/>
    <tableColumn id="3" xr3:uid="{21405145-F81F-4711-9B64-4A7090471FEE}" name="PART DESCRIPTION"/>
    <tableColumn id="4" xr3:uid="{C0D6D51D-A3FD-472F-BDA8-F25CD0976CC0}" name="QTY" dataDxfId="144" dataCellStyle="Currency">
      <calculatedColumnFormula>SUMIF('TAIL-HEAD SECTIONS'!B$91:B$121,BOM!A33,'TAIL-HEAD SECTIONS'!H$91:H$121)+SUMIF(STANDARDS!B$235:B$322,BOM!A33,STANDARDS!H$235:H$322)+SUMIF('COST PER FT'!B$138:B$164,BOM!A33,'COST PER FT'!H$138:H$164)</calculatedColumnFormula>
    </tableColumn>
    <tableColumn id="5" xr3:uid="{0E7B6BF3-B42A-4356-892B-0885A2075E4C}" name="UOM" dataDxfId="143">
      <calculatedColumnFormula array="1">_xlfn.XLOOKUP(BOM!A33,RAW_100[[#All],[PartNum]],RAW_100[[#All],[PODetail_PUM]])</calculatedColumnFormula>
    </tableColumn>
    <tableColumn id="6" xr3:uid="{6D4C81BF-FBA6-4F54-A1D1-2AF583E4EC6E}" name="UNIT COST" dataDxfId="142" dataCellStyle="Currency">
      <calculatedColumnFormula array="1">_xlfn.XLOOKUP(BOM!A33,RAW_100[[#All],[PartNum]],RAW_100[[#All],[UnitCost]])</calculatedColumnFormula>
    </tableColumn>
    <tableColumn id="7" xr3:uid="{27D9933C-FCBF-45B8-BCF8-1B20216B3168}" name="COST" dataDxfId="141" dataCellStyle="Currency">
      <calculatedColumnFormula>D33*F33</calculatedColumnFormula>
    </tableColumn>
    <tableColumn id="8" xr3:uid="{4B76EFF2-4736-4577-A557-091EDBC461AE}" name="RANK">
      <calculatedColumnFormula>RANK(G33,G$33:G$41,0)</calculatedColumnFormula>
    </tableColumn>
  </tableColumns>
  <tableStyleInfo name="Purchased_TB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18F8CAC-8280-47D9-A056-077064B74F3A}" name="HW_COST" displayName="HW_COST" ref="A91:I119" totalsRowShown="0" headerRowDxfId="140" headerRowCellStyle="Normal 4">
  <autoFilter ref="A91:I119" xr:uid="{918F8CAC-8280-47D9-A056-077064B74F3A}"/>
  <tableColumns count="9">
    <tableColumn id="1" xr3:uid="{91AE73D5-03F0-4DB7-8A03-B43D91F2E1A7}" name="PART NUMBER" dataCellStyle="Normal 4"/>
    <tableColumn id="2" xr3:uid="{1DF2C9E1-DB8F-44D4-9235-C8B85267B86F}" name="THICKNESS" dataCellStyle="Normal 4"/>
    <tableColumn id="3" xr3:uid="{B4988D9D-6869-4E8D-A259-96C6E533DDB2}" name="PART DESCRIPTION" dataCellStyle="Normal 4"/>
    <tableColumn id="4" xr3:uid="{66628CB4-5972-40EA-A98F-D3BE85FDBEED}" name="QTY" dataDxfId="139" dataCellStyle="Currency">
      <calculatedColumnFormula>SUMIF('TAIL-HEAD SECTIONS'!B$91:B$121,BOM!A92,'TAIL-HEAD SECTIONS'!H$91:H$121)+SUMIF(STANDARDS!B$235:B$322,BOM!A92,STANDARDS!H$235:H$322)+SUMIF('COST PER FT'!B$138:B$164,BOM!A92,'COST PER FT'!H$138:H$164)</calculatedColumnFormula>
    </tableColumn>
    <tableColumn id="5" xr3:uid="{7631AEE3-6C6E-4637-8BB3-5A01F11D33DB}" name="UOM"/>
    <tableColumn id="6" xr3:uid="{609DDA6A-CD6E-470E-AD64-1CB3ECC8D141}" name="UNIT COST" dataDxfId="138" dataCellStyle="Currency"/>
    <tableColumn id="7" xr3:uid="{090E045A-88F6-4365-BF7E-E25C9862F173}" name="COST" dataDxfId="137">
      <calculatedColumnFormula>D92*F92</calculatedColumnFormula>
    </tableColumn>
    <tableColumn id="8" xr3:uid="{F7734119-568E-4F82-9F86-61C79929899E}" name="RANK">
      <calculatedColumnFormula>RANK(G92,G$92:G$119,0)</calculatedColumnFormula>
    </tableColumn>
    <tableColumn id="9" xr3:uid="{2F9A6573-F040-4770-A29F-666CA4D10335}" name="Column1" dataDxfId="136"/>
  </tableColumns>
  <tableStyleInfo name="Purchased_TB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060C65-6FCB-4C28-8876-B6458F163092}" name="MET_PRICE" displayName="MET_PRICE" ref="A2:M51" totalsRowShown="0" headerRowDxfId="135" headerRowBorderDxfId="134" tableBorderDxfId="133" totalsRowBorderDxfId="132" headerRowCellStyle="Normal 4">
  <autoFilter ref="A2:M51" xr:uid="{01060C65-6FCB-4C28-8876-B6458F163092}"/>
  <tableColumns count="13">
    <tableColumn id="1" xr3:uid="{2C0D50B8-1652-4BF3-AFAB-89759F9AA193}" name="Description" dataDxfId="131" dataCellStyle="Normal 4"/>
    <tableColumn id="2" xr3:uid="{47F1A3F8-CF38-4E4F-8F1A-1BC62D96A60F}" name="Part Number" dataDxfId="130" dataCellStyle="Normal 4"/>
    <tableColumn id="3" xr3:uid="{2E105D3F-1055-434F-BD73-4308BEB8A882}" name="Material" dataDxfId="129" dataCellStyle="Normal 4"/>
    <tableColumn id="4" xr3:uid="{E07D5BFF-34A7-4B66-B872-58503E3F6B91}" name="Thickness" dataDxfId="128" dataCellStyle="Normal 4"/>
    <tableColumn id="5" xr3:uid="{53A81F56-5B50-4D08-987E-82DE4F651FA3}" name="Thickness2" dataDxfId="127" dataCellStyle="Normal 4"/>
    <tableColumn id="6" xr3:uid="{2A9C033E-5669-41EA-9C8A-FD100C58FA8E}" name="Standard Widths" dataDxfId="126" dataCellStyle="Normal 4"/>
    <tableColumn id="7" xr3:uid="{CA9CEDFB-B00B-4F70-8DA5-36DF754056CA}" name="Standard Lengths" dataDxfId="125" dataCellStyle="Normal 4"/>
    <tableColumn id="8" xr3:uid="{7B1A845E-80A2-47B8-846E-435FB03176F2}" name="Process" dataDxfId="124" dataCellStyle="Normal 4"/>
    <tableColumn id="9" xr3:uid="{1F90084D-5783-4716-94D2-11AE6D0F8E90}" name="ASTM" dataDxfId="123" dataCellStyle="Normal 4"/>
    <tableColumn id="10" xr3:uid="{703A7B27-DA27-4F3E-8886-DF3B4FC28A6B}" name="Finish" dataDxfId="122" dataCellStyle="Normal 4"/>
    <tableColumn id="11" xr3:uid="{C78AACCA-9374-4DDB-8F58-9FB301099989}" name="Price ($/lb) Domestic" dataDxfId="121"/>
    <tableColumn id="12" xr3:uid="{DCEDE102-50C9-4A36-A5D7-ABAAE9B7314E}" name="Quote _x000a_Date" dataDxfId="120"/>
    <tableColumn id="13" xr3:uid="{0262C50C-84D5-47D8-A9B2-6577C3997684}" name="Code Name" dataDxfId="119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3B23C7-9788-43B4-9BB5-9614A28BD1E6}" name="SM_TBL" displayName="SM_TBL" ref="A56:F70" totalsRowShown="0" headerRowDxfId="118" dataDxfId="116" headerRowBorderDxfId="117" tableBorderDxfId="115" totalsRowBorderDxfId="114" dataCellStyle="Currency">
  <autoFilter ref="A56:F70" xr:uid="{003B23C7-9788-43B4-9BB5-9614A28BD1E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FD36BAF-DD4F-4722-9DB9-8205FE4C5E82}" name="Size" dataDxfId="113" dataCellStyle="Normal 4"/>
    <tableColumn id="2" xr3:uid="{09354426-B743-4B81-A631-BF775F9E8F6D}" name="Thickness" dataDxfId="112" dataCellStyle="Normal 4"/>
    <tableColumn id="3" xr3:uid="{A5691474-AF50-4535-A0AD-EF8D830F76AA}" name="304 SS" dataDxfId="111" dataCellStyle="Currency"/>
    <tableColumn id="4" xr3:uid="{21CCF875-BE42-4913-9A69-3B85795923FC}" name="304L SS" dataDxfId="110" dataCellStyle="Currency"/>
    <tableColumn id="5" xr3:uid="{B63070BA-903E-4FA9-B68A-D2F95733AB41}" name="316L SS" dataDxfId="109" dataCellStyle="Currency"/>
    <tableColumn id="6" xr3:uid="{BBB0C958-E8A4-4770-AC5E-A17965F99395}" name="MoC_PN" dataDxfId="108" dataCellStyle="Currency">
      <calculatedColumnFormula>IF(MoC="304 SS",C57,IF(MoC="304L",D57,E57))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1DB4DD-748D-4741-BB37-5E5A05BFE58E}" name="PIPE" displayName="PIPE" ref="A74:F79" totalsRowShown="0" headerRowDxfId="107" headerRowBorderDxfId="106" tableBorderDxfId="105" dataCellStyle="Normal 4">
  <autoFilter ref="A74:F79" xr:uid="{F01DB4DD-748D-4741-BB37-5E5A05BFE5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E0E8ADD-84EC-49D0-9EF7-6414EF8F85A1}" name="Diameter" dataDxfId="104" dataCellStyle="Normal 4"/>
    <tableColumn id="2" xr3:uid="{E0124939-50B7-4D62-817A-53B47BBDE3B8}" name="Schedule" dataDxfId="103" dataCellStyle="Normal 4"/>
    <tableColumn id="3" xr3:uid="{E6D9383F-125C-4213-B00C-12E8DED002F6}" name="304 SS" dataCellStyle="Normal 4"/>
    <tableColumn id="4" xr3:uid="{A493D042-ED89-4B13-8D0C-AE31BC4D847F}" name="304L SS" dataCellStyle="Normal 4"/>
    <tableColumn id="5" xr3:uid="{2307B555-74F0-43AD-9336-72BCA4689DBD}" name="316L SS" dataCellStyle="Normal 4"/>
    <tableColumn id="6" xr3:uid="{D4371A9E-9839-4C7E-9B39-A5BF9AA8929A}" name="MoC_PN" dataDxfId="102" dataCellStyle="Normal 4">
      <calculatedColumnFormula>IF(MoC="304 SS",C75,IF(MoC="304L",D75,E75))</calculatedColumnFormula>
    </tableColumn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3C8A208-9404-4BA0-BB70-9EE73A7C674B}" name="R_BAR" displayName="R_BAR" ref="A83:F92" totalsRowShown="0" headerRowDxfId="101" headerRowBorderDxfId="100" tableBorderDxfId="99">
  <autoFilter ref="A83:F92" xr:uid="{53C8A208-9404-4BA0-BB70-9EE73A7C67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5BB42AE2-3228-42FA-A9F2-8468F13A6EBB}" name="Diameter" dataDxfId="98"/>
    <tableColumn id="2" xr3:uid="{40E940D8-37A1-429A-9C5E-48AB7C512835}" name="Column1"/>
    <tableColumn id="3" xr3:uid="{5B60670F-5159-4C81-B0D6-8736FCA5DE40}" name="304 SS"/>
    <tableColumn id="4" xr3:uid="{1C3D438A-F38E-4375-8D52-943B468BDFD9}" name="304L SS"/>
    <tableColumn id="5" xr3:uid="{49B4C2E1-F970-426C-9882-8FDD9E2D843E}" name="316L SS"/>
    <tableColumn id="6" xr3:uid="{02E01170-1AF8-40B1-BCD2-4775649C61F4}" name="MoC_PN" dataDxfId="97">
      <calculatedColumnFormula>IF(MoC="304 SS",C84,IF(MoC="304L",D84,E84))</calculatedColumnFormula>
    </tableColumn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1CDBAF-97E1-4589-BCA7-DD569F6BFD3D}" name="Table12" displayName="Table12" ref="A96:F97" totalsRowShown="0" headerRowDxfId="96" headerRowBorderDxfId="95" tableBorderDxfId="94" dataCellStyle="Normal 4">
  <autoFilter ref="A96:F97" xr:uid="{641CDBAF-97E1-4589-BCA7-DD569F6BFD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4BEFB67-692E-46DF-9C84-5268F863FD9C}" name="SIZE" dataDxfId="93" dataCellStyle="Normal 4"/>
    <tableColumn id="2" xr3:uid="{B5062874-1E4B-4F65-9E46-9750B68279F8}" name="Column1" dataDxfId="92" dataCellStyle="Normal 4"/>
    <tableColumn id="3" xr3:uid="{30CBC2F9-945B-4FC2-AB1D-2F8791EC27C3}" name="304 SS" dataCellStyle="Normal 4"/>
    <tableColumn id="4" xr3:uid="{8B576E26-D467-4F52-B33F-70B3F9661003}" name="304L SS" dataCellStyle="Normal 4"/>
    <tableColumn id="5" xr3:uid="{EEECEDD2-76A6-462C-81C7-2AD9E7A6D47A}" name="316L SS" dataCellStyle="Normal 4"/>
    <tableColumn id="6" xr3:uid="{67E918F1-694E-4F47-9615-6D3ACD0DACA7}" name="MoC_PN" dataDxfId="91" dataCellStyle="Normal 4">
      <calculatedColumnFormula>IF(MoC="304 SS",C97,IF(MoC="304L",D97,E97))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54ED56-B227-4DFE-B6B7-EEDD6B2BCF05}" name="TROUGHING_IDLER" displayName="TROUGHING_IDLER" ref="T5:Z10" totalsRowShown="0" headerRowDxfId="89" headerRowCellStyle="Normal 4" dataCellStyle="Normal 4">
  <autoFilter ref="T5:Z10" xr:uid="{8854ED56-B227-4DFE-B6B7-EEDD6B2BCF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E90B43D-082D-40B7-B1A3-6BC3F4B35FEF}" name="WIDTH" dataDxfId="88" dataCellStyle="Normal 4"/>
    <tableColumn id="2" xr3:uid="{A80A8D50-6B61-4E58-BE49-80A4F620170C}" name="IF_LEN" dataDxfId="87" dataCellStyle="Normal 4"/>
    <tableColumn id="3" xr3:uid="{6AC03478-07A6-47FF-A85E-2C6E51BA51B8}" name="IFL_LEN" dataDxfId="86" dataCellStyle="Normal 4"/>
    <tableColumn id="4" xr3:uid="{EC0D84EA-FD55-4854-85B4-6038363FC055}" name="MR_PN" dataCellStyle="Normal 4"/>
    <tableColumn id="5" xr3:uid="{30742688-5AFC-4002-992A-FC28C7C8AFC2}" name="MR_COST" dataCellStyle="Normal 4"/>
    <tableColumn id="6" xr3:uid="{2E189990-4EF3-4C24-86BF-3668FF0F1DEE}" name="MR_DESC" dataCellStyle="Normal 4"/>
    <tableColumn id="7" xr3:uid="{8FA2A30F-C516-4F72-99BD-108A2AE43CFD}" name="TI_DESC" dataCellStyle="Normal 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8FD1E7-7A58-4AFF-AA3E-C86D0343558F}" name="RET_IDL" displayName="RET_IDL" ref="T25:X30" totalsRowShown="0" headerRowDxfId="85" headerRowCellStyle="Normal 4" dataCellStyle="Normal 4">
  <autoFilter ref="T25:X30" xr:uid="{B48FD1E7-7A58-4AFF-AA3E-C86D0343558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EAA3C2B-EA74-4A9C-ACBE-C8B5C37935B9}" name="WIDTH" dataDxfId="84" dataCellStyle="Normal 4"/>
    <tableColumn id="2" xr3:uid="{2A8BC761-1286-4CF5-8E32-46CBC3056A95}" name="RI_PN" dataCellStyle="Normal 4"/>
    <tableColumn id="3" xr3:uid="{1DD3E81A-8397-40E5-9232-603BC926BCD1}" name="RI_COST" dataCellStyle="Normal 4"/>
    <tableColumn id="4" xr3:uid="{17CB24BC-5900-4256-894E-6E465457D639}" name="RI_DESC" dataCellStyle="Normal 4"/>
    <tableColumn id="5" xr3:uid="{374154C9-4EC1-4775-8F13-4A4A312AA258}" name="RIA_DESC" dataCellStyle="Normal 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6C5198-353B-43B7-B8B8-338C82C71FB0}" name="FLAT_I_TBL" displayName="FLAT_I_TBL" ref="T45:Y50" totalsRowShown="0" headerRowDxfId="83" headerRowCellStyle="Normal 4" dataCellStyle="Normal 4">
  <autoFilter ref="T45:Y50" xr:uid="{E86C5198-353B-43B7-B8B8-338C82C71F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57BCD7EF-58D0-4323-8B25-CF10557E4428}" name="WIDTH" dataDxfId="82" dataCellStyle="Normal 4"/>
    <tableColumn id="2" xr3:uid="{DA777C0F-A212-4953-860C-852763355898}" name="FI_PN" dataCellStyle="Normal 4"/>
    <tableColumn id="3" xr3:uid="{7692867B-59E6-4908-B5E3-5A4244DF7610}" name="FI_WT" dataCellStyle="Normal 4"/>
    <tableColumn id="4" xr3:uid="{4D770617-9381-4726-ACED-0B2D3555D30E}" name="FI_COST" dataCellStyle="Normal 4"/>
    <tableColumn id="5" xr3:uid="{1E713941-CD37-4F47-A61C-91136F6747AB}" name="FI_DESC" dataCellStyle="Normal 4"/>
    <tableColumn id="6" xr3:uid="{D8E4715E-5F9F-445F-9B27-16DCF7351FB8}" name="FIA_DESC" dataCellStyle="Normal 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1804833-D0D5-40AF-AB41-B4392A35FA50}" name="TU_TBL" displayName="TU_TBL" ref="T63:Y70" totalsRowShown="0" headerRowCellStyle="Normal 4" dataCellStyle="Normal 4">
  <autoFilter ref="T63:Y70" xr:uid="{B1804833-D0D5-40AF-AB41-B4392A35FA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6" xr3:uid="{3E6FC9E0-3E7B-4E1A-995B-3949C0C15CA1}" name="TU_LEN" dataDxfId="81" dataCellStyle="Normal 4"/>
    <tableColumn id="1" xr3:uid="{23EE9864-A7F6-4C5E-9AC9-445A2B09B623}" name="ATR_DESC" dataCellStyle="Normal 4"/>
    <tableColumn id="2" xr3:uid="{B9A7BB2B-3B12-41C1-B976-942BC27B3764}" name="ATR_WT" dataCellStyle="Normal 4"/>
    <tableColumn id="3" xr3:uid="{2ACE005E-C237-4D8E-A93D-AE5E8EBEE66A}" name="ATR_COST" dataCellStyle="Normal 4"/>
    <tableColumn id="4" xr3:uid="{C65BA4FE-C811-4DA0-A741-E11E665CD9EF}" name="SA_DESC" dataCellStyle="Normal 4"/>
    <tableColumn id="5" xr3:uid="{E75790DB-8130-47ED-A6DF-C55BE4D1B551}" name="SA_LENGTH" dataCellStyle="Normal 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122343-9E4D-4E8E-BE1A-45623375FCE0}" name="BSA_TBL" displayName="BSA_TBL" ref="T84:Y90" totalsRowShown="0" headerRowCellStyle="Normal 4" dataCellStyle="Normal 4">
  <autoFilter ref="T84:Y90" xr:uid="{1E122343-9E4D-4E8E-BE1A-45623375FC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40512009-C31A-421A-B201-2F9ED2B07D2B}" name="WIDTH" dataCellStyle="Normal 4"/>
    <tableColumn id="6" xr3:uid="{F607A596-371F-4DB0-8056-89BF3EBAD8C0}" name="BSA_DESC" dataCellStyle="Normal 4"/>
    <tableColumn id="2" xr3:uid="{6452E5EC-3B50-4A03-8F7C-AEEACC89BC68}" name="BM_DESC" dataCellStyle="Normal 4"/>
    <tableColumn id="3" xr3:uid="{CC5141AA-F54E-4CAA-9FA7-808B6629D3B1}" name="BM_LEN" dataCellStyle="Normal 4"/>
    <tableColumn id="4" xr3:uid="{EB3BFFC0-3990-4D60-8C69-F0DC55CB2C4C}" name="BB_DESC" dataCellStyle="Normal 4"/>
    <tableColumn id="5" xr3:uid="{EFC784D4-4D14-44AF-9F28-0418F62146F7}" name="SCRAPER_DESC" dataCellStyle="Normal 4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39A4C5-5F02-4710-8178-00980BD1F2E4}" name="Table1" displayName="Table1" ref="B62:F270" totalsRowShown="0" headerRowDxfId="79" dataDxfId="78" tableBorderDxfId="77" headerRowCellStyle="Normal 4" dataCellStyle="Normal 4">
  <tableColumns count="5">
    <tableColumn id="1" xr3:uid="{C6BE83FA-F6BF-4A2C-AFF5-524B723D4FC7}" name="SIZE" dataDxfId="76" dataCellStyle="Normal 4"/>
    <tableColumn id="2" xr3:uid="{D742EB43-24B2-4BBF-8481-A9C9185A1DDC}" name="TYPE" dataDxfId="75" dataCellStyle="Normal 4"/>
    <tableColumn id="3" xr3:uid="{9065169C-9FBB-457E-8AE2-8A81096C08B6}" name="BUSHING" dataDxfId="74" dataCellStyle="Normal 4"/>
    <tableColumn id="4" xr3:uid="{846D7202-FE8B-414F-B7C3-06CBBC0FAB8D}" name="LAGGING THK" dataDxfId="73" dataCellStyle="Normal 4"/>
    <tableColumn id="5" xr3:uid="{EA554635-BA99-414E-91CB-2642B19877FE}" name="LAGGING TYPE" dataDxfId="72" dataCellStyle="Normal 4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C5F006E-8EE6-48CD-A0A9-47EA260E863F}" name="PP_TBL" displayName="PP_TBL" ref="A3:O53" headerRowCount="0" totalsRowShown="0" headerRowDxfId="71" headerRowCellStyle="Normal 4">
  <tableColumns count="15">
    <tableColumn id="1" xr3:uid="{0C741EE3-8BCF-438D-8F85-D9A1D32AAADD}" name="Column1" headerRowDxfId="70" dataDxfId="69" headerRowCellStyle="Normal 4" dataCellStyle="Normal 4"/>
    <tableColumn id="2" xr3:uid="{9486E770-8C7B-463A-AA1B-02AABB0029EF}" name="Column2" headerRowDxfId="68" dataDxfId="67" headerRowCellStyle="Normal 4" dataCellStyle="Normal 4"/>
    <tableColumn id="3" xr3:uid="{65A26DD9-CD55-4C2E-8A47-67C75492AA3D}" name="Column3" headerRowDxfId="66" dataDxfId="65" headerRowCellStyle="Normal 4" dataCellStyle="Normal 4"/>
    <tableColumn id="4" xr3:uid="{7FC20EF5-7AD5-48EC-8568-13CBFC1C7855}" name="Column4" headerRowDxfId="64" dataDxfId="63" headerRowCellStyle="Normal 4" dataCellStyle="Normal 4"/>
    <tableColumn id="5" xr3:uid="{913453F7-523B-4F54-B0F0-28E768E564C1}" name="Column5" headerRowDxfId="62" dataDxfId="61" headerRowCellStyle="Normal 4" dataCellStyle="Normal 4"/>
    <tableColumn id="6" xr3:uid="{A8810ACE-4716-4A68-8DAF-533B5EA43FB4}" name="Column6" headerRowDxfId="60" dataDxfId="59" headerRowCellStyle="Normal 4" dataCellStyle="Normal 4"/>
    <tableColumn id="7" xr3:uid="{91CBD345-B0FE-448F-B15E-B004C03ABFF9}" name="Column7" headerRowDxfId="58" dataDxfId="57" headerRowCellStyle="Normal 4" dataCellStyle="Normal 4">
      <calculatedColumnFormula array="1">_xlfn.IFNA(_xlfn.XLOOKUP(PP_TBL[[#This Row],[Column1]],PC_500[[#All],[Part_PartNum]],PC_500[[#All],[Vendor_Name]]),"")</calculatedColumnFormula>
    </tableColumn>
    <tableColumn id="8" xr3:uid="{F8ACB671-DE3D-45EB-BEE5-E8A60E909E8B}" name="Column8" headerRowDxfId="56" dataDxfId="55" headerRowCellStyle="Normal 4" dataCellStyle="Normal 4">
      <calculatedColumnFormula array="1">_xlfn.IFNA(_xlfn.XLOOKUP(PP_TBL[[#This Row],[Column1]],PC_500[[#All],[Part_PartNum]],PC_500[[#All],[PO_NUM]]),"")</calculatedColumnFormula>
    </tableColumn>
    <tableColumn id="9" xr3:uid="{00627378-6485-46EA-8662-04A805E2B670}" name="Column9" headerRowDxfId="54" dataDxfId="53" headerRowCellStyle="Normal 4" dataCellStyle="Normal 4">
      <calculatedColumnFormula array="1">_xlfn.IFNA(_xlfn.XLOOKUP(PP_TBL[[#This Row],[Column1]],PC_500[[#All],[Part_PartNum]],PC_500[[#All],[Order_Date]]),"")</calculatedColumnFormula>
    </tableColumn>
    <tableColumn id="10" xr3:uid="{D723C905-8B1D-49D5-9FAD-CB2C0918C466}" name="Column10" headerRowDxfId="52" dataDxfId="51" headerRowCellStyle="Normal 4"/>
    <tableColumn id="11" xr3:uid="{CBBBD098-7FE6-4D29-8163-5446D0A6FC69}" name="Column11" headerRowDxfId="50" headerRowCellStyle="Normal 4"/>
    <tableColumn id="12" xr3:uid="{D3952C4F-6049-4CF0-AE3B-B24A26651E30}" name="Column12" headerRowDxfId="49" headerRowCellStyle="Normal 4"/>
    <tableColumn id="13" xr3:uid="{25EC3B7D-2079-4C80-AE95-AF3D60076FE8}" name="Column13" headerRowDxfId="48" dataDxfId="47" headerRowCellStyle="Normal 4" dataCellStyle="Normal 4"/>
    <tableColumn id="14" xr3:uid="{86E4FC74-7964-46E4-913D-D97ADC6FF981}" name="Column14" dataDxfId="46" headerRowCellStyle="Normal 4" dataCellStyle="Normal 4"/>
    <tableColumn id="15" xr3:uid="{B1F392AC-369C-43EB-B91D-07EF72D95B1D}" name="Column15" dataDxfId="45" headerRowCellStyle="Normal 4" dataCellStyle="Normal 4">
      <calculatedColumnFormula>M4*N4</calculatedColumnFormula>
    </tableColumn>
  </tableColumns>
  <tableStyleInfo name="Purchased_TBL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FF9521-FFCF-4D03-9D2F-DEC0117B5E80}" name="SUP_DP" displayName="SUP_DP" ref="A275:O327" totalsRowShown="0" headerRowDxfId="44" headerRowBorderDxfId="43" tableBorderDxfId="42" headerRowCellStyle="Normal 4" dataCellStyle="Normal 4">
  <autoFilter ref="A275:O327" xr:uid="{A1FF9521-FFCF-4D03-9D2F-DEC0117B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DFDDCE8-EF00-45EE-8A47-4F13E7367FC9}" name="JMS PART #" dataCellStyle="Normal 4"/>
    <tableColumn id="2" xr3:uid="{4B874292-8EC8-4069-A0A4-5F847A470520}" name="DESCRIPTION" dataCellStyle="Normal 4"/>
    <tableColumn id="3" xr3:uid="{61779CC6-93E5-4F70-9511-548EDF914385}" name="Column1" dataCellStyle="Normal 4"/>
    <tableColumn id="4" xr3:uid="{0CA2AF74-7621-4AA9-87C7-8CA4DA2318CB}" name="Column2" dataCellStyle="Normal 4"/>
    <tableColumn id="5" xr3:uid="{BD799368-B9E8-4127-A7F3-54EEF5E1BDE1}" name="Column3" dataCellStyle="Normal 4"/>
    <tableColumn id="6" xr3:uid="{27B0EAA5-BDBF-4F51-8241-E6B62B3971A4}" name="Column4" dataCellStyle="Normal 4"/>
    <tableColumn id="7" xr3:uid="{14B588DE-14F2-4848-944F-E1A46C9E2888}" name="VENDOR" dataCellStyle="Normal 4"/>
    <tableColumn id="8" xr3:uid="{CE921DF2-7264-48EF-8BA3-69F4F602149F}" name="PO #" dataDxfId="41" dataCellStyle="Normal 4">
      <calculatedColumnFormula array="1">_xlfn.IFNA(_xlfn.XLOOKUP(SUP_DP[[#This Row],[JMS PART '#]],PC_500[[#All],[Part_PartNum]],PC_500[[#All],[PO_NUM]]),"QUOTE")</calculatedColumnFormula>
    </tableColumn>
    <tableColumn id="9" xr3:uid="{1924DF2C-09EE-4CB7-94CC-FCBD02EF653A}" name="ORDER DATE" dataDxfId="40" dataCellStyle="Normal 4">
      <calculatedColumnFormula array="1">_xlfn.IFNA(_xlfn.XLOOKUP(SUP_DP[[#This Row],[JMS PART '#]],PC_500[[#All],[Part_PartNum]],PC_500[[#All],[Order_Date]]),"")</calculatedColumnFormula>
    </tableColumn>
    <tableColumn id="10" xr3:uid="{58CF0C13-7B4B-4F6A-B010-92DEC1C967F1}" name="MFG PN" dataCellStyle="Normal 4"/>
    <tableColumn id="11" xr3:uid="{85292E38-A807-4176-A40A-CCEDF94B1692}" name="Column5" dataCellStyle="Normal 4"/>
    <tableColumn id="12" xr3:uid="{86068B10-117A-4415-8AC8-89AC997CC014}" name="Column6" dataCellStyle="Normal 4"/>
    <tableColumn id="13" xr3:uid="{15AB9AD9-4CB4-4873-B8EF-04332C5AFF95}" name="Cost" dataDxfId="39" dataCellStyle="Normal 4">
      <calculatedColumnFormula array="1">_xlfn.IFNA(_xlfn.XLOOKUP(SUP_DP[[#This Row],[JMS PART '#]],PC_500[[#All],[Part_PartNum]],PC_500[[#All],[Unit_Cost]]),0)</calculatedColumnFormula>
    </tableColumn>
    <tableColumn id="14" xr3:uid="{BF4BA812-C404-4BC5-AFB2-B51A9E83B7B9}" name="QTY" dataDxfId="38" dataCellStyle="Normal 4">
      <calculatedColumnFormula>IF(SUP_DP[[#This Row],[MFG PN]]=HP_SPN,1,0)+IF(SUP_DP[[#This Row],[MFG PN]]=TP_SPN,1,0)</calculatedColumnFormula>
    </tableColumn>
    <tableColumn id="15" xr3:uid="{E7281249-03B5-4320-AC96-E42E0D3B6ED0}" name="TOTAL COST" dataDxfId="37" dataCellStyle="Normal 4">
      <calculatedColumnFormula>SUP_DP[[#This Row],[Cost]]*SUP_DP[[#This Row],[QTY]]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657DEE4-96B3-40C7-8B04-64674377491D}" name="Sheet_Plate_NEW" displayName="Sheet_Plate_NEW" ref="A1:M40" tableType="queryTable" totalsRowShown="0">
  <autoFilter ref="A1:M40" xr:uid="{9FC57959-0C6A-43FE-ADFC-95F5E270C0C8}"/>
  <tableColumns count="13">
    <tableColumn id="110" xr3:uid="{792862AE-AB47-46AA-AD4C-9EB221CC318B}" uniqueName="110" name="Description" queryTableFieldId="110" dataDxfId="36" dataCellStyle="Normal 9"/>
    <tableColumn id="111" xr3:uid="{568B4BB9-7EEC-4E2F-9520-DBD1AF4C51F7}" uniqueName="111" name="Material" queryTableFieldId="111" dataDxfId="35" dataCellStyle="Normal 9"/>
    <tableColumn id="1" xr3:uid="{33B5C0F0-9EE3-433F-A42F-F6DC839CCA7F}" uniqueName="1" name="ThicknessIn" queryTableFieldId="124" dataCellStyle="Normal 9"/>
    <tableColumn id="2" xr3:uid="{25B62EF4-2774-4698-AC74-9860E1AAD846}" uniqueName="2" name="ThicknessGauge" queryTableFieldId="125" dataCellStyle="Normal 9"/>
    <tableColumn id="114" xr3:uid="{E425D7EC-939C-4A9E-B5F1-03EE954D8C30}" uniqueName="114" name="Standard Widths" queryTableFieldId="114" dataDxfId="34" dataCellStyle="Normal 9"/>
    <tableColumn id="115" xr3:uid="{288B574F-C8CE-492E-B00D-946A57C14290}" uniqueName="115" name="Standard Lengths" queryTableFieldId="115" dataDxfId="33" dataCellStyle="Normal 9"/>
    <tableColumn id="116" xr3:uid="{62BE1D22-A056-481E-891B-F9A8251BDE14}" uniqueName="116" name="Process" queryTableFieldId="116" dataDxfId="32" dataCellStyle="Normal 9"/>
    <tableColumn id="117" xr3:uid="{086CC867-A938-4EC1-A321-0859B205A489}" uniqueName="117" name="ASTM" queryTableFieldId="117" dataDxfId="31" dataCellStyle="Normal 9"/>
    <tableColumn id="118" xr3:uid="{931C49BA-6638-4DE3-9555-0B9A87F5ECCD}" uniqueName="118" name="Finish" queryTableFieldId="118" dataDxfId="30" dataCellStyle="Normal 9"/>
    <tableColumn id="3" xr3:uid="{D64445EB-AE88-4796-9EBF-A65B3B67DC95}" uniqueName="3" name="FinalPrice" queryTableFieldId="126" dataCellStyle="Normal 9"/>
    <tableColumn id="4" xr3:uid="{7185ADA4-48B1-43A4-BBC6-108592E06CAE}" uniqueName="4" name="QuoteDate" queryTableFieldId="127" dataCellStyle="Normal 9"/>
    <tableColumn id="5" xr3:uid="{C2A844E1-B091-4650-9A48-A4408A3AF60B}" uniqueName="5" name="Vendor" queryTableFieldId="128" dataCellStyle="Normal 9"/>
    <tableColumn id="7" xr3:uid="{056A56D5-96A7-4703-8BC6-465EFFBB7B02}" uniqueName="7" name="Merged" queryTableFieldId="132" dataDxfId="29" dataCellStyle="Normal 9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7CD1F30-A057-4442-8BAB-E94D46BFF173}" name="MET_MoC" displayName="MET_MoC" ref="A44:F62" totalsRowShown="0" headerRowDxfId="28" dataDxfId="26" headerRowBorderDxfId="27" tableBorderDxfId="25" totalsRowBorderDxfId="24" dataCellStyle="Currency 2">
  <autoFilter ref="A44:F62" xr:uid="{48D54702-9F6C-4F6C-BC3C-B63A58D92B5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438A9A3D-6708-43D2-9B71-3A61F3FA1810}" name="Size" dataDxfId="23" dataCellStyle="Normal 4"/>
    <tableColumn id="2" xr3:uid="{015DB524-629D-4E74-B214-7164C9E5F010}" name="Thickness" dataDxfId="22" dataCellStyle="Normal 4"/>
    <tableColumn id="3" xr3:uid="{774F5245-6CD8-4F60-8DAE-CB55C93D4840}" name="304 SS" dataDxfId="21" dataCellStyle="Currency 2"/>
    <tableColumn id="4" xr3:uid="{1F231C26-6728-4C36-94D2-47E37158B7BD}" name="304L SS" dataDxfId="20" dataCellStyle="Currency 2"/>
    <tableColumn id="5" xr3:uid="{B808FA5C-64F2-46B5-9577-93BAEDE0E601}" name="316L SS" dataDxfId="19" dataCellStyle="Currency 2"/>
    <tableColumn id="6" xr3:uid="{A4A09DA3-8852-41CF-B30C-487B669B1E87}" name="MoC_PN" dataDxfId="18" dataCellStyle="Currency 2">
      <calculatedColumnFormula>IF(MoC="304 SS",C45,IF(MoC="304L",D45,E45))</calculatedColumnFormula>
    </tableColumn>
  </tableColumns>
  <tableStyleInfo name="TableStyleLight1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DD63694-3734-43F9-9B1D-3DF835FDF8DA}" name="MET_PRICE25" displayName="MET_PRICE25" ref="A66:D120" totalsRowShown="0">
  <autoFilter ref="A66:D120" xr:uid="{9CFCFB7B-323A-4666-9935-CB13E0C37652}">
    <filterColumn colId="0" hiddenButton="1"/>
    <filterColumn colId="1" hiddenButton="1"/>
    <filterColumn colId="2" hiddenButton="1"/>
    <filterColumn colId="3" hiddenButton="1"/>
  </autoFilter>
  <tableColumns count="4">
    <tableColumn id="1" xr3:uid="{B846C3ED-DA71-4750-96B4-91DBE0AF86D7}" name="Part_Num" dataDxfId="17" dataCellStyle="Currency 2"/>
    <tableColumn id="2" xr3:uid="{512E3941-99B9-4854-B0D3-B001015E4310}" name="PRICE" dataDxfId="16">
      <calculatedColumnFormula array="1">_xlfn.IFNA(_xlfn.XLOOKUP(C67,Sheet_Plate_NEW[[#All],[Merged]],Sheet_Plate_NEW[[#All],[FinalPrice]]),"Quote")</calculatedColumnFormula>
    </tableColumn>
    <tableColumn id="3" xr3:uid="{285BE39A-7FAA-4480-AE54-C7FC1DCF56DF}" name="DESC"/>
    <tableColumn id="4" xr3:uid="{9859BC63-CDA2-4BCA-9AD0-92DBE0D24244}" name="DESCRIPTION" dataDxfId="15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0421F8-4B3E-444C-9E5A-4DFA1223C15E}" name="RAW_100" displayName="RAW_100" ref="A1:I4117" tableType="queryTable" totalsRowShown="0">
  <autoFilter ref="A1:I4117" xr:uid="{B0046911-F747-4D42-AA44-3FD5C89FDDEF}"/>
  <tableColumns count="9">
    <tableColumn id="1" xr3:uid="{82DE19E3-31A4-4D72-9D28-D2E10BF99455}" uniqueName="1" name="PartNum" queryTableFieldId="11" dataDxfId="14" dataCellStyle="Normal 6"/>
    <tableColumn id="2" xr3:uid="{4D344B45-D3C4-4B88-AAA7-D5D6CF5439EF}" uniqueName="2" name="PartDescription" queryTableFieldId="12" dataDxfId="13" dataCellStyle="Normal 6"/>
    <tableColumn id="7" xr3:uid="{C04E1626-5F92-4E96-9DF2-AF9AB66E0C8C}" uniqueName="7" name="Vendor_Name" queryTableFieldId="7" dataDxfId="12" dataCellStyle="Normal 6"/>
    <tableColumn id="3" xr3:uid="{A6063E02-9E53-41EA-AF60-A9A805DE23E3}" uniqueName="3" name="Part_ClassID" queryTableFieldId="3" dataDxfId="11" dataCellStyle="Normal 6"/>
    <tableColumn id="4" xr3:uid="{F3995F67-7EDB-4079-929D-1E583C7F7A11}" uniqueName="4" name="UnitCost" queryTableFieldId="13" dataDxfId="10" dataCellStyle="Normal 6"/>
    <tableColumn id="9" xr3:uid="{2722FA49-ECC5-47EC-9416-E8766F505B76}" uniqueName="9" name="PODetail_PUM" queryTableFieldId="19" dataDxfId="9" dataCellStyle="Normal 6"/>
    <tableColumn id="5" xr3:uid="{F86BBC7B-B72D-4463-81AB-5191BF8A132A}" uniqueName="5" name="PONUM" queryTableFieldId="14" dataDxfId="8" dataCellStyle="Normal 6"/>
    <tableColumn id="6" xr3:uid="{5A77D863-EAFB-4447-9FEB-58159863B83C}" uniqueName="6" name="OrderDate" queryTableFieldId="15" dataDxfId="7" dataCellStyle="Normal 6"/>
    <tableColumn id="8" xr3:uid="{B3ED98E8-8188-48B8-AC83-FF3738238AB2}" uniqueName="8" name="CommentText" queryTableFieldId="16" dataDxfId="6" dataCellStyle="Normal 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424090-9DC8-4929-9B62-27159CC0BA57}" name="PC_500" displayName="PC_500" ref="A1:H1242" tableType="queryTable" totalsRowShown="0">
  <autoFilter ref="A1:H1242" xr:uid="{6E424090-9DC8-4929-9B62-27159CC0BA57}"/>
  <tableColumns count="8">
    <tableColumn id="1" xr3:uid="{4B467493-C64C-43A7-BEA4-9778006060E0}" uniqueName="1" name="Part_PartNum" queryTableFieldId="1" dataDxfId="5"/>
    <tableColumn id="2" xr3:uid="{69D2BAFB-BC5E-4751-9F58-70E34FC4C9FD}" uniqueName="2" name="Part_PartDescription" queryTableFieldId="2" dataDxfId="4"/>
    <tableColumn id="3" xr3:uid="{070A0ECF-0985-4803-B83E-340CEA9095C5}" uniqueName="3" name="Vendor_Name" queryTableFieldId="3" dataDxfId="3"/>
    <tableColumn id="4" xr3:uid="{37391D01-EBA6-4613-A979-55A151BA12FC}" uniqueName="4" name="Part_ClassID" queryTableFieldId="4" dataDxfId="2"/>
    <tableColumn id="5" xr3:uid="{6491B3FD-79D8-46FD-99F5-879EAD5AC96E}" uniqueName="5" name="Unit_Cost" queryTableFieldId="9"/>
    <tableColumn id="6" xr3:uid="{1F787078-1BD3-4533-86A0-03624A900BE5}" uniqueName="6" name="PO_NUM" queryTableFieldId="10"/>
    <tableColumn id="7" xr3:uid="{B309DE75-8D5D-4649-95B5-2D285B52393E}" uniqueName="7" name="Order_Date" queryTableFieldId="11" dataDxfId="1"/>
    <tableColumn id="8" xr3:uid="{E386EB3B-DAB9-4988-8CAC-E3B77DC7BD2C}" uniqueName="8" name="Part_CommentText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4" dT="2023-09-20T13:56:44.60" personId="{FCF67650-D879-439C-949C-B9B3AE940085}" id="{AFCC35B6-041C-48C2-B901-8D948E38245B}">
    <text>MES is Profile End Disc, CF is Clean Flight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3" dT="2023-01-25T17:40:48.71" personId="{FCF67650-D879-439C-949C-B9B3AE940085}" id="{1750FF33-4ED3-4861-96CB-F81369DF24CC}">
    <text>This column should be driven by mega materials based off thickness column and material selected.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P2" dT="2023-01-25T17:40:48.71" personId="{FCF67650-D879-439C-949C-B9B3AE940085}" id="{9EA0826F-74BA-49D0-AB55-A209E6C67C49}">
    <text>This column should be driven by mega materials based off thickness column and material selected.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P2" dT="2023-01-25T17:40:48.71" personId="{FCF67650-D879-439C-949C-B9B3AE940085}" id="{C7B369A5-C242-4DEB-ABE8-BB2C5A2FB11D}">
    <text>This column should be driven by mega materials based off thickness column and material selected.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asce7hazardtool.online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10" Type="http://schemas.microsoft.com/office/2017/10/relationships/threadedComment" Target="../threadedComments/threadedComment3.xml"/><Relationship Id="rId4" Type="http://schemas.openxmlformats.org/officeDocument/2006/relationships/table" Target="../tables/table12.xml"/><Relationship Id="rId9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DEDC-7587-4AF5-ADE1-B667EF213639}">
  <sheetPr codeName="Sheet21">
    <tabColor rgb="FF00B0F0"/>
  </sheetPr>
  <dimension ref="B2:C9"/>
  <sheetViews>
    <sheetView workbookViewId="0">
      <selection activeCell="U27" sqref="U27"/>
    </sheetView>
  </sheetViews>
  <sheetFormatPr defaultRowHeight="15"/>
  <cols>
    <col min="1" max="16384" width="9.140625" style="716"/>
  </cols>
  <sheetData>
    <row r="2" spans="2:3" ht="15.75" thickBot="1"/>
    <row r="3" spans="2:3" ht="15.75" thickBot="1">
      <c r="B3" s="717"/>
      <c r="C3" s="716" t="s">
        <v>0</v>
      </c>
    </row>
    <row r="4" spans="2:3" ht="15.75" thickBot="1">
      <c r="B4" s="718"/>
      <c r="C4" s="716" t="s">
        <v>1</v>
      </c>
    </row>
    <row r="5" spans="2:3" ht="15.75" thickBot="1">
      <c r="B5" s="719"/>
      <c r="C5" s="716" t="s">
        <v>2</v>
      </c>
    </row>
    <row r="6" spans="2:3" ht="15.75" thickBot="1">
      <c r="B6" s="720"/>
      <c r="C6" s="716" t="s">
        <v>3</v>
      </c>
    </row>
    <row r="7" spans="2:3" ht="15.75" thickBot="1">
      <c r="B7" s="721"/>
      <c r="C7" s="716" t="s">
        <v>4</v>
      </c>
    </row>
    <row r="9" spans="2:3">
      <c r="B9" s="716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3B4F-7EF2-42DA-A2B5-1856EFF4BC61}">
  <sheetPr codeName="Sheet22">
    <tabColor rgb="FF00B0F0"/>
    <pageSetUpPr fitToPage="1"/>
  </sheetPr>
  <dimension ref="A1:BD114"/>
  <sheetViews>
    <sheetView zoomScaleNormal="100" workbookViewId="0">
      <selection activeCell="P53" sqref="P53:R53"/>
    </sheetView>
  </sheetViews>
  <sheetFormatPr defaultRowHeight="15"/>
  <cols>
    <col min="1" max="56" width="3.7109375" style="716" customWidth="1"/>
    <col min="57" max="16384" width="9.140625" style="716"/>
  </cols>
  <sheetData>
    <row r="1" spans="1:56" ht="15.75" thickBot="1"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  <c r="R1" s="722"/>
      <c r="S1" s="722"/>
      <c r="T1" s="722"/>
      <c r="U1" s="722"/>
      <c r="V1" s="722"/>
      <c r="W1" s="722"/>
      <c r="X1" s="722"/>
      <c r="Y1" s="722"/>
      <c r="Z1" s="722"/>
      <c r="AA1" s="722"/>
      <c r="AB1" s="722"/>
      <c r="AC1" s="722"/>
      <c r="AD1" s="722"/>
      <c r="AE1" s="722"/>
      <c r="AF1" s="722"/>
      <c r="AG1" s="722"/>
      <c r="AH1" s="722"/>
      <c r="AI1" s="722"/>
      <c r="AJ1" s="722"/>
      <c r="AK1" s="722"/>
      <c r="AL1" s="722"/>
      <c r="AM1" s="722"/>
      <c r="AN1" s="722"/>
      <c r="AO1" s="722"/>
      <c r="AP1" s="722"/>
      <c r="AQ1" s="722"/>
      <c r="AR1" s="722"/>
      <c r="AS1" s="722"/>
      <c r="AT1" s="722"/>
      <c r="AU1" s="722"/>
      <c r="AV1" s="722"/>
      <c r="AW1" s="722"/>
      <c r="AX1" s="722"/>
      <c r="AY1" s="722"/>
      <c r="AZ1" s="722"/>
      <c r="BA1" s="722"/>
      <c r="BB1" s="722"/>
      <c r="BC1" s="722"/>
    </row>
    <row r="2" spans="1:56" ht="18.75">
      <c r="A2" s="723"/>
      <c r="B2" s="724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5"/>
      <c r="P2" s="1421" t="s">
        <v>6</v>
      </c>
      <c r="Q2" s="1422"/>
      <c r="R2" s="1422"/>
      <c r="S2" s="1422"/>
      <c r="T2" s="1422"/>
      <c r="U2" s="1422"/>
      <c r="V2" s="1422"/>
      <c r="W2" s="1422"/>
      <c r="X2" s="1422"/>
      <c r="Y2" s="1422"/>
      <c r="Z2" s="1422"/>
      <c r="AA2" s="1422"/>
      <c r="AB2" s="1422"/>
      <c r="AC2" s="1422"/>
      <c r="AD2" s="1422"/>
      <c r="AE2" s="1422"/>
      <c r="AF2" s="1422"/>
      <c r="AG2" s="1422"/>
      <c r="AH2" s="1422"/>
      <c r="AI2" s="1422"/>
      <c r="AJ2" s="1422"/>
      <c r="AK2" s="1422"/>
      <c r="AL2" s="1422"/>
      <c r="AM2" s="1422"/>
      <c r="AN2" s="1422"/>
      <c r="AO2" s="1423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6"/>
    </row>
    <row r="3" spans="1:56" ht="19.5" thickBot="1">
      <c r="A3" s="723"/>
      <c r="B3" s="724"/>
      <c r="C3" s="724"/>
      <c r="D3" s="724"/>
      <c r="E3" s="724"/>
      <c r="F3" s="724"/>
      <c r="G3" s="724"/>
      <c r="H3" s="724"/>
      <c r="I3" s="724"/>
      <c r="J3" s="724"/>
      <c r="K3" s="724"/>
      <c r="L3" s="724"/>
      <c r="M3" s="724"/>
      <c r="N3" s="724"/>
      <c r="O3" s="725"/>
      <c r="P3" s="1424" t="s">
        <v>7</v>
      </c>
      <c r="Q3" s="1425"/>
      <c r="R3" s="1425"/>
      <c r="S3" s="1425"/>
      <c r="T3" s="1425"/>
      <c r="U3" s="1425"/>
      <c r="V3" s="1425"/>
      <c r="W3" s="1425"/>
      <c r="X3" s="1425"/>
      <c r="Y3" s="1425"/>
      <c r="Z3" s="1425"/>
      <c r="AA3" s="1425"/>
      <c r="AB3" s="1425"/>
      <c r="AC3" s="1425"/>
      <c r="AD3" s="1425"/>
      <c r="AE3" s="1425"/>
      <c r="AF3" s="1425"/>
      <c r="AG3" s="1425"/>
      <c r="AH3" s="1425"/>
      <c r="AI3" s="1425"/>
      <c r="AJ3" s="1425"/>
      <c r="AK3" s="1425"/>
      <c r="AL3" s="1425"/>
      <c r="AM3" s="1425"/>
      <c r="AN3" s="1425"/>
      <c r="AO3" s="1426"/>
      <c r="AP3" s="724"/>
      <c r="AQ3" s="724"/>
      <c r="AR3" s="724"/>
      <c r="AS3" s="724"/>
      <c r="AT3" s="724"/>
      <c r="AU3" s="724"/>
      <c r="AV3" s="724"/>
      <c r="AW3" s="724"/>
      <c r="AX3" s="724"/>
      <c r="AY3" s="724"/>
      <c r="AZ3" s="724"/>
      <c r="BA3" s="724"/>
      <c r="BB3" s="724"/>
      <c r="BC3" s="725"/>
    </row>
    <row r="4" spans="1:56">
      <c r="A4" s="723"/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7"/>
      <c r="P4" s="728" t="s">
        <v>8</v>
      </c>
      <c r="Q4" s="729"/>
      <c r="R4" s="729"/>
      <c r="S4" s="729"/>
      <c r="T4" s="730"/>
      <c r="U4" s="1427"/>
      <c r="V4" s="1428"/>
      <c r="W4" s="1428"/>
      <c r="X4" s="1428"/>
      <c r="Y4" s="1428"/>
      <c r="Z4" s="1428"/>
      <c r="AA4" s="1428"/>
      <c r="AB4" s="1428"/>
      <c r="AC4" s="1428"/>
      <c r="AD4" s="1428"/>
      <c r="AE4" s="1428"/>
      <c r="AF4" s="1429"/>
      <c r="AG4" s="731" t="s">
        <v>9</v>
      </c>
      <c r="AH4" s="729"/>
      <c r="AI4" s="729"/>
      <c r="AJ4" s="730"/>
      <c r="AK4" s="1430"/>
      <c r="AL4" s="1431"/>
      <c r="AM4" s="1431"/>
      <c r="AN4" s="1431"/>
      <c r="AO4" s="1432"/>
      <c r="AP4" s="732"/>
      <c r="AQ4" s="724"/>
      <c r="AR4" s="724"/>
      <c r="AS4" s="724"/>
      <c r="AT4" s="724"/>
      <c r="AU4" s="724"/>
      <c r="AV4" s="724"/>
      <c r="AW4" s="724"/>
      <c r="AX4" s="724"/>
      <c r="AY4" s="724"/>
      <c r="AZ4" s="724"/>
      <c r="BA4" s="724"/>
      <c r="BB4" s="724"/>
      <c r="BC4" s="725"/>
    </row>
    <row r="5" spans="1:56">
      <c r="A5" s="723"/>
      <c r="B5" s="724"/>
      <c r="C5" s="724"/>
      <c r="D5" s="724"/>
      <c r="E5" s="724"/>
      <c r="F5" s="724"/>
      <c r="G5" s="724"/>
      <c r="H5" s="724"/>
      <c r="I5" s="724"/>
      <c r="J5" s="724"/>
      <c r="K5" s="724"/>
      <c r="L5" s="724"/>
      <c r="M5" s="724"/>
      <c r="N5" s="724"/>
      <c r="O5" s="727"/>
      <c r="P5" s="733" t="s">
        <v>10</v>
      </c>
      <c r="Q5" s="734"/>
      <c r="R5" s="734"/>
      <c r="S5" s="734"/>
      <c r="T5" s="735"/>
      <c r="U5" s="1406"/>
      <c r="V5" s="1407"/>
      <c r="W5" s="1407"/>
      <c r="X5" s="1407"/>
      <c r="Y5" s="1407"/>
      <c r="Z5" s="1407"/>
      <c r="AA5" s="1407"/>
      <c r="AB5" s="1407"/>
      <c r="AC5" s="1407"/>
      <c r="AD5" s="1407"/>
      <c r="AE5" s="1407"/>
      <c r="AF5" s="1408"/>
      <c r="AG5" s="736" t="s">
        <v>11</v>
      </c>
      <c r="AH5" s="734"/>
      <c r="AI5" s="734"/>
      <c r="AJ5" s="735"/>
      <c r="AK5" s="1412"/>
      <c r="AL5" s="1413"/>
      <c r="AM5" s="1413"/>
      <c r="AN5" s="1413"/>
      <c r="AO5" s="1414"/>
      <c r="AP5" s="732"/>
      <c r="AQ5" s="724"/>
      <c r="AR5" s="724"/>
      <c r="AS5" s="724"/>
      <c r="AT5" s="724"/>
      <c r="AU5" s="724"/>
      <c r="AV5" s="724"/>
      <c r="AW5" s="724"/>
      <c r="AX5" s="724"/>
      <c r="AY5" s="724"/>
      <c r="AZ5" s="724"/>
      <c r="BA5" s="724"/>
      <c r="BB5" s="724"/>
      <c r="BC5" s="725"/>
    </row>
    <row r="6" spans="1:56">
      <c r="A6" s="723"/>
      <c r="B6" s="724"/>
      <c r="C6" s="724"/>
      <c r="D6" s="724"/>
      <c r="E6" s="724"/>
      <c r="F6" s="724"/>
      <c r="G6" s="724"/>
      <c r="H6" s="724"/>
      <c r="I6" s="724"/>
      <c r="J6" s="724"/>
      <c r="K6" s="724"/>
      <c r="L6" s="724"/>
      <c r="M6" s="724"/>
      <c r="N6" s="724"/>
      <c r="O6" s="727"/>
      <c r="P6" s="733" t="s">
        <v>12</v>
      </c>
      <c r="Q6" s="734"/>
      <c r="R6" s="734"/>
      <c r="S6" s="734"/>
      <c r="T6" s="735"/>
      <c r="U6" s="1406"/>
      <c r="V6" s="1407"/>
      <c r="W6" s="1407"/>
      <c r="X6" s="1407"/>
      <c r="Y6" s="1407"/>
      <c r="Z6" s="1407"/>
      <c r="AA6" s="1407"/>
      <c r="AB6" s="1407"/>
      <c r="AC6" s="1407"/>
      <c r="AD6" s="1407"/>
      <c r="AE6" s="1407"/>
      <c r="AF6" s="1408"/>
      <c r="AG6" s="736" t="s">
        <v>13</v>
      </c>
      <c r="AH6" s="734"/>
      <c r="AI6" s="734"/>
      <c r="AJ6" s="735"/>
      <c r="AK6" s="1409"/>
      <c r="AL6" s="1410"/>
      <c r="AM6" s="1410"/>
      <c r="AN6" s="1410"/>
      <c r="AO6" s="1411"/>
      <c r="AP6" s="732"/>
      <c r="AQ6" s="724"/>
      <c r="AR6" s="724"/>
      <c r="AS6" s="724"/>
      <c r="AT6" s="724"/>
      <c r="AU6" s="724"/>
      <c r="AV6" s="724"/>
      <c r="AW6" s="724"/>
      <c r="AX6" s="724"/>
      <c r="AY6" s="724"/>
      <c r="AZ6" s="724"/>
      <c r="BA6" s="724"/>
      <c r="BB6" s="724"/>
      <c r="BC6" s="725"/>
    </row>
    <row r="7" spans="1:56">
      <c r="A7" s="723"/>
      <c r="B7" s="724"/>
      <c r="C7" s="724"/>
      <c r="D7" s="724"/>
      <c r="E7" s="724"/>
      <c r="F7" s="724"/>
      <c r="G7" s="724"/>
      <c r="H7" s="724"/>
      <c r="I7" s="724"/>
      <c r="J7" s="724"/>
      <c r="K7" s="724"/>
      <c r="L7" s="724"/>
      <c r="M7" s="724"/>
      <c r="N7" s="724"/>
      <c r="O7" s="727"/>
      <c r="P7" s="733" t="s">
        <v>14</v>
      </c>
      <c r="Q7" s="734"/>
      <c r="R7" s="734"/>
      <c r="S7" s="734"/>
      <c r="T7" s="735"/>
      <c r="U7" s="1406"/>
      <c r="V7" s="1407"/>
      <c r="W7" s="1407"/>
      <c r="X7" s="1407"/>
      <c r="Y7" s="1407"/>
      <c r="Z7" s="1407"/>
      <c r="AA7" s="1407"/>
      <c r="AB7" s="1407"/>
      <c r="AC7" s="1407"/>
      <c r="AD7" s="1407"/>
      <c r="AE7" s="1407"/>
      <c r="AF7" s="1408"/>
      <c r="AG7" s="737" t="s">
        <v>15</v>
      </c>
      <c r="AH7" s="738"/>
      <c r="AI7" s="738"/>
      <c r="AJ7" s="739"/>
      <c r="AK7" s="1412"/>
      <c r="AL7" s="1413"/>
      <c r="AM7" s="1413"/>
      <c r="AN7" s="1413"/>
      <c r="AO7" s="1414"/>
      <c r="AP7" s="732"/>
      <c r="AQ7" s="724"/>
      <c r="AR7" s="724"/>
      <c r="AS7" s="724"/>
      <c r="AT7" s="724"/>
      <c r="AU7" s="724"/>
      <c r="AV7" s="724"/>
      <c r="AW7" s="724"/>
      <c r="AX7" s="724"/>
      <c r="AY7" s="724"/>
      <c r="AZ7" s="724"/>
      <c r="BA7" s="724"/>
      <c r="BB7" s="724"/>
      <c r="BC7" s="725"/>
    </row>
    <row r="8" spans="1:56" ht="15.75" thickBot="1">
      <c r="A8" s="723"/>
      <c r="B8" s="740"/>
      <c r="C8" s="741"/>
      <c r="D8" s="741"/>
      <c r="E8" s="741"/>
      <c r="F8" s="741"/>
      <c r="G8" s="741"/>
      <c r="H8" s="741"/>
      <c r="I8" s="741"/>
      <c r="J8" s="741"/>
      <c r="K8" s="741"/>
      <c r="L8" s="741"/>
      <c r="M8" s="741"/>
      <c r="N8" s="741"/>
      <c r="O8" s="742"/>
      <c r="P8" s="743" t="s">
        <v>16</v>
      </c>
      <c r="Q8" s="744"/>
      <c r="R8" s="744"/>
      <c r="S8" s="744"/>
      <c r="T8" s="745"/>
      <c r="U8" s="1415"/>
      <c r="V8" s="1416"/>
      <c r="W8" s="1416"/>
      <c r="X8" s="1416"/>
      <c r="Y8" s="1416"/>
      <c r="Z8" s="1416"/>
      <c r="AA8" s="1416"/>
      <c r="AB8" s="1416"/>
      <c r="AC8" s="1416"/>
      <c r="AD8" s="1416"/>
      <c r="AE8" s="1416"/>
      <c r="AF8" s="1417"/>
      <c r="AG8" s="746" t="s">
        <v>17</v>
      </c>
      <c r="AH8" s="744"/>
      <c r="AI8" s="744"/>
      <c r="AJ8" s="745"/>
      <c r="AK8" s="1418"/>
      <c r="AL8" s="1419"/>
      <c r="AM8" s="747" t="s">
        <v>18</v>
      </c>
      <c r="AN8" s="1418"/>
      <c r="AO8" s="1420"/>
      <c r="AP8" s="740"/>
      <c r="AQ8" s="741"/>
      <c r="AR8" s="741"/>
      <c r="AS8" s="741"/>
      <c r="AT8" s="741"/>
      <c r="AU8" s="741"/>
      <c r="AV8" s="741"/>
      <c r="AW8" s="741"/>
      <c r="AX8" s="741"/>
      <c r="AY8" s="741"/>
      <c r="AZ8" s="741"/>
      <c r="BA8" s="741"/>
      <c r="BB8" s="741"/>
      <c r="BC8" s="742"/>
    </row>
    <row r="9" spans="1:56" ht="15.75" thickBot="1">
      <c r="A9" s="723"/>
      <c r="B9" s="748">
        <v>1</v>
      </c>
      <c r="C9" s="749" t="s">
        <v>19</v>
      </c>
      <c r="D9" s="750"/>
      <c r="E9" s="750"/>
      <c r="F9" s="750"/>
      <c r="G9" s="750"/>
      <c r="H9" s="750"/>
      <c r="I9" s="750"/>
      <c r="J9" s="750"/>
      <c r="K9" s="750"/>
      <c r="L9" s="750"/>
      <c r="M9" s="750"/>
      <c r="N9" s="750"/>
      <c r="O9" s="750"/>
      <c r="P9" s="750"/>
      <c r="Q9" s="750"/>
      <c r="R9" s="750"/>
      <c r="S9" s="750"/>
      <c r="T9" s="750"/>
      <c r="U9" s="750"/>
      <c r="V9" s="750"/>
      <c r="W9" s="750"/>
      <c r="X9" s="750"/>
      <c r="Y9" s="750"/>
      <c r="Z9" s="750"/>
      <c r="AA9" s="750"/>
      <c r="AB9" s="750"/>
      <c r="AC9" s="750"/>
      <c r="AD9" s="750"/>
      <c r="AE9" s="750"/>
      <c r="AF9" s="750"/>
      <c r="AG9" s="750"/>
      <c r="AH9" s="750"/>
      <c r="AI9" s="750"/>
      <c r="AJ9" s="750"/>
      <c r="AK9" s="750"/>
      <c r="AL9" s="750"/>
      <c r="AM9" s="750"/>
      <c r="AN9" s="750"/>
      <c r="AO9" s="750"/>
      <c r="AP9" s="750"/>
      <c r="AQ9" s="750"/>
      <c r="AR9" s="750"/>
      <c r="AS9" s="750"/>
      <c r="AT9" s="750"/>
      <c r="AU9" s="750"/>
      <c r="AV9" s="750"/>
      <c r="AW9" s="750"/>
      <c r="AX9" s="750"/>
      <c r="AY9" s="750"/>
      <c r="AZ9" s="750"/>
      <c r="BA9" s="750"/>
      <c r="BB9" s="750"/>
      <c r="BC9" s="750"/>
      <c r="BD9" s="751"/>
    </row>
    <row r="10" spans="1:56" ht="17.25">
      <c r="A10" s="723"/>
      <c r="B10" s="752">
        <v>2</v>
      </c>
      <c r="C10" s="753" t="s">
        <v>20</v>
      </c>
      <c r="D10" s="754"/>
      <c r="E10" s="754"/>
      <c r="F10" s="754"/>
      <c r="G10" s="754"/>
      <c r="H10" s="754"/>
      <c r="I10" s="754"/>
      <c r="J10" s="754"/>
      <c r="K10" s="754"/>
      <c r="L10" s="754"/>
      <c r="M10" s="754"/>
      <c r="N10" s="754"/>
      <c r="O10" s="755"/>
      <c r="P10" s="1369"/>
      <c r="Q10" s="1370"/>
      <c r="R10" s="1370"/>
      <c r="S10" s="1370"/>
      <c r="T10" s="1370"/>
      <c r="U10" s="1370"/>
      <c r="V10" s="1370"/>
      <c r="W10" s="1370"/>
      <c r="X10" s="1370"/>
      <c r="Y10" s="1370"/>
      <c r="Z10" s="1370"/>
      <c r="AA10" s="1370"/>
      <c r="AB10" s="1389"/>
      <c r="AC10" s="756" t="s">
        <v>21</v>
      </c>
      <c r="AD10" s="757"/>
      <c r="AE10" s="757"/>
      <c r="AF10" s="757"/>
      <c r="AG10" s="757"/>
      <c r="AH10" s="757"/>
      <c r="AI10" s="757"/>
      <c r="AJ10" s="757"/>
      <c r="AK10" s="757"/>
      <c r="AL10" s="757"/>
      <c r="AM10" s="757"/>
      <c r="AN10" s="757"/>
      <c r="AO10" s="758"/>
      <c r="AP10" s="1382"/>
      <c r="AQ10" s="1379"/>
      <c r="AR10" s="1379"/>
      <c r="AS10" s="759" t="s">
        <v>22</v>
      </c>
      <c r="AT10" s="759"/>
      <c r="AU10" s="759"/>
      <c r="AV10" s="759"/>
      <c r="AW10" s="759"/>
      <c r="AX10" s="759"/>
      <c r="AY10" s="759"/>
      <c r="AZ10" s="759"/>
      <c r="BA10" s="759"/>
      <c r="BB10" s="760"/>
      <c r="BC10" s="725"/>
    </row>
    <row r="11" spans="1:56">
      <c r="A11" s="723"/>
      <c r="B11" s="752">
        <v>3</v>
      </c>
      <c r="C11" s="761" t="s">
        <v>16</v>
      </c>
      <c r="D11" s="757"/>
      <c r="E11" s="757"/>
      <c r="F11" s="757"/>
      <c r="G11" s="757"/>
      <c r="H11" s="757"/>
      <c r="I11" s="757"/>
      <c r="J11" s="757"/>
      <c r="K11" s="757"/>
      <c r="L11" s="757"/>
      <c r="M11" s="757"/>
      <c r="N11" s="757"/>
      <c r="O11" s="758"/>
      <c r="P11" s="994" t="str">
        <f>" "&amp;M23&amp;""" x "&amp;P13&amp;" ' Conveyor"</f>
        <v xml:space="preserve"> " x 0 ' Conveyor</v>
      </c>
      <c r="Q11" s="995"/>
      <c r="R11" s="995"/>
      <c r="S11" s="995"/>
      <c r="T11" s="995"/>
      <c r="U11" s="995"/>
      <c r="V11" s="995"/>
      <c r="W11" s="995"/>
      <c r="X11" s="995"/>
      <c r="Y11" s="995"/>
      <c r="Z11" s="995"/>
      <c r="AA11" s="995"/>
      <c r="AB11" s="996"/>
      <c r="AC11" s="756" t="s">
        <v>23</v>
      </c>
      <c r="AD11" s="757"/>
      <c r="AE11" s="757"/>
      <c r="AF11" s="757"/>
      <c r="AG11" s="757"/>
      <c r="AH11" s="757"/>
      <c r="AI11" s="757"/>
      <c r="AJ11" s="757"/>
      <c r="AK11" s="757"/>
      <c r="AL11" s="757"/>
      <c r="AM11" s="757"/>
      <c r="AN11" s="757"/>
      <c r="AO11" s="758"/>
      <c r="AP11" s="1356"/>
      <c r="AQ11" s="1357"/>
      <c r="AR11" s="1357"/>
      <c r="AS11" s="759" t="s">
        <v>24</v>
      </c>
      <c r="AT11" s="759"/>
      <c r="AU11" s="759"/>
      <c r="AV11" s="759"/>
      <c r="AW11" s="759"/>
      <c r="AX11" s="759"/>
      <c r="AY11" s="759"/>
      <c r="AZ11" s="759"/>
      <c r="BA11" s="759"/>
      <c r="BB11" s="760"/>
      <c r="BC11" s="725"/>
    </row>
    <row r="12" spans="1:56">
      <c r="A12" s="723"/>
      <c r="B12" s="752">
        <v>4</v>
      </c>
      <c r="C12" s="761" t="s">
        <v>25</v>
      </c>
      <c r="D12" s="757"/>
      <c r="E12" s="757"/>
      <c r="F12" s="757"/>
      <c r="G12" s="757"/>
      <c r="H12" s="757"/>
      <c r="I12" s="757"/>
      <c r="J12" s="757"/>
      <c r="K12" s="757"/>
      <c r="L12" s="757"/>
      <c r="M12" s="757"/>
      <c r="N12" s="757"/>
      <c r="O12" s="758"/>
      <c r="P12" s="1335"/>
      <c r="Q12" s="1336"/>
      <c r="R12" s="1336"/>
      <c r="S12" s="1336"/>
      <c r="T12" s="1336"/>
      <c r="U12" s="1336"/>
      <c r="V12" s="1336"/>
      <c r="W12" s="1336"/>
      <c r="X12" s="1336"/>
      <c r="Y12" s="1336"/>
      <c r="Z12" s="1336"/>
      <c r="AA12" s="1336"/>
      <c r="AB12" s="1383"/>
      <c r="AC12" s="1390" t="s">
        <v>26</v>
      </c>
      <c r="AD12" s="1391"/>
      <c r="AE12" s="1391"/>
      <c r="AF12" s="1391"/>
      <c r="AG12" s="1391"/>
      <c r="AH12" s="1391"/>
      <c r="AI12" s="1391"/>
      <c r="AJ12" s="1391"/>
      <c r="AK12" s="1391"/>
      <c r="AL12" s="1391"/>
      <c r="AM12" s="1391"/>
      <c r="AN12" s="1391"/>
      <c r="AO12" s="1392"/>
      <c r="AP12" s="1399"/>
      <c r="AQ12" s="1346"/>
      <c r="AR12" s="1346"/>
      <c r="AS12" s="1346"/>
      <c r="AT12" s="1346"/>
      <c r="AU12" s="1346"/>
      <c r="AV12" s="1346"/>
      <c r="AW12" s="1346"/>
      <c r="AX12" s="1346"/>
      <c r="AY12" s="1346"/>
      <c r="AZ12" s="1346"/>
      <c r="BA12" s="1346"/>
      <c r="BB12" s="1347"/>
      <c r="BC12" s="725"/>
    </row>
    <row r="13" spans="1:56">
      <c r="A13" s="723"/>
      <c r="B13" s="752">
        <v>5</v>
      </c>
      <c r="C13" s="761" t="s">
        <v>27</v>
      </c>
      <c r="D13" s="757"/>
      <c r="E13" s="757"/>
      <c r="F13" s="757"/>
      <c r="G13" s="757"/>
      <c r="H13" s="757"/>
      <c r="I13" s="757"/>
      <c r="J13" s="757"/>
      <c r="K13" s="757"/>
      <c r="L13" s="757"/>
      <c r="M13" s="757"/>
      <c r="N13" s="757"/>
      <c r="O13" s="758"/>
      <c r="P13" s="1404">
        <f>M25+M24</f>
        <v>0</v>
      </c>
      <c r="Q13" s="1405"/>
      <c r="R13" s="1405"/>
      <c r="S13" s="995" t="s">
        <v>28</v>
      </c>
      <c r="T13" s="995" t="s">
        <v>29</v>
      </c>
      <c r="U13" s="995">
        <f>P13*12</f>
        <v>0</v>
      </c>
      <c r="V13" s="995"/>
      <c r="W13" s="995"/>
      <c r="X13" s="995" t="s">
        <v>30</v>
      </c>
      <c r="Y13" s="995" t="s">
        <v>31</v>
      </c>
      <c r="Z13" s="995"/>
      <c r="AA13" s="995"/>
      <c r="AB13" s="996"/>
      <c r="AC13" s="1393"/>
      <c r="AD13" s="1394"/>
      <c r="AE13" s="1394"/>
      <c r="AF13" s="1394"/>
      <c r="AG13" s="1394"/>
      <c r="AH13" s="1394"/>
      <c r="AI13" s="1394"/>
      <c r="AJ13" s="1394"/>
      <c r="AK13" s="1394"/>
      <c r="AL13" s="1394"/>
      <c r="AM13" s="1394"/>
      <c r="AN13" s="1394"/>
      <c r="AO13" s="1395"/>
      <c r="AP13" s="1400"/>
      <c r="AQ13" s="1348"/>
      <c r="AR13" s="1348"/>
      <c r="AS13" s="1348"/>
      <c r="AT13" s="1348"/>
      <c r="AU13" s="1348"/>
      <c r="AV13" s="1348"/>
      <c r="AW13" s="1348"/>
      <c r="AX13" s="1348"/>
      <c r="AY13" s="1348"/>
      <c r="AZ13" s="1348"/>
      <c r="BA13" s="1348"/>
      <c r="BB13" s="1349"/>
      <c r="BC13" s="725"/>
    </row>
    <row r="14" spans="1:56">
      <c r="A14" s="723"/>
      <c r="B14" s="752">
        <v>6</v>
      </c>
      <c r="C14" s="761" t="s">
        <v>32</v>
      </c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8"/>
      <c r="P14" s="1335"/>
      <c r="Q14" s="1336"/>
      <c r="R14" s="1336"/>
      <c r="S14" s="1336"/>
      <c r="T14" s="1336"/>
      <c r="U14" s="1336"/>
      <c r="V14" s="1336"/>
      <c r="W14" s="1336"/>
      <c r="X14" s="1336"/>
      <c r="Y14" s="1336"/>
      <c r="Z14" s="1336"/>
      <c r="AA14" s="1336"/>
      <c r="AB14" s="1383"/>
      <c r="AC14" s="1396"/>
      <c r="AD14" s="1397"/>
      <c r="AE14" s="1397"/>
      <c r="AF14" s="1397"/>
      <c r="AG14" s="1397"/>
      <c r="AH14" s="1397"/>
      <c r="AI14" s="1397"/>
      <c r="AJ14" s="1397"/>
      <c r="AK14" s="1397"/>
      <c r="AL14" s="1397"/>
      <c r="AM14" s="1397"/>
      <c r="AN14" s="1397"/>
      <c r="AO14" s="1398"/>
      <c r="AP14" s="1401"/>
      <c r="AQ14" s="1402"/>
      <c r="AR14" s="1402"/>
      <c r="AS14" s="1402"/>
      <c r="AT14" s="1402"/>
      <c r="AU14" s="1402"/>
      <c r="AV14" s="1402"/>
      <c r="AW14" s="1402"/>
      <c r="AX14" s="1402"/>
      <c r="AY14" s="1402"/>
      <c r="AZ14" s="1402"/>
      <c r="BA14" s="1402"/>
      <c r="BB14" s="1403"/>
      <c r="BC14" s="725"/>
    </row>
    <row r="15" spans="1:56">
      <c r="A15" s="723"/>
      <c r="B15" s="752">
        <v>7</v>
      </c>
      <c r="C15" s="761" t="s">
        <v>33</v>
      </c>
      <c r="D15" s="757"/>
      <c r="E15" s="757"/>
      <c r="F15" s="757"/>
      <c r="G15" s="757"/>
      <c r="H15" s="757"/>
      <c r="I15" s="757"/>
      <c r="J15" s="757"/>
      <c r="K15" s="757"/>
      <c r="L15" s="757"/>
      <c r="M15" s="757"/>
      <c r="N15" s="757"/>
      <c r="O15" s="758"/>
      <c r="P15" s="1335"/>
      <c r="Q15" s="1336"/>
      <c r="R15" s="1336"/>
      <c r="S15" s="1336"/>
      <c r="T15" s="1336"/>
      <c r="U15" s="1336"/>
      <c r="V15" s="1336"/>
      <c r="W15" s="1336"/>
      <c r="X15" s="1336"/>
      <c r="Y15" s="1336"/>
      <c r="Z15" s="1336"/>
      <c r="AA15" s="1336"/>
      <c r="AB15" s="1383"/>
      <c r="AC15" s="756"/>
      <c r="AD15" s="757"/>
      <c r="AE15" s="757"/>
      <c r="AF15" s="757"/>
      <c r="AG15" s="757"/>
      <c r="AH15" s="757"/>
      <c r="AI15" s="757"/>
      <c r="AJ15" s="757"/>
      <c r="AK15" s="757"/>
      <c r="AL15" s="757"/>
      <c r="AM15" s="757"/>
      <c r="AN15" s="757"/>
      <c r="AO15" s="758"/>
      <c r="AP15" s="1345"/>
      <c r="AQ15" s="1327"/>
      <c r="AR15" s="1327"/>
      <c r="AS15" s="762"/>
      <c r="AT15" s="763"/>
      <c r="AU15" s="764"/>
      <c r="AV15" s="762"/>
      <c r="AW15" s="1327"/>
      <c r="AX15" s="1327"/>
      <c r="AY15" s="1327"/>
      <c r="AZ15" s="762"/>
      <c r="BA15" s="762"/>
      <c r="BB15" s="765"/>
      <c r="BC15" s="725"/>
    </row>
    <row r="16" spans="1:56">
      <c r="A16" s="723"/>
      <c r="B16" s="752">
        <v>8</v>
      </c>
      <c r="C16" s="756" t="s">
        <v>34</v>
      </c>
      <c r="D16" s="757"/>
      <c r="E16" s="757"/>
      <c r="F16" s="757"/>
      <c r="G16" s="757"/>
      <c r="H16" s="757"/>
      <c r="I16" s="757"/>
      <c r="J16" s="757"/>
      <c r="K16" s="757"/>
      <c r="L16" s="757"/>
      <c r="M16" s="757"/>
      <c r="N16" s="757"/>
      <c r="O16" s="758"/>
      <c r="P16" s="1356"/>
      <c r="Q16" s="1357"/>
      <c r="R16" s="1357"/>
      <c r="S16" s="1357"/>
      <c r="T16" s="1357"/>
      <c r="U16" s="1357"/>
      <c r="V16" s="1357"/>
      <c r="W16" s="1357"/>
      <c r="X16" s="1357"/>
      <c r="Y16" s="1357"/>
      <c r="Z16" s="1357"/>
      <c r="AA16" s="1357"/>
      <c r="AB16" s="1358"/>
      <c r="AC16" s="756"/>
      <c r="AD16" s="757"/>
      <c r="AE16" s="757"/>
      <c r="AF16" s="757"/>
      <c r="AG16" s="757"/>
      <c r="AH16" s="757"/>
      <c r="AI16" s="757"/>
      <c r="AJ16" s="757"/>
      <c r="AK16" s="757"/>
      <c r="AL16" s="757"/>
      <c r="AM16" s="757"/>
      <c r="AN16" s="757"/>
      <c r="AO16" s="758"/>
      <c r="AP16" s="1384"/>
      <c r="AQ16" s="1385"/>
      <c r="AR16" s="1385"/>
      <c r="AS16" s="1385"/>
      <c r="AT16" s="1385"/>
      <c r="AU16" s="1385"/>
      <c r="AV16" s="1385"/>
      <c r="AW16" s="1385"/>
      <c r="AX16" s="1385"/>
      <c r="AY16" s="1385"/>
      <c r="AZ16" s="1385"/>
      <c r="BA16" s="1385"/>
      <c r="BB16" s="1386"/>
      <c r="BC16" s="725"/>
    </row>
    <row r="17" spans="1:55" ht="15.75" thickBot="1">
      <c r="A17" s="723"/>
      <c r="B17" s="752">
        <v>9</v>
      </c>
      <c r="C17" s="767" t="s">
        <v>35</v>
      </c>
      <c r="D17" s="768"/>
      <c r="E17" s="768"/>
      <c r="F17" s="768"/>
      <c r="G17" s="768"/>
      <c r="H17" s="768"/>
      <c r="I17" s="768"/>
      <c r="J17" s="768"/>
      <c r="K17" s="768"/>
      <c r="L17" s="768"/>
      <c r="M17" s="768"/>
      <c r="N17" s="768"/>
      <c r="O17" s="769"/>
      <c r="P17" s="1387"/>
      <c r="Q17" s="1378"/>
      <c r="R17" s="1378"/>
      <c r="S17" s="1378"/>
      <c r="T17" s="1378"/>
      <c r="U17" s="1378"/>
      <c r="V17" s="1378"/>
      <c r="W17" s="1378"/>
      <c r="X17" s="1378"/>
      <c r="Y17" s="1378"/>
      <c r="Z17" s="1378"/>
      <c r="AA17" s="1378"/>
      <c r="AB17" s="1388"/>
      <c r="AC17" s="767"/>
      <c r="AD17" s="768"/>
      <c r="AE17" s="768"/>
      <c r="AF17" s="768"/>
      <c r="AG17" s="768"/>
      <c r="AH17" s="768"/>
      <c r="AI17" s="768"/>
      <c r="AJ17" s="768"/>
      <c r="AK17" s="768"/>
      <c r="AL17" s="768"/>
      <c r="AM17" s="768"/>
      <c r="AN17" s="768"/>
      <c r="AO17" s="769"/>
      <c r="AP17" s="997"/>
      <c r="AQ17" s="787"/>
      <c r="AR17" s="787"/>
      <c r="AS17" s="787"/>
      <c r="AT17" s="787"/>
      <c r="AU17" s="787"/>
      <c r="AV17" s="787"/>
      <c r="AW17" s="787"/>
      <c r="AX17" s="787"/>
      <c r="AY17" s="787"/>
      <c r="AZ17" s="787"/>
      <c r="BA17" s="787"/>
      <c r="BB17" s="788"/>
      <c r="BC17" s="725"/>
    </row>
    <row r="18" spans="1:55" ht="15.75" thickBot="1">
      <c r="A18" s="723"/>
      <c r="B18" s="752">
        <v>10</v>
      </c>
      <c r="C18" s="773" t="s">
        <v>36</v>
      </c>
      <c r="D18" s="774"/>
      <c r="E18" s="774"/>
      <c r="F18" s="774"/>
      <c r="G18" s="774"/>
      <c r="H18" s="774"/>
      <c r="I18" s="774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4"/>
      <c r="X18" s="774"/>
      <c r="Y18" s="774"/>
      <c r="Z18" s="774"/>
      <c r="AA18" s="774"/>
      <c r="AB18" s="775"/>
      <c r="AC18" s="749" t="s">
        <v>37</v>
      </c>
      <c r="AD18" s="750"/>
      <c r="AE18" s="750"/>
      <c r="AF18" s="750"/>
      <c r="AG18" s="750"/>
      <c r="AH18" s="750"/>
      <c r="AI18" s="750"/>
      <c r="AJ18" s="750"/>
      <c r="AK18" s="750"/>
      <c r="AL18" s="750"/>
      <c r="AM18" s="750"/>
      <c r="AN18" s="750"/>
      <c r="AO18" s="750"/>
      <c r="AP18" s="750"/>
      <c r="AQ18" s="750"/>
      <c r="AR18" s="750"/>
      <c r="AS18" s="750"/>
      <c r="AT18" s="750"/>
      <c r="AU18" s="750"/>
      <c r="AV18" s="750"/>
      <c r="AW18" s="750"/>
      <c r="AX18" s="750"/>
      <c r="AY18" s="750"/>
      <c r="AZ18" s="750"/>
      <c r="BA18" s="750"/>
      <c r="BB18" s="776"/>
      <c r="BC18" s="725"/>
    </row>
    <row r="19" spans="1:55">
      <c r="A19" s="723"/>
      <c r="B19" s="752">
        <v>11</v>
      </c>
      <c r="C19" s="777" t="s">
        <v>38</v>
      </c>
      <c r="D19" s="754"/>
      <c r="E19" s="754"/>
      <c r="F19" s="778"/>
      <c r="G19" s="754"/>
      <c r="H19" s="754"/>
      <c r="I19" s="754"/>
      <c r="J19" s="779"/>
      <c r="K19" s="780"/>
      <c r="L19" s="781"/>
      <c r="M19" s="1380">
        <f>(M20*AP10)/2000</f>
        <v>0</v>
      </c>
      <c r="N19" s="1381"/>
      <c r="O19" s="1381"/>
      <c r="P19" s="754" t="s">
        <v>39</v>
      </c>
      <c r="Q19" s="754"/>
      <c r="R19" s="780"/>
      <c r="S19" s="780"/>
      <c r="T19" s="780"/>
      <c r="U19" s="754"/>
      <c r="V19" s="754"/>
      <c r="W19" s="754"/>
      <c r="X19" s="754"/>
      <c r="Y19" s="754"/>
      <c r="Z19" s="754"/>
      <c r="AA19" s="754"/>
      <c r="AB19" s="755"/>
      <c r="AC19" s="782" t="s">
        <v>40</v>
      </c>
      <c r="AD19" s="754"/>
      <c r="AE19" s="754"/>
      <c r="AF19" s="754"/>
      <c r="AG19" s="754"/>
      <c r="AH19" s="754"/>
      <c r="AI19" s="754"/>
      <c r="AJ19" s="754"/>
      <c r="AK19" s="754"/>
      <c r="AL19" s="755"/>
      <c r="AM19" s="1382"/>
      <c r="AN19" s="1379"/>
      <c r="AO19" s="1379"/>
      <c r="AP19" s="757" t="s">
        <v>28</v>
      </c>
      <c r="AQ19" s="998" t="s">
        <v>41</v>
      </c>
      <c r="AR19" s="754"/>
      <c r="AS19" s="754"/>
      <c r="AT19" s="754"/>
      <c r="AU19" s="754"/>
      <c r="AV19" s="754"/>
      <c r="AW19" s="754"/>
      <c r="AX19" s="754"/>
      <c r="AY19" s="754"/>
      <c r="AZ19" s="754"/>
      <c r="BA19" s="754"/>
      <c r="BB19" s="755"/>
      <c r="BC19" s="725"/>
    </row>
    <row r="20" spans="1:55" ht="17.25">
      <c r="A20" s="723"/>
      <c r="B20" s="752">
        <v>12</v>
      </c>
      <c r="C20" s="783" t="s">
        <v>42</v>
      </c>
      <c r="D20" s="757"/>
      <c r="E20" s="757"/>
      <c r="F20" s="757"/>
      <c r="G20" s="757"/>
      <c r="H20" s="757"/>
      <c r="I20" s="757"/>
      <c r="J20" s="784"/>
      <c r="K20" s="759"/>
      <c r="L20" s="760"/>
      <c r="M20" s="1335"/>
      <c r="N20" s="1336"/>
      <c r="O20" s="1336"/>
      <c r="P20" s="757" t="s">
        <v>43</v>
      </c>
      <c r="Q20" s="757"/>
      <c r="R20" s="757"/>
      <c r="S20" s="757"/>
      <c r="T20" s="757"/>
      <c r="U20" s="757"/>
      <c r="V20" s="757"/>
      <c r="W20" s="757"/>
      <c r="X20" s="757"/>
      <c r="Y20" s="757"/>
      <c r="Z20" s="757"/>
      <c r="AA20" s="757"/>
      <c r="AB20" s="758"/>
      <c r="AC20" s="756" t="s">
        <v>44</v>
      </c>
      <c r="AD20" s="757"/>
      <c r="AE20" s="757"/>
      <c r="AF20" s="757"/>
      <c r="AG20" s="757"/>
      <c r="AH20" s="757"/>
      <c r="AI20" s="757"/>
      <c r="AJ20" s="757"/>
      <c r="AK20" s="757"/>
      <c r="AL20" s="758"/>
      <c r="AM20" s="999">
        <v>0.14000000000000001</v>
      </c>
      <c r="AN20" s="999"/>
      <c r="AO20" s="999"/>
      <c r="AP20" s="757"/>
      <c r="AQ20" s="1000" t="s">
        <v>45</v>
      </c>
      <c r="AR20" s="757"/>
      <c r="AS20" s="757"/>
      <c r="AT20" s="757"/>
      <c r="AU20" s="757"/>
      <c r="AV20" s="757"/>
      <c r="AW20" s="757"/>
      <c r="AX20" s="757"/>
      <c r="AY20" s="757"/>
      <c r="AZ20" s="757"/>
      <c r="BA20" s="757"/>
      <c r="BB20" s="758"/>
      <c r="BC20" s="725"/>
    </row>
    <row r="21" spans="1:55" ht="15.75" thickBot="1">
      <c r="A21" s="723"/>
      <c r="B21" s="752">
        <v>13</v>
      </c>
      <c r="C21" s="785" t="s">
        <v>46</v>
      </c>
      <c r="D21" s="768"/>
      <c r="E21" s="768"/>
      <c r="F21" s="768"/>
      <c r="G21" s="768"/>
      <c r="H21" s="768"/>
      <c r="I21" s="768"/>
      <c r="J21" s="786"/>
      <c r="K21" s="787"/>
      <c r="L21" s="788"/>
      <c r="M21" s="1377"/>
      <c r="N21" s="1378"/>
      <c r="O21" s="1378"/>
      <c r="P21" s="768" t="s">
        <v>47</v>
      </c>
      <c r="Q21" s="768"/>
      <c r="R21" s="768"/>
      <c r="S21" s="768"/>
      <c r="T21" s="768"/>
      <c r="U21" s="768"/>
      <c r="V21" s="768"/>
      <c r="W21" s="768"/>
      <c r="X21" s="768"/>
      <c r="Y21" s="768"/>
      <c r="Z21" s="768"/>
      <c r="AA21" s="768"/>
      <c r="AB21" s="769"/>
      <c r="AC21" s="756" t="s">
        <v>48</v>
      </c>
      <c r="AD21" s="757"/>
      <c r="AE21" s="757"/>
      <c r="AF21" s="757"/>
      <c r="AG21" s="757"/>
      <c r="AH21" s="757"/>
      <c r="AI21" s="757"/>
      <c r="AJ21" s="757"/>
      <c r="AK21" s="757"/>
      <c r="AL21" s="758"/>
      <c r="AM21" s="1335"/>
      <c r="AN21" s="1336"/>
      <c r="AO21" s="1336"/>
      <c r="AP21" s="757"/>
      <c r="AQ21" s="757"/>
      <c r="AR21" s="757"/>
      <c r="AS21" s="757"/>
      <c r="AT21" s="757"/>
      <c r="AU21" s="757"/>
      <c r="AV21" s="757"/>
      <c r="AW21" s="757"/>
      <c r="AX21" s="757"/>
      <c r="AY21" s="757"/>
      <c r="AZ21" s="757"/>
      <c r="BA21" s="757"/>
      <c r="BB21" s="758"/>
      <c r="BC21" s="725"/>
    </row>
    <row r="22" spans="1:55" ht="15.75" thickBot="1">
      <c r="A22" s="723"/>
      <c r="B22" s="752">
        <v>14</v>
      </c>
      <c r="C22" s="789" t="s">
        <v>49</v>
      </c>
      <c r="D22" s="790"/>
      <c r="E22" s="790"/>
      <c r="F22" s="790"/>
      <c r="G22" s="790"/>
      <c r="H22" s="790"/>
      <c r="I22" s="790"/>
      <c r="J22" s="790"/>
      <c r="K22" s="790"/>
      <c r="L22" s="790"/>
      <c r="M22" s="790"/>
      <c r="N22" s="790"/>
      <c r="O22" s="790"/>
      <c r="P22" s="790"/>
      <c r="Q22" s="790"/>
      <c r="R22" s="790"/>
      <c r="S22" s="790"/>
      <c r="T22" s="790"/>
      <c r="U22" s="790"/>
      <c r="V22" s="790"/>
      <c r="W22" s="790"/>
      <c r="X22" s="790"/>
      <c r="Y22" s="790"/>
      <c r="Z22" s="790"/>
      <c r="AA22" s="790"/>
      <c r="AB22" s="791"/>
      <c r="AC22" s="756" t="s">
        <v>50</v>
      </c>
      <c r="AD22" s="757"/>
      <c r="AE22" s="757"/>
      <c r="AF22" s="757"/>
      <c r="AG22" s="757"/>
      <c r="AH22" s="757"/>
      <c r="AI22" s="757"/>
      <c r="AJ22" s="757"/>
      <c r="AK22" s="757"/>
      <c r="AL22" s="758"/>
      <c r="AM22" s="1335"/>
      <c r="AN22" s="1336"/>
      <c r="AO22" s="1336"/>
      <c r="AP22" s="757"/>
      <c r="AQ22" s="757"/>
      <c r="AR22" s="757"/>
      <c r="AS22" s="757"/>
      <c r="AT22" s="757"/>
      <c r="AU22" s="757"/>
      <c r="AV22" s="757"/>
      <c r="AW22" s="757"/>
      <c r="AX22" s="757"/>
      <c r="AY22" s="757"/>
      <c r="AZ22" s="757"/>
      <c r="BA22" s="757"/>
      <c r="BB22" s="758"/>
      <c r="BC22" s="725"/>
    </row>
    <row r="23" spans="1:55">
      <c r="A23" s="723"/>
      <c r="B23" s="752">
        <v>15</v>
      </c>
      <c r="C23" s="782" t="s">
        <v>51</v>
      </c>
      <c r="D23" s="754"/>
      <c r="E23" s="754"/>
      <c r="F23" s="754"/>
      <c r="G23" s="754"/>
      <c r="H23" s="754"/>
      <c r="I23" s="754"/>
      <c r="J23" s="779"/>
      <c r="K23" s="778"/>
      <c r="L23" s="792"/>
      <c r="M23" s="1379"/>
      <c r="N23" s="1379"/>
      <c r="O23" s="1379"/>
      <c r="P23" s="724" t="s">
        <v>30</v>
      </c>
      <c r="Q23" s="793"/>
      <c r="R23" s="793"/>
      <c r="S23" s="793"/>
      <c r="T23" s="793"/>
      <c r="U23" s="793"/>
      <c r="V23" s="793"/>
      <c r="W23" s="793"/>
      <c r="X23" s="793"/>
      <c r="Y23" s="793"/>
      <c r="Z23" s="793"/>
      <c r="AA23" s="793"/>
      <c r="AB23" s="794"/>
      <c r="AC23" s="756" t="s">
        <v>52</v>
      </c>
      <c r="AD23" s="757"/>
      <c r="AE23" s="757"/>
      <c r="AF23" s="757"/>
      <c r="AG23" s="757"/>
      <c r="AH23" s="757"/>
      <c r="AI23" s="757"/>
      <c r="AJ23" s="757"/>
      <c r="AK23" s="757"/>
      <c r="AL23" s="758"/>
      <c r="AM23" s="1335"/>
      <c r="AN23" s="1336"/>
      <c r="AO23" s="1336"/>
      <c r="AP23" s="757"/>
      <c r="AQ23" s="757"/>
      <c r="AR23" s="757"/>
      <c r="AS23" s="757"/>
      <c r="AT23" s="757"/>
      <c r="AU23" s="757"/>
      <c r="AV23" s="757"/>
      <c r="AW23" s="757"/>
      <c r="AX23" s="757"/>
      <c r="AY23" s="757"/>
      <c r="AZ23" s="757"/>
      <c r="BA23" s="757"/>
      <c r="BB23" s="758"/>
      <c r="BC23" s="725"/>
    </row>
    <row r="24" spans="1:55">
      <c r="A24" s="723"/>
      <c r="B24" s="752">
        <v>16</v>
      </c>
      <c r="C24" s="756" t="s">
        <v>53</v>
      </c>
      <c r="D24" s="757"/>
      <c r="E24" s="757"/>
      <c r="F24" s="757"/>
      <c r="G24" s="757"/>
      <c r="H24" s="757"/>
      <c r="I24" s="757"/>
      <c r="J24" s="784"/>
      <c r="K24" s="759"/>
      <c r="L24" s="760"/>
      <c r="M24" s="1335"/>
      <c r="N24" s="1336"/>
      <c r="O24" s="1336"/>
      <c r="P24" s="757" t="s">
        <v>28</v>
      </c>
      <c r="Q24" s="757"/>
      <c r="R24" s="757"/>
      <c r="S24" s="757"/>
      <c r="T24" s="757"/>
      <c r="U24" s="757"/>
      <c r="V24" s="757"/>
      <c r="W24" s="757"/>
      <c r="X24" s="757"/>
      <c r="Y24" s="757"/>
      <c r="Z24" s="757"/>
      <c r="AA24" s="757"/>
      <c r="AB24" s="758"/>
      <c r="AC24" s="756" t="s">
        <v>54</v>
      </c>
      <c r="AD24" s="757"/>
      <c r="AE24" s="757"/>
      <c r="AF24" s="757"/>
      <c r="AG24" s="757"/>
      <c r="AH24" s="757"/>
      <c r="AI24" s="757"/>
      <c r="AJ24" s="757"/>
      <c r="AK24" s="757"/>
      <c r="AL24" s="758"/>
      <c r="AM24" s="1335"/>
      <c r="AN24" s="1336"/>
      <c r="AO24" s="1336"/>
      <c r="AP24" s="757"/>
      <c r="AQ24" s="757"/>
      <c r="AR24" s="757"/>
      <c r="AS24" s="757"/>
      <c r="AT24" s="757"/>
      <c r="AU24" s="757"/>
      <c r="AV24" s="757"/>
      <c r="AW24" s="757"/>
      <c r="AX24" s="757"/>
      <c r="AY24" s="757"/>
      <c r="AZ24" s="757"/>
      <c r="BA24" s="757"/>
      <c r="BB24" s="758"/>
      <c r="BC24" s="725"/>
    </row>
    <row r="25" spans="1:55">
      <c r="A25" s="723"/>
      <c r="B25" s="752">
        <v>17</v>
      </c>
      <c r="C25" s="756" t="s">
        <v>55</v>
      </c>
      <c r="D25" s="757"/>
      <c r="E25" s="757"/>
      <c r="F25" s="757"/>
      <c r="G25" s="757"/>
      <c r="H25" s="757"/>
      <c r="I25" s="757"/>
      <c r="J25" s="795"/>
      <c r="K25" s="796"/>
      <c r="L25" s="797"/>
      <c r="M25" s="1335"/>
      <c r="N25" s="1336"/>
      <c r="O25" s="1336"/>
      <c r="P25" s="757" t="s">
        <v>28</v>
      </c>
      <c r="Q25" s="757"/>
      <c r="R25" s="757"/>
      <c r="S25" s="757"/>
      <c r="T25" s="757"/>
      <c r="U25" s="757"/>
      <c r="V25" s="757"/>
      <c r="W25" s="757"/>
      <c r="X25" s="757"/>
      <c r="Y25" s="757"/>
      <c r="Z25" s="757"/>
      <c r="AA25" s="757"/>
      <c r="AB25" s="758"/>
      <c r="AC25" s="756" t="s">
        <v>56</v>
      </c>
      <c r="AD25" s="757"/>
      <c r="AE25" s="757"/>
      <c r="AF25" s="757"/>
      <c r="AG25" s="757"/>
      <c r="AH25" s="757"/>
      <c r="AI25" s="757"/>
      <c r="AJ25" s="757"/>
      <c r="AK25" s="757"/>
      <c r="AL25" s="758"/>
      <c r="AM25" s="1335"/>
      <c r="AN25" s="1336"/>
      <c r="AO25" s="1336"/>
      <c r="AP25" s="757"/>
      <c r="AQ25" s="757"/>
      <c r="AR25" s="757"/>
      <c r="AS25" s="757"/>
      <c r="AT25" s="757"/>
      <c r="AU25" s="757"/>
      <c r="AV25" s="757"/>
      <c r="AW25" s="757"/>
      <c r="AX25" s="757"/>
      <c r="AY25" s="757"/>
      <c r="AZ25" s="757"/>
      <c r="BA25" s="757"/>
      <c r="BB25" s="758"/>
      <c r="BC25" s="725"/>
    </row>
    <row r="26" spans="1:55" ht="15.75" thickBot="1">
      <c r="A26" s="723"/>
      <c r="B26" s="752">
        <v>18</v>
      </c>
      <c r="C26" s="756" t="s">
        <v>57</v>
      </c>
      <c r="D26" s="757"/>
      <c r="E26" s="757"/>
      <c r="F26" s="757"/>
      <c r="G26" s="757"/>
      <c r="H26" s="757"/>
      <c r="I26" s="757"/>
      <c r="J26" s="795"/>
      <c r="K26" s="796"/>
      <c r="L26" s="797"/>
      <c r="M26" s="1335"/>
      <c r="N26" s="1336"/>
      <c r="O26" s="1336"/>
      <c r="P26" s="757" t="s">
        <v>58</v>
      </c>
      <c r="Q26" s="757"/>
      <c r="R26" s="757"/>
      <c r="S26" s="757"/>
      <c r="T26" s="757"/>
      <c r="U26" s="757"/>
      <c r="V26" s="757"/>
      <c r="W26" s="757"/>
      <c r="X26" s="757"/>
      <c r="Y26" s="757"/>
      <c r="Z26" s="757"/>
      <c r="AA26" s="757"/>
      <c r="AB26" s="758"/>
      <c r="AC26" s="756" t="s">
        <v>59</v>
      </c>
      <c r="AD26" s="757"/>
      <c r="AE26" s="757"/>
      <c r="AF26" s="757"/>
      <c r="AG26" s="757"/>
      <c r="AH26" s="757"/>
      <c r="AI26" s="757"/>
      <c r="AJ26" s="757"/>
      <c r="AK26" s="757"/>
      <c r="AL26" s="758"/>
      <c r="AM26" s="1001" t="e">
        <f>VLOOKUP(AM25,List!AD3:AE5,2,FALSE)</f>
        <v>#N/A</v>
      </c>
      <c r="AN26" s="995"/>
      <c r="AO26" s="995"/>
      <c r="AP26" s="757" t="s">
        <v>60</v>
      </c>
      <c r="AQ26" s="757"/>
      <c r="AR26" s="757"/>
      <c r="AS26" s="757"/>
      <c r="AT26" s="757"/>
      <c r="AU26" s="757"/>
      <c r="AV26" s="757"/>
      <c r="AW26" s="757"/>
      <c r="AX26" s="757"/>
      <c r="AY26" s="757"/>
      <c r="AZ26" s="757"/>
      <c r="BA26" s="757"/>
      <c r="BB26" s="758"/>
      <c r="BC26" s="725"/>
    </row>
    <row r="27" spans="1:55" ht="15.75" thickBot="1">
      <c r="A27" s="723"/>
      <c r="B27" s="752">
        <v>19</v>
      </c>
      <c r="C27" s="756" t="s">
        <v>61</v>
      </c>
      <c r="D27" s="757"/>
      <c r="E27" s="757"/>
      <c r="F27" s="757"/>
      <c r="G27" s="757"/>
      <c r="H27" s="757"/>
      <c r="I27" s="757"/>
      <c r="J27" s="757"/>
      <c r="K27" s="796"/>
      <c r="L27" s="797"/>
      <c r="M27" s="1335"/>
      <c r="N27" s="1336"/>
      <c r="O27" s="1336"/>
      <c r="P27" s="757" t="s">
        <v>62</v>
      </c>
      <c r="Q27" s="757"/>
      <c r="R27" s="1000" t="s">
        <v>63</v>
      </c>
      <c r="S27" s="757"/>
      <c r="T27" s="757"/>
      <c r="U27" s="757"/>
      <c r="V27" s="757"/>
      <c r="W27" s="757"/>
      <c r="X27" s="757"/>
      <c r="Y27" s="757"/>
      <c r="Z27" s="757"/>
      <c r="AA27" s="757"/>
      <c r="AB27" s="758"/>
      <c r="AC27" s="749" t="s">
        <v>64</v>
      </c>
      <c r="AD27" s="750"/>
      <c r="AE27" s="750"/>
      <c r="AF27" s="750"/>
      <c r="AG27" s="750"/>
      <c r="AH27" s="750"/>
      <c r="AI27" s="750"/>
      <c r="AJ27" s="750"/>
      <c r="AK27" s="750"/>
      <c r="AL27" s="750"/>
      <c r="AM27" s="750"/>
      <c r="AN27" s="750"/>
      <c r="AO27" s="750"/>
      <c r="AP27" s="750"/>
      <c r="AQ27" s="750"/>
      <c r="AR27" s="750"/>
      <c r="AS27" s="750"/>
      <c r="AT27" s="750"/>
      <c r="AU27" s="750"/>
      <c r="AV27" s="750"/>
      <c r="AW27" s="750"/>
      <c r="AX27" s="750"/>
      <c r="AY27" s="750"/>
      <c r="AZ27" s="750"/>
      <c r="BA27" s="750"/>
      <c r="BB27" s="776"/>
      <c r="BC27" s="725"/>
    </row>
    <row r="28" spans="1:55">
      <c r="A28" s="723"/>
      <c r="B28" s="752">
        <v>20</v>
      </c>
      <c r="C28" s="756" t="s">
        <v>65</v>
      </c>
      <c r="D28" s="757"/>
      <c r="E28" s="757"/>
      <c r="F28" s="757"/>
      <c r="G28" s="757"/>
      <c r="H28" s="757"/>
      <c r="I28" s="757"/>
      <c r="J28" s="757"/>
      <c r="K28" s="796"/>
      <c r="L28" s="797"/>
      <c r="M28" s="1335"/>
      <c r="N28" s="1336"/>
      <c r="O28" s="1336"/>
      <c r="P28" s="757" t="s">
        <v>30</v>
      </c>
      <c r="Q28" s="757"/>
      <c r="R28" s="1000" t="s">
        <v>66</v>
      </c>
      <c r="S28" s="757"/>
      <c r="T28" s="757"/>
      <c r="U28" s="757"/>
      <c r="V28" s="757"/>
      <c r="W28" s="757"/>
      <c r="X28" s="757"/>
      <c r="Y28" s="757"/>
      <c r="Z28" s="757"/>
      <c r="AA28" s="757"/>
      <c r="AB28" s="758"/>
      <c r="AC28" s="782" t="s">
        <v>67</v>
      </c>
      <c r="AD28" s="757"/>
      <c r="AE28" s="757"/>
      <c r="AF28" s="757"/>
      <c r="AG28" s="757"/>
      <c r="AH28" s="757"/>
      <c r="AI28" s="757"/>
      <c r="AJ28" s="757"/>
      <c r="AK28" s="757"/>
      <c r="AL28" s="758"/>
      <c r="AM28" s="1375"/>
      <c r="AN28" s="1376"/>
      <c r="AO28" s="1376"/>
      <c r="AP28" s="757"/>
      <c r="AQ28" s="1085"/>
      <c r="AR28" s="757"/>
      <c r="AS28" s="757"/>
      <c r="AT28" s="757"/>
      <c r="AU28" s="1002" t="s">
        <v>68</v>
      </c>
      <c r="AV28" s="1446">
        <f>_xlfn.IFNA(INDEX(List!CB3:CB9,MATCH(AV29,List!CB3:CB9,-1)),"GT")</f>
        <v>12</v>
      </c>
      <c r="AW28" s="1446"/>
      <c r="AX28" s="1085" t="s">
        <v>30</v>
      </c>
      <c r="AY28" s="757"/>
      <c r="AZ28" s="1372"/>
      <c r="BA28" s="1372"/>
      <c r="BB28" s="758"/>
      <c r="BC28" s="725"/>
    </row>
    <row r="29" spans="1:55">
      <c r="A29" s="723"/>
      <c r="B29" s="752">
        <v>21</v>
      </c>
      <c r="C29" s="761" t="s">
        <v>69</v>
      </c>
      <c r="D29" s="757"/>
      <c r="E29" s="757"/>
      <c r="F29" s="757"/>
      <c r="G29" s="757"/>
      <c r="H29" s="757"/>
      <c r="I29" s="757"/>
      <c r="J29" s="757"/>
      <c r="K29" s="796"/>
      <c r="L29" s="797"/>
      <c r="M29" s="1335"/>
      <c r="N29" s="1336"/>
      <c r="O29" s="1336"/>
      <c r="P29" s="757"/>
      <c r="Q29" s="757"/>
      <c r="R29" s="1000" t="s">
        <v>70</v>
      </c>
      <c r="S29" s="757"/>
      <c r="T29" s="757"/>
      <c r="U29" s="757"/>
      <c r="V29" s="757"/>
      <c r="W29" s="757"/>
      <c r="X29" s="757"/>
      <c r="Y29" s="757"/>
      <c r="Z29" s="757"/>
      <c r="AA29" s="757"/>
      <c r="AB29" s="758"/>
      <c r="AC29" s="756" t="s">
        <v>71</v>
      </c>
      <c r="AD29" s="757"/>
      <c r="AE29" s="757"/>
      <c r="AF29" s="757"/>
      <c r="AG29" s="757"/>
      <c r="AH29" s="757"/>
      <c r="AI29" s="757"/>
      <c r="AJ29" s="757"/>
      <c r="AK29" s="757"/>
      <c r="AL29" s="758"/>
      <c r="AM29" s="1356"/>
      <c r="AN29" s="1357"/>
      <c r="AO29" s="1357"/>
      <c r="AP29" s="757"/>
      <c r="AQ29" s="1000"/>
      <c r="AR29" s="757"/>
      <c r="AS29" s="757"/>
      <c r="AT29" s="757"/>
      <c r="AU29" s="757"/>
      <c r="AV29" s="1447">
        <f>SUM(AL90:AM92)*0.02*12</f>
        <v>0</v>
      </c>
      <c r="AW29" s="1447"/>
      <c r="AX29" s="757"/>
      <c r="AY29" s="757"/>
      <c r="AZ29" s="757"/>
      <c r="BA29" s="757"/>
      <c r="BB29" s="758"/>
      <c r="BC29" s="725"/>
    </row>
    <row r="30" spans="1:55">
      <c r="A30" s="723"/>
      <c r="B30" s="752">
        <v>22</v>
      </c>
      <c r="C30" s="761" t="s">
        <v>72</v>
      </c>
      <c r="D30" s="757"/>
      <c r="E30" s="757"/>
      <c r="F30" s="757"/>
      <c r="G30" s="757"/>
      <c r="H30" s="757"/>
      <c r="I30" s="757"/>
      <c r="J30" s="757"/>
      <c r="K30" s="796"/>
      <c r="L30" s="797"/>
      <c r="M30" s="1440" t="e" cm="1">
        <f t="array" ref="M30">IF(AND(AP10&gt;=30,AP10&lt;=74),VLOOKUP(M23,List!F4:I9,2,FALSE),IF(AND(AP10&gt;=74,AP10&lt;=129),VLOOKUP(M23,List!F4:I9,3,FALSE),IF(AND(AP10&gt;=130,AP10&lt;=200),VLOOKUP(M23,List!F4:I9,4,FALSE),NA)))</f>
        <v>#NAME?</v>
      </c>
      <c r="N30" s="1441"/>
      <c r="O30" s="1441"/>
      <c r="P30" s="757" t="s">
        <v>73</v>
      </c>
      <c r="Q30" s="757"/>
      <c r="R30" s="1000" t="s">
        <v>74</v>
      </c>
      <c r="S30" s="757"/>
      <c r="T30" s="757"/>
      <c r="U30" s="757"/>
      <c r="V30" s="757"/>
      <c r="W30" s="757"/>
      <c r="X30" s="757"/>
      <c r="Y30" s="757"/>
      <c r="Z30" s="757"/>
      <c r="AA30" s="757"/>
      <c r="AB30" s="758"/>
      <c r="AC30" s="756" t="s">
        <v>75</v>
      </c>
      <c r="AD30" s="757"/>
      <c r="AE30" s="757"/>
      <c r="AF30" s="757"/>
      <c r="AG30" s="757"/>
      <c r="AH30" s="757"/>
      <c r="AI30" s="757"/>
      <c r="AJ30" s="757"/>
      <c r="AK30" s="757"/>
      <c r="AL30" s="758"/>
      <c r="AM30" s="1335"/>
      <c r="AN30" s="1336"/>
      <c r="AO30" s="1336"/>
      <c r="AP30" s="757" t="s">
        <v>30</v>
      </c>
      <c r="AQ30" s="1000" t="s">
        <v>76</v>
      </c>
      <c r="AR30" s="757"/>
      <c r="AS30" s="757"/>
      <c r="AT30" s="757"/>
      <c r="AU30" s="757"/>
      <c r="AV30" s="757"/>
      <c r="AW30" s="757"/>
      <c r="AX30" s="1003" t="e" cm="1">
        <f t="array" ref="AX30">IF(HPL_Th="N/A","",_xlfn.XLOOKUP(HPL_Th,LAG_TDES[[#All],[THICKNESS]],LAG_TDES[[#All],[DESIGNATION]]))</f>
        <v>#N/A</v>
      </c>
      <c r="AY30" s="757"/>
      <c r="AZ30" s="757"/>
      <c r="BA30" s="757"/>
      <c r="BB30" s="758"/>
      <c r="BC30" s="725"/>
    </row>
    <row r="31" spans="1:55">
      <c r="A31" s="723"/>
      <c r="B31" s="752">
        <v>23</v>
      </c>
      <c r="C31" s="761" t="s">
        <v>77</v>
      </c>
      <c r="D31" s="757"/>
      <c r="E31" s="757"/>
      <c r="F31" s="757"/>
      <c r="G31" s="757"/>
      <c r="H31" s="757"/>
      <c r="I31" s="757"/>
      <c r="J31" s="757"/>
      <c r="K31" s="793"/>
      <c r="L31" s="794"/>
      <c r="M31" s="1335"/>
      <c r="N31" s="1336"/>
      <c r="O31" s="1336"/>
      <c r="P31" s="757"/>
      <c r="Q31" s="757"/>
      <c r="R31" s="757"/>
      <c r="S31" s="757"/>
      <c r="T31" s="757"/>
      <c r="U31" s="757"/>
      <c r="V31" s="757"/>
      <c r="W31" s="757"/>
      <c r="X31" s="757"/>
      <c r="Y31" s="757"/>
      <c r="Z31" s="757"/>
      <c r="AA31" s="757"/>
      <c r="AB31" s="758"/>
      <c r="AC31" s="756" t="s">
        <v>78</v>
      </c>
      <c r="AD31" s="757"/>
      <c r="AE31" s="757"/>
      <c r="AF31" s="757"/>
      <c r="AG31" s="757"/>
      <c r="AH31" s="757"/>
      <c r="AI31" s="757"/>
      <c r="AJ31" s="757"/>
      <c r="AK31" s="757"/>
      <c r="AL31" s="758"/>
      <c r="AM31" s="1335"/>
      <c r="AN31" s="1336"/>
      <c r="AO31" s="1336"/>
      <c r="AP31" s="757" t="s">
        <v>30</v>
      </c>
      <c r="AQ31" s="1003" t="str">
        <f>IF(HSD&lt;2.25,"XT25",IF(HSD&gt;2.8125,"XT30","XT35"))</f>
        <v>XT25</v>
      </c>
      <c r="AR31" s="757"/>
      <c r="AS31" s="757"/>
      <c r="AT31" s="1004"/>
      <c r="AU31" s="1004"/>
      <c r="AV31" s="1004"/>
      <c r="AW31" s="757"/>
      <c r="AX31" s="757"/>
      <c r="AY31" s="757"/>
      <c r="AZ31" s="757"/>
      <c r="BA31" s="757"/>
      <c r="BB31" s="758"/>
      <c r="BC31" s="725"/>
    </row>
    <row r="32" spans="1:55">
      <c r="A32" s="723"/>
      <c r="B32" s="752">
        <v>24</v>
      </c>
      <c r="C32" s="756" t="s">
        <v>79</v>
      </c>
      <c r="D32" s="757"/>
      <c r="E32" s="757"/>
      <c r="F32" s="757"/>
      <c r="G32" s="757"/>
      <c r="H32" s="757"/>
      <c r="I32" s="758"/>
      <c r="J32" s="757"/>
      <c r="K32" s="757"/>
      <c r="L32" s="758"/>
      <c r="M32" s="1335"/>
      <c r="N32" s="1336"/>
      <c r="O32" s="1336"/>
      <c r="P32" s="757" t="s">
        <v>58</v>
      </c>
      <c r="Q32" s="757"/>
      <c r="R32" s="1000" t="s">
        <v>80</v>
      </c>
      <c r="S32" s="757"/>
      <c r="T32" s="757"/>
      <c r="U32" s="757"/>
      <c r="V32" s="757"/>
      <c r="W32" s="757"/>
      <c r="X32" s="757"/>
      <c r="Y32" s="757"/>
      <c r="Z32" s="757"/>
      <c r="AA32" s="757"/>
      <c r="AB32" s="758"/>
      <c r="AC32" s="756" t="s">
        <v>81</v>
      </c>
      <c r="AD32" s="757"/>
      <c r="AE32" s="757"/>
      <c r="AF32" s="757"/>
      <c r="AG32" s="757"/>
      <c r="AH32" s="757"/>
      <c r="AI32" s="757"/>
      <c r="AJ32" s="757"/>
      <c r="AK32" s="757"/>
      <c r="AL32" s="758"/>
      <c r="AM32" s="1335"/>
      <c r="AN32" s="1336"/>
      <c r="AO32" s="1336"/>
      <c r="AP32" s="757" t="s">
        <v>30</v>
      </c>
      <c r="AQ32" s="1003" t="str">
        <f>IF(TSD&lt;2.25,"XT25",IF(TSD&gt;2.8125,"XT30","XT35"))</f>
        <v>XT25</v>
      </c>
      <c r="AR32" s="757"/>
      <c r="AS32" s="757"/>
      <c r="AT32" s="1004"/>
      <c r="AU32" s="1004"/>
      <c r="AV32" s="1004"/>
      <c r="AW32" s="757"/>
      <c r="AX32" s="757"/>
      <c r="AY32" s="757"/>
      <c r="AZ32" s="757"/>
      <c r="BA32" s="757"/>
      <c r="BB32" s="758"/>
      <c r="BC32" s="725"/>
    </row>
    <row r="33" spans="1:55">
      <c r="A33" s="723"/>
      <c r="B33" s="752">
        <v>25</v>
      </c>
      <c r="C33" s="756" t="s">
        <v>82</v>
      </c>
      <c r="D33" s="757"/>
      <c r="E33" s="757"/>
      <c r="F33" s="757"/>
      <c r="G33" s="757"/>
      <c r="H33" s="757"/>
      <c r="I33" s="757"/>
      <c r="J33" s="757"/>
      <c r="K33" s="757"/>
      <c r="L33" s="758"/>
      <c r="M33" s="1335"/>
      <c r="N33" s="1336"/>
      <c r="O33" s="1336"/>
      <c r="P33" s="757" t="s">
        <v>28</v>
      </c>
      <c r="Q33" s="724"/>
      <c r="R33" s="1000" t="s">
        <v>83</v>
      </c>
      <c r="S33" s="757"/>
      <c r="T33" s="757"/>
      <c r="U33" s="757"/>
      <c r="V33" s="757"/>
      <c r="W33" s="757"/>
      <c r="X33" s="757"/>
      <c r="Y33" s="757"/>
      <c r="Z33" s="757"/>
      <c r="AA33" s="757"/>
      <c r="AB33" s="758"/>
      <c r="AC33" s="756" t="s">
        <v>84</v>
      </c>
      <c r="AD33" s="757"/>
      <c r="AE33" s="757"/>
      <c r="AF33" s="757"/>
      <c r="AG33" s="757"/>
      <c r="AH33" s="757"/>
      <c r="AI33" s="757"/>
      <c r="AJ33" s="757"/>
      <c r="AK33" s="757"/>
      <c r="AL33" s="758"/>
      <c r="AM33" s="1335"/>
      <c r="AN33" s="1336"/>
      <c r="AO33" s="1336"/>
      <c r="AP33" s="1000" t="s">
        <v>85</v>
      </c>
      <c r="AR33" s="757"/>
      <c r="AS33" s="757"/>
      <c r="AT33" s="757"/>
      <c r="AU33" s="757"/>
      <c r="AV33" s="757"/>
      <c r="AW33" s="757"/>
      <c r="AX33" s="757"/>
      <c r="AY33" s="757"/>
      <c r="AZ33" s="757"/>
      <c r="BA33" s="757"/>
      <c r="BB33" s="758"/>
      <c r="BC33" s="725"/>
    </row>
    <row r="34" spans="1:55">
      <c r="A34" s="723"/>
      <c r="B34" s="752">
        <v>26</v>
      </c>
      <c r="C34" s="756" t="s">
        <v>86</v>
      </c>
      <c r="D34" s="757"/>
      <c r="E34" s="757"/>
      <c r="F34" s="757"/>
      <c r="G34" s="757"/>
      <c r="H34" s="757"/>
      <c r="I34" s="757"/>
      <c r="J34" s="757"/>
      <c r="K34" s="757"/>
      <c r="L34" s="758"/>
      <c r="M34" s="1335"/>
      <c r="N34" s="1336"/>
      <c r="O34" s="1336"/>
      <c r="P34" s="757" t="s">
        <v>28</v>
      </c>
      <c r="Q34" s="757"/>
      <c r="R34" s="1000" t="s">
        <v>87</v>
      </c>
      <c r="S34" s="757"/>
      <c r="T34" s="757"/>
      <c r="U34" s="757"/>
      <c r="V34" s="757"/>
      <c r="W34" s="757"/>
      <c r="X34" s="757"/>
      <c r="Y34" s="757"/>
      <c r="Z34" s="757"/>
      <c r="AA34" s="757"/>
      <c r="AB34" s="758"/>
      <c r="AC34" s="756" t="s">
        <v>88</v>
      </c>
      <c r="AD34" s="757"/>
      <c r="AE34" s="757"/>
      <c r="AF34" s="757"/>
      <c r="AG34" s="757"/>
      <c r="AH34" s="757"/>
      <c r="AI34" s="757"/>
      <c r="AJ34" s="757"/>
      <c r="AK34" s="757"/>
      <c r="AL34" s="758"/>
      <c r="AM34" s="1335"/>
      <c r="AN34" s="1336"/>
      <c r="AO34" s="1336"/>
      <c r="AP34" s="757" t="s">
        <v>89</v>
      </c>
      <c r="AQ34" s="757"/>
      <c r="AR34" s="757"/>
      <c r="AS34" s="757"/>
      <c r="AT34" s="757"/>
      <c r="AU34" s="757"/>
      <c r="AV34" s="757"/>
      <c r="AW34" s="757"/>
      <c r="AX34" s="757"/>
      <c r="AY34" s="757"/>
      <c r="AZ34" s="757"/>
      <c r="BA34" s="757"/>
      <c r="BB34" s="758"/>
      <c r="BC34" s="725"/>
    </row>
    <row r="35" spans="1:55">
      <c r="A35" s="723"/>
      <c r="B35" s="752">
        <v>27</v>
      </c>
      <c r="C35" s="756" t="s">
        <v>90</v>
      </c>
      <c r="D35" s="757"/>
      <c r="E35" s="757"/>
      <c r="F35" s="757"/>
      <c r="G35" s="757"/>
      <c r="H35" s="757"/>
      <c r="I35" s="757"/>
      <c r="J35" s="757"/>
      <c r="K35" s="757"/>
      <c r="L35" s="758"/>
      <c r="M35" s="1335"/>
      <c r="N35" s="1336"/>
      <c r="O35" s="1336"/>
      <c r="P35" s="757" t="s">
        <v>30</v>
      </c>
      <c r="Q35" s="757"/>
      <c r="R35" s="757"/>
      <c r="S35" s="757"/>
      <c r="T35" s="757"/>
      <c r="U35" s="757"/>
      <c r="V35" s="757"/>
      <c r="W35" s="757"/>
      <c r="X35" s="757"/>
      <c r="Y35" s="757"/>
      <c r="Z35" s="757"/>
      <c r="AA35" s="757"/>
      <c r="AB35" s="758"/>
      <c r="AC35" s="756" t="s">
        <v>91</v>
      </c>
      <c r="AD35" s="757"/>
      <c r="AE35" s="757"/>
      <c r="AF35" s="757"/>
      <c r="AG35" s="757"/>
      <c r="AH35" s="757"/>
      <c r="AI35" s="757"/>
      <c r="AJ35" s="757"/>
      <c r="AK35" s="757"/>
      <c r="AL35" s="758"/>
      <c r="AM35" s="1335"/>
      <c r="AN35" s="1336"/>
      <c r="AO35" s="1336"/>
      <c r="AP35" s="757" t="s">
        <v>92</v>
      </c>
      <c r="AQ35" s="1000" t="s">
        <v>93</v>
      </c>
      <c r="AR35" s="757"/>
      <c r="AS35" s="757"/>
      <c r="AT35" s="757"/>
      <c r="AU35" s="757"/>
      <c r="AV35" s="757"/>
      <c r="AW35" s="757"/>
      <c r="AX35" s="757"/>
      <c r="AY35" s="757"/>
      <c r="AZ35" s="757"/>
      <c r="BA35" s="757"/>
      <c r="BB35" s="758"/>
      <c r="BC35" s="725"/>
    </row>
    <row r="36" spans="1:55" ht="15.75" thickBot="1">
      <c r="A36" s="723"/>
      <c r="B36" s="752">
        <v>28</v>
      </c>
      <c r="C36" s="767" t="s">
        <v>94</v>
      </c>
      <c r="D36" s="812"/>
      <c r="E36" s="812"/>
      <c r="F36" s="812"/>
      <c r="G36" s="812"/>
      <c r="H36" s="812"/>
      <c r="I36" s="812"/>
      <c r="J36" s="812"/>
      <c r="K36" s="812"/>
      <c r="L36" s="813"/>
      <c r="M36" s="1335"/>
      <c r="N36" s="1336"/>
      <c r="O36" s="1336"/>
      <c r="P36" s="812" t="s">
        <v>30</v>
      </c>
      <c r="Q36" s="812"/>
      <c r="R36" s="1000" t="s">
        <v>95</v>
      </c>
      <c r="S36" s="812"/>
      <c r="T36" s="812"/>
      <c r="U36" s="812"/>
      <c r="V36" s="812"/>
      <c r="W36" s="812"/>
      <c r="X36" s="812"/>
      <c r="Y36" s="812"/>
      <c r="Z36" s="812"/>
      <c r="AA36" s="812"/>
      <c r="AB36" s="813"/>
      <c r="AC36" s="1005" t="s">
        <v>96</v>
      </c>
      <c r="AD36" s="768"/>
      <c r="AE36" s="768"/>
      <c r="AF36" s="768"/>
      <c r="AG36" s="768"/>
      <c r="AH36" s="768"/>
      <c r="AI36" s="768"/>
      <c r="AJ36" s="768"/>
      <c r="AK36" s="768"/>
      <c r="AL36" s="769"/>
      <c r="AM36" s="1377"/>
      <c r="AN36" s="1378"/>
      <c r="AO36" s="1378"/>
      <c r="AP36" s="768" t="s">
        <v>97</v>
      </c>
      <c r="AQ36" s="768"/>
      <c r="AR36" s="768"/>
      <c r="AS36" s="768"/>
      <c r="AT36" s="768"/>
      <c r="AU36" s="768"/>
      <c r="AV36" s="768"/>
      <c r="AW36" s="768"/>
      <c r="AX36" s="768"/>
      <c r="AY36" s="768"/>
      <c r="AZ36" s="768"/>
      <c r="BA36" s="768"/>
      <c r="BB36" s="769"/>
      <c r="BC36" s="725"/>
    </row>
    <row r="37" spans="1:55" ht="18">
      <c r="A37" s="723"/>
      <c r="B37" s="752">
        <v>29</v>
      </c>
      <c r="C37" s="754" t="s">
        <v>98</v>
      </c>
      <c r="D37" s="754"/>
      <c r="E37" s="754"/>
      <c r="F37" s="754" t="s">
        <v>99</v>
      </c>
      <c r="G37" s="754" t="s">
        <v>100</v>
      </c>
      <c r="H37" s="798"/>
      <c r="I37" s="798"/>
      <c r="J37" s="798"/>
      <c r="K37" s="754"/>
      <c r="L37" s="754"/>
      <c r="M37" s="754"/>
      <c r="N37" s="754"/>
      <c r="O37" s="754" t="s">
        <v>99</v>
      </c>
      <c r="P37" s="1333">
        <f>SIN(M26*(PI()/180))*M25</f>
        <v>0</v>
      </c>
      <c r="Q37" s="1333"/>
      <c r="R37" s="1333"/>
      <c r="S37" s="754" t="s">
        <v>28</v>
      </c>
      <c r="T37" s="754"/>
      <c r="U37" s="754"/>
      <c r="V37" s="754"/>
      <c r="W37" s="754"/>
      <c r="X37" s="754"/>
      <c r="Y37" s="754"/>
      <c r="Z37" s="754"/>
      <c r="AA37" s="754"/>
      <c r="AB37" s="755"/>
      <c r="AC37" s="754"/>
      <c r="AD37" s="754"/>
      <c r="AE37" s="754"/>
      <c r="AF37" s="754"/>
      <c r="AG37" s="754"/>
      <c r="AH37" s="754" t="s">
        <v>101</v>
      </c>
      <c r="AI37" s="754" t="s">
        <v>99</v>
      </c>
      <c r="AJ37" s="754" t="s">
        <v>102</v>
      </c>
      <c r="AK37" s="754"/>
      <c r="AL37" s="754"/>
      <c r="AM37" s="754"/>
      <c r="AN37" s="754"/>
      <c r="AO37" s="754"/>
      <c r="AP37" s="754"/>
      <c r="AQ37" s="754"/>
      <c r="AR37" s="754"/>
      <c r="AS37" s="754"/>
      <c r="AT37" s="798" t="s">
        <v>99</v>
      </c>
      <c r="AU37" s="1333" t="e">
        <f>6.25*$P$40*$M$33</f>
        <v>#DIV/0!</v>
      </c>
      <c r="AV37" s="1333"/>
      <c r="AW37" s="1333"/>
      <c r="AX37" s="754" t="s">
        <v>92</v>
      </c>
      <c r="AY37" s="754"/>
      <c r="AZ37" s="754"/>
      <c r="BA37" s="754"/>
      <c r="BB37" s="755"/>
      <c r="BC37" s="799"/>
    </row>
    <row r="38" spans="1:55" ht="18">
      <c r="A38" s="723"/>
      <c r="B38" s="752">
        <v>30</v>
      </c>
      <c r="C38" s="800" t="s">
        <v>103</v>
      </c>
      <c r="D38" s="757"/>
      <c r="E38" s="757"/>
      <c r="F38" s="757" t="s">
        <v>99</v>
      </c>
      <c r="G38" s="757" t="s">
        <v>104</v>
      </c>
      <c r="H38" s="757"/>
      <c r="I38" s="757"/>
      <c r="J38" s="757"/>
      <c r="K38" s="757"/>
      <c r="L38" s="757"/>
      <c r="M38" s="757"/>
      <c r="N38" s="757"/>
      <c r="O38" s="757" t="s">
        <v>99</v>
      </c>
      <c r="P38" s="1331" t="e">
        <f>(2000/60)*(M19/M21)</f>
        <v>#DIV/0!</v>
      </c>
      <c r="Q38" s="1331"/>
      <c r="R38" s="1331"/>
      <c r="S38" s="757" t="s">
        <v>73</v>
      </c>
      <c r="T38" s="757"/>
      <c r="U38" s="757"/>
      <c r="V38" s="757"/>
      <c r="W38" s="757"/>
      <c r="X38" s="757"/>
      <c r="Y38" s="757"/>
      <c r="Z38" s="757"/>
      <c r="AA38" s="757"/>
      <c r="AB38" s="758"/>
      <c r="AC38" s="757"/>
      <c r="AD38" s="757"/>
      <c r="AE38" s="757"/>
      <c r="AF38" s="757"/>
      <c r="AG38" s="757"/>
      <c r="AH38" s="757" t="s">
        <v>105</v>
      </c>
      <c r="AI38" s="757" t="s">
        <v>99</v>
      </c>
      <c r="AJ38" s="757" t="s">
        <v>106</v>
      </c>
      <c r="AK38" s="757"/>
      <c r="AL38" s="757"/>
      <c r="AM38" s="757"/>
      <c r="AN38" s="757"/>
      <c r="AO38" s="757"/>
      <c r="AP38" s="757"/>
      <c r="AQ38" s="757"/>
      <c r="AR38" s="757"/>
      <c r="AS38" s="757"/>
      <c r="AT38" s="757" t="s">
        <v>99</v>
      </c>
      <c r="AU38" s="1327" t="e">
        <f>((($M$33^2)*$P$40)/(8*$AU$37))*12</f>
        <v>#DIV/0!</v>
      </c>
      <c r="AV38" s="1327"/>
      <c r="AW38" s="1327"/>
      <c r="AX38" s="757" t="s">
        <v>30</v>
      </c>
      <c r="AY38" s="757"/>
      <c r="AZ38" s="757"/>
      <c r="BA38" s="757"/>
      <c r="BB38" s="758"/>
      <c r="BC38" s="799"/>
    </row>
    <row r="39" spans="1:55" ht="18">
      <c r="A39" s="723"/>
      <c r="B39" s="752">
        <v>31</v>
      </c>
      <c r="C39" s="800" t="s">
        <v>107</v>
      </c>
      <c r="D39" s="757"/>
      <c r="E39" s="757"/>
      <c r="F39" s="757" t="s">
        <v>99</v>
      </c>
      <c r="G39" s="757" t="s">
        <v>108</v>
      </c>
      <c r="H39" s="757"/>
      <c r="I39" s="757"/>
      <c r="J39" s="757"/>
      <c r="K39" s="757"/>
      <c r="L39" s="757"/>
      <c r="M39" s="757"/>
      <c r="N39" s="757"/>
      <c r="O39" s="757" t="s">
        <v>99</v>
      </c>
      <c r="P39" s="1331" t="e">
        <f>M30</f>
        <v>#NAME?</v>
      </c>
      <c r="Q39" s="1331"/>
      <c r="R39" s="1331"/>
      <c r="S39" s="757" t="s">
        <v>73</v>
      </c>
      <c r="T39" s="757"/>
      <c r="U39" s="757"/>
      <c r="V39" s="757"/>
      <c r="W39" s="757"/>
      <c r="X39" s="757"/>
      <c r="Y39" s="757"/>
      <c r="Z39" s="757"/>
      <c r="AA39" s="757"/>
      <c r="AB39" s="758"/>
      <c r="AC39" s="757" t="s">
        <v>109</v>
      </c>
      <c r="AD39" s="757"/>
      <c r="AE39" s="757" t="s">
        <v>99</v>
      </c>
      <c r="AF39" s="757"/>
      <c r="AG39" s="757"/>
      <c r="AH39" s="757" t="s">
        <v>110</v>
      </c>
      <c r="AI39" s="757" t="s">
        <v>99</v>
      </c>
      <c r="AJ39" s="757" t="s">
        <v>111</v>
      </c>
      <c r="AK39" s="757"/>
      <c r="AL39" s="757"/>
      <c r="AM39" s="757"/>
      <c r="AN39" s="757"/>
      <c r="AO39" s="757"/>
      <c r="AP39" s="757"/>
      <c r="AQ39" s="757"/>
      <c r="AR39" s="757"/>
      <c r="AS39" s="757"/>
      <c r="AT39" s="757" t="s">
        <v>99</v>
      </c>
      <c r="AU39" s="1331" t="e">
        <f>($M$24+$M$25)*$P$46*$P$44</f>
        <v>#DIV/0!</v>
      </c>
      <c r="AV39" s="1331"/>
      <c r="AW39" s="1331"/>
      <c r="AX39" s="757" t="s">
        <v>92</v>
      </c>
      <c r="AY39" s="757"/>
      <c r="AZ39" s="757"/>
      <c r="BA39" s="757"/>
      <c r="BB39" s="758"/>
      <c r="BC39" s="799"/>
    </row>
    <row r="40" spans="1:55" ht="18">
      <c r="A40" s="723"/>
      <c r="B40" s="752">
        <v>32</v>
      </c>
      <c r="C40" s="800" t="s">
        <v>112</v>
      </c>
      <c r="D40" s="757"/>
      <c r="E40" s="757"/>
      <c r="F40" s="757" t="s">
        <v>99</v>
      </c>
      <c r="G40" s="757" t="s">
        <v>113</v>
      </c>
      <c r="H40" s="757"/>
      <c r="I40" s="757"/>
      <c r="J40" s="757"/>
      <c r="K40" s="757"/>
      <c r="L40" s="757"/>
      <c r="M40" s="757"/>
      <c r="N40" s="757"/>
      <c r="O40" s="757" t="s">
        <v>99</v>
      </c>
      <c r="P40" s="1331" t="e">
        <f>SUM(P38:R39)</f>
        <v>#DIV/0!</v>
      </c>
      <c r="Q40" s="1331"/>
      <c r="R40" s="1331"/>
      <c r="S40" s="757" t="s">
        <v>73</v>
      </c>
      <c r="T40" s="757"/>
      <c r="U40" s="757"/>
      <c r="V40" s="757"/>
      <c r="W40" s="757"/>
      <c r="X40" s="757"/>
      <c r="Y40" s="757"/>
      <c r="Z40" s="757"/>
      <c r="AA40" s="757"/>
      <c r="AB40" s="758"/>
      <c r="AC40" s="757" t="s">
        <v>114</v>
      </c>
      <c r="AD40" s="757"/>
      <c r="AE40" s="757" t="s">
        <v>99</v>
      </c>
      <c r="AF40" s="757"/>
      <c r="AG40" s="757"/>
      <c r="AH40" s="757" t="s">
        <v>115</v>
      </c>
      <c r="AI40" s="757" t="s">
        <v>99</v>
      </c>
      <c r="AJ40" s="757" t="s">
        <v>116</v>
      </c>
      <c r="AK40" s="757"/>
      <c r="AL40" s="757"/>
      <c r="AM40" s="757"/>
      <c r="AN40" s="757"/>
      <c r="AO40" s="757"/>
      <c r="AP40" s="757"/>
      <c r="AQ40" s="757"/>
      <c r="AR40" s="757"/>
      <c r="AS40" s="757"/>
      <c r="AT40" s="757" t="s">
        <v>99</v>
      </c>
      <c r="AU40" s="1331" t="e">
        <f>($M$24+$M$25)*$P$44*$P$47*$P$39</f>
        <v>#NAME?</v>
      </c>
      <c r="AV40" s="1331"/>
      <c r="AW40" s="1331"/>
      <c r="AX40" s="757" t="s">
        <v>92</v>
      </c>
      <c r="AY40" s="757"/>
      <c r="AZ40" s="757"/>
      <c r="BA40" s="757"/>
      <c r="BB40" s="758"/>
      <c r="BC40" s="799"/>
    </row>
    <row r="41" spans="1:55" ht="18">
      <c r="A41" s="723"/>
      <c r="B41" s="752">
        <v>33</v>
      </c>
      <c r="C41" s="800"/>
      <c r="D41" s="757"/>
      <c r="E41" s="757"/>
      <c r="F41" s="757"/>
      <c r="G41" s="757" t="s">
        <v>117</v>
      </c>
      <c r="H41" s="757"/>
      <c r="I41" s="757"/>
      <c r="J41" s="757"/>
      <c r="K41" s="757"/>
      <c r="L41" s="757"/>
      <c r="M41" s="757"/>
      <c r="N41" s="757"/>
      <c r="O41" s="757" t="s">
        <v>99</v>
      </c>
      <c r="P41" s="1331">
        <f>(2/3)*M23</f>
        <v>0</v>
      </c>
      <c r="Q41" s="1331"/>
      <c r="R41" s="1331"/>
      <c r="S41" s="757" t="s">
        <v>30</v>
      </c>
      <c r="T41" s="757" t="s">
        <v>118</v>
      </c>
      <c r="U41" s="757"/>
      <c r="V41" s="757"/>
      <c r="W41" s="757"/>
      <c r="X41" s="757"/>
      <c r="Y41" s="757"/>
      <c r="Z41" s="757"/>
      <c r="AA41" s="757"/>
      <c r="AB41" s="758"/>
      <c r="AC41" s="757" t="s">
        <v>119</v>
      </c>
      <c r="AD41" s="757"/>
      <c r="AE41" s="757"/>
      <c r="AF41" s="757"/>
      <c r="AG41" s="757" t="s">
        <v>99</v>
      </c>
      <c r="AH41" s="757" t="s">
        <v>120</v>
      </c>
      <c r="AI41" s="757" t="s">
        <v>99</v>
      </c>
      <c r="AJ41" s="757" t="s">
        <v>121</v>
      </c>
      <c r="AK41" s="757"/>
      <c r="AL41" s="757"/>
      <c r="AM41" s="757"/>
      <c r="AN41" s="757"/>
      <c r="AO41" s="757"/>
      <c r="AP41" s="757"/>
      <c r="AQ41" s="757"/>
      <c r="AR41" s="757"/>
      <c r="AS41" s="757"/>
      <c r="AT41" s="757" t="s">
        <v>99</v>
      </c>
      <c r="AU41" s="1331" t="e">
        <f>(M24+M25)*P44*(0.015*P39)</f>
        <v>#NAME?</v>
      </c>
      <c r="AV41" s="1331"/>
      <c r="AW41" s="1331"/>
      <c r="AX41" s="757" t="s">
        <v>92</v>
      </c>
      <c r="AY41" s="757"/>
      <c r="AZ41" s="757"/>
      <c r="BA41" s="757"/>
      <c r="BB41" s="758"/>
      <c r="BC41" s="799"/>
    </row>
    <row r="42" spans="1:55" ht="18">
      <c r="A42" s="723"/>
      <c r="B42" s="752">
        <v>34</v>
      </c>
      <c r="C42" s="800" t="s">
        <v>122</v>
      </c>
      <c r="D42" s="757"/>
      <c r="E42" s="757"/>
      <c r="F42" s="757" t="s">
        <v>99</v>
      </c>
      <c r="G42" s="757" t="s">
        <v>123</v>
      </c>
      <c r="H42" s="757"/>
      <c r="I42" s="757"/>
      <c r="J42" s="757"/>
      <c r="K42" s="757"/>
      <c r="L42" s="757"/>
      <c r="M42" s="757"/>
      <c r="N42" s="757"/>
      <c r="O42" s="757" t="s">
        <v>99</v>
      </c>
      <c r="P42" s="1331" t="e">
        <f>((((((M19*2000)/AP10)/60)/M21)/(P41/12))*12)</f>
        <v>#DIV/0!</v>
      </c>
      <c r="Q42" s="1331"/>
      <c r="R42" s="1331"/>
      <c r="S42" s="757" t="s">
        <v>30</v>
      </c>
      <c r="T42" s="757"/>
      <c r="U42" s="757"/>
      <c r="V42" s="757"/>
      <c r="W42" s="757"/>
      <c r="X42" s="757"/>
      <c r="Y42" s="757"/>
      <c r="Z42" s="757"/>
      <c r="AA42" s="757"/>
      <c r="AB42" s="758"/>
      <c r="AC42" s="757" t="s">
        <v>124</v>
      </c>
      <c r="AD42" s="757"/>
      <c r="AE42" s="757" t="s">
        <v>99</v>
      </c>
      <c r="AF42" s="757"/>
      <c r="AG42" s="757"/>
      <c r="AH42" s="757" t="s">
        <v>125</v>
      </c>
      <c r="AI42" s="757" t="s">
        <v>99</v>
      </c>
      <c r="AJ42" s="757" t="s">
        <v>126</v>
      </c>
      <c r="AK42" s="757"/>
      <c r="AL42" s="757"/>
      <c r="AM42" s="757"/>
      <c r="AN42" s="757"/>
      <c r="AO42" s="757"/>
      <c r="AP42" s="757"/>
      <c r="AQ42" s="757"/>
      <c r="AR42" s="757"/>
      <c r="AS42" s="757"/>
      <c r="AT42" s="757" t="s">
        <v>99</v>
      </c>
      <c r="AU42" s="1331" t="e">
        <f>(M24+M25)*P47*P38</f>
        <v>#DIV/0!</v>
      </c>
      <c r="AV42" s="1331"/>
      <c r="AW42" s="1331"/>
      <c r="AX42" s="757" t="s">
        <v>92</v>
      </c>
      <c r="AY42" s="757"/>
      <c r="AZ42" s="757"/>
      <c r="BA42" s="757"/>
      <c r="BB42" s="758"/>
      <c r="BC42" s="799"/>
    </row>
    <row r="43" spans="1:55" ht="18">
      <c r="A43" s="723"/>
      <c r="B43" s="752">
        <v>35</v>
      </c>
      <c r="C43" s="800" t="s">
        <v>127</v>
      </c>
      <c r="D43" s="757"/>
      <c r="E43" s="757"/>
      <c r="F43" s="757" t="s">
        <v>99</v>
      </c>
      <c r="G43" s="757" t="s">
        <v>128</v>
      </c>
      <c r="H43" s="757"/>
      <c r="I43" s="757"/>
      <c r="J43" s="757"/>
      <c r="K43" s="757"/>
      <c r="L43" s="757"/>
      <c r="M43" s="757"/>
      <c r="N43" s="757"/>
      <c r="O43" s="757" t="s">
        <v>99</v>
      </c>
      <c r="P43" s="1331" t="e" cm="1">
        <f t="array" ref="P43">IF(AM28="Manual",VLOOKUP(AM29,List!AA4:AB5,2,FALSE),IF(AM28="Gravity",VLOOKUP(AM29,List!Y4:Z5,2,FALSE),NA))</f>
        <v>#NAME?</v>
      </c>
      <c r="Q43" s="1331"/>
      <c r="R43" s="1331"/>
      <c r="S43" s="757"/>
      <c r="T43" s="757"/>
      <c r="U43" s="757"/>
      <c r="V43" s="757"/>
      <c r="W43" s="757"/>
      <c r="X43" s="757"/>
      <c r="Y43" s="757"/>
      <c r="Z43" s="757"/>
      <c r="AA43" s="757"/>
      <c r="AB43" s="758"/>
      <c r="AC43" s="757" t="s">
        <v>129</v>
      </c>
      <c r="AD43" s="757"/>
      <c r="AE43" s="757" t="s">
        <v>99</v>
      </c>
      <c r="AF43" s="757"/>
      <c r="AG43" s="757"/>
      <c r="AH43" s="757" t="s">
        <v>130</v>
      </c>
      <c r="AI43" s="757" t="s">
        <v>99</v>
      </c>
      <c r="AJ43" s="757" t="s">
        <v>131</v>
      </c>
      <c r="AK43" s="757"/>
      <c r="AL43" s="757"/>
      <c r="AM43" s="757"/>
      <c r="AN43" s="757"/>
      <c r="AO43" s="757"/>
      <c r="AP43" s="757"/>
      <c r="AQ43" s="757"/>
      <c r="AR43" s="757"/>
      <c r="AS43" s="757"/>
      <c r="AT43" s="757" t="s">
        <v>99</v>
      </c>
      <c r="AU43" s="1331" t="e">
        <f>P37*P38</f>
        <v>#DIV/0!</v>
      </c>
      <c r="AV43" s="1331"/>
      <c r="AW43" s="1331"/>
      <c r="AX43" s="757" t="s">
        <v>92</v>
      </c>
      <c r="AY43" s="757"/>
      <c r="AZ43" s="757"/>
      <c r="BA43" s="757"/>
      <c r="BB43" s="758"/>
      <c r="BC43" s="799"/>
    </row>
    <row r="44" spans="1:55" ht="18">
      <c r="A44" s="723"/>
      <c r="B44" s="752">
        <v>36</v>
      </c>
      <c r="C44" s="800" t="s">
        <v>132</v>
      </c>
      <c r="D44" s="757"/>
      <c r="E44" s="757"/>
      <c r="F44" s="757" t="s">
        <v>99</v>
      </c>
      <c r="G44" s="757" t="s">
        <v>133</v>
      </c>
      <c r="H44" s="757"/>
      <c r="I44" s="757"/>
      <c r="J44" s="757"/>
      <c r="K44" s="757"/>
      <c r="L44" s="757"/>
      <c r="M44" s="757"/>
      <c r="N44" s="757"/>
      <c r="O44" s="757" t="s">
        <v>99</v>
      </c>
      <c r="P44" s="1331">
        <v>1.3</v>
      </c>
      <c r="Q44" s="1331"/>
      <c r="R44" s="1331"/>
      <c r="S44" s="757" t="s">
        <v>134</v>
      </c>
      <c r="T44" s="757"/>
      <c r="U44" s="757"/>
      <c r="V44" s="757"/>
      <c r="W44" s="757"/>
      <c r="X44" s="757"/>
      <c r="Y44" s="757"/>
      <c r="Z44" s="757"/>
      <c r="AA44" s="757"/>
      <c r="AB44" s="758"/>
      <c r="AC44" s="757"/>
      <c r="AD44" s="757"/>
      <c r="AE44" s="757"/>
      <c r="AF44" s="757"/>
      <c r="AG44" s="757"/>
      <c r="AH44" s="757" t="s">
        <v>135</v>
      </c>
      <c r="AI44" s="757" t="s">
        <v>99</v>
      </c>
      <c r="AJ44" s="757" t="s">
        <v>136</v>
      </c>
      <c r="AK44" s="757"/>
      <c r="AL44" s="757"/>
      <c r="AM44" s="757"/>
      <c r="AN44" s="757"/>
      <c r="AO44" s="757"/>
      <c r="AP44" s="757"/>
      <c r="AQ44" s="757"/>
      <c r="AR44" s="757"/>
      <c r="AS44" s="757"/>
      <c r="AT44" s="757" t="s">
        <v>99</v>
      </c>
      <c r="AU44" s="1331">
        <f ca="1">IF(OR(ISERR(AU48),ISNA(AU48)),5,IF(M29="Fabric", (0.00541*AU48)+15.6, (0.0077*AU48)+29.6)*M28)</f>
        <v>5</v>
      </c>
      <c r="AV44" s="1331"/>
      <c r="AW44" s="1331"/>
      <c r="AX44" s="757" t="s">
        <v>92</v>
      </c>
      <c r="AY44" s="757"/>
      <c r="AZ44" s="757"/>
      <c r="BA44" s="757"/>
      <c r="BB44" s="758"/>
      <c r="BC44" s="799"/>
    </row>
    <row r="45" spans="1:55" ht="18">
      <c r="A45" s="723"/>
      <c r="B45" s="752">
        <v>37</v>
      </c>
      <c r="C45" s="800" t="s">
        <v>137</v>
      </c>
      <c r="D45" s="757"/>
      <c r="E45" s="757"/>
      <c r="F45" s="757" t="s">
        <v>99</v>
      </c>
      <c r="G45" s="757" t="s">
        <v>138</v>
      </c>
      <c r="H45" s="757"/>
      <c r="I45" s="757"/>
      <c r="J45" s="757"/>
      <c r="K45" s="757"/>
      <c r="L45" s="757"/>
      <c r="M45" s="757"/>
      <c r="N45" s="757"/>
      <c r="O45" s="757" t="s">
        <v>99</v>
      </c>
      <c r="P45" s="1331" t="e">
        <f>VLOOKUP(M36,List!AG3:AH4,2,FALSE)</f>
        <v>#N/A</v>
      </c>
      <c r="Q45" s="1331"/>
      <c r="R45" s="1331"/>
      <c r="S45" s="757"/>
      <c r="T45" s="757"/>
      <c r="U45" s="757"/>
      <c r="V45" s="757"/>
      <c r="W45" s="757"/>
      <c r="X45" s="757"/>
      <c r="Y45" s="757"/>
      <c r="Z45" s="757"/>
      <c r="AA45" s="757"/>
      <c r="AB45" s="758"/>
      <c r="AC45" s="757"/>
      <c r="AD45" s="757"/>
      <c r="AE45" s="757"/>
      <c r="AF45" s="757"/>
      <c r="AG45" s="757"/>
      <c r="AH45" s="757" t="s">
        <v>139</v>
      </c>
      <c r="AI45" s="757" t="s">
        <v>99</v>
      </c>
      <c r="AJ45" s="757" t="s">
        <v>140</v>
      </c>
      <c r="AK45" s="757"/>
      <c r="AL45" s="757"/>
      <c r="AM45" s="757"/>
      <c r="AN45" s="757"/>
      <c r="AO45" s="757"/>
      <c r="AP45" s="757"/>
      <c r="AQ45" s="757"/>
      <c r="AR45" s="757"/>
      <c r="AS45" s="757"/>
      <c r="AT45" s="757" t="s">
        <v>99</v>
      </c>
      <c r="AU45" s="1331">
        <f>2.8755*10^-4*$M$19*$M$21</f>
        <v>0</v>
      </c>
      <c r="AV45" s="1331"/>
      <c r="AW45" s="1331"/>
      <c r="AX45" s="757" t="s">
        <v>92</v>
      </c>
      <c r="AY45" s="757"/>
      <c r="AZ45" s="757"/>
      <c r="BA45" s="757"/>
      <c r="BB45" s="758"/>
      <c r="BC45" s="799"/>
    </row>
    <row r="46" spans="1:55" ht="18">
      <c r="A46" s="723"/>
      <c r="B46" s="752">
        <v>38</v>
      </c>
      <c r="C46" s="800" t="s">
        <v>141</v>
      </c>
      <c r="D46" s="757"/>
      <c r="E46" s="757"/>
      <c r="F46" s="757" t="s">
        <v>99</v>
      </c>
      <c r="G46" s="757" t="s">
        <v>142</v>
      </c>
      <c r="H46" s="757"/>
      <c r="I46" s="757"/>
      <c r="J46" s="757"/>
      <c r="K46" s="757"/>
      <c r="L46" s="757"/>
      <c r="M46" s="757"/>
      <c r="N46" s="757"/>
      <c r="O46" s="757" t="s">
        <v>99</v>
      </c>
      <c r="P46" s="1331" t="e">
        <f>(0.00068*(P40))+(P45/M33)</f>
        <v>#DIV/0!</v>
      </c>
      <c r="Q46" s="1331"/>
      <c r="R46" s="1331"/>
      <c r="S46" s="757" t="s">
        <v>73</v>
      </c>
      <c r="T46" s="757"/>
      <c r="U46" s="757"/>
      <c r="V46" s="757"/>
      <c r="W46" s="757"/>
      <c r="X46" s="757"/>
      <c r="Y46" s="757"/>
      <c r="Z46" s="757"/>
      <c r="AA46" s="757"/>
      <c r="AB46" s="758"/>
      <c r="AC46" s="724"/>
      <c r="AD46" s="724"/>
      <c r="AE46" s="724"/>
      <c r="AF46" s="724"/>
      <c r="AG46" s="724"/>
      <c r="AH46" s="724"/>
      <c r="AI46" s="724"/>
      <c r="AJ46" s="724"/>
      <c r="AK46" s="1006" t="s">
        <v>143</v>
      </c>
      <c r="AL46" s="724"/>
      <c r="AM46" s="724"/>
      <c r="AN46" s="724"/>
      <c r="AO46" s="724"/>
      <c r="AP46" s="724"/>
      <c r="AQ46" s="724"/>
      <c r="AR46" s="724"/>
      <c r="AS46" s="724"/>
      <c r="AT46" s="724"/>
      <c r="AU46" s="724"/>
      <c r="AV46" s="724"/>
      <c r="AW46" s="724"/>
      <c r="AX46" s="724"/>
      <c r="AY46" s="724"/>
      <c r="AZ46" s="724"/>
      <c r="BA46" s="724"/>
      <c r="BB46" s="725"/>
      <c r="BC46" s="799"/>
    </row>
    <row r="47" spans="1:55" ht="18">
      <c r="A47" s="723"/>
      <c r="B47" s="752">
        <v>39</v>
      </c>
      <c r="C47" s="800" t="s">
        <v>144</v>
      </c>
      <c r="D47" s="757"/>
      <c r="E47" s="757"/>
      <c r="F47" s="757" t="s">
        <v>99</v>
      </c>
      <c r="G47" s="757" t="s">
        <v>145</v>
      </c>
      <c r="H47" s="757"/>
      <c r="I47" s="757"/>
      <c r="J47" s="757"/>
      <c r="K47" s="757"/>
      <c r="L47" s="757"/>
      <c r="M47" s="757"/>
      <c r="N47" s="757"/>
      <c r="O47" s="757" t="s">
        <v>99</v>
      </c>
      <c r="P47" s="1331">
        <v>3.5000000000000003E-2</v>
      </c>
      <c r="Q47" s="1331"/>
      <c r="R47" s="1331"/>
      <c r="S47" s="757"/>
      <c r="T47" s="757"/>
      <c r="U47" s="757"/>
      <c r="V47" s="757"/>
      <c r="W47" s="757"/>
      <c r="X47" s="757"/>
      <c r="Y47" s="757"/>
      <c r="Z47" s="757"/>
      <c r="AA47" s="757"/>
      <c r="AB47" s="758"/>
      <c r="AC47" s="757"/>
      <c r="AD47" s="757"/>
      <c r="AE47" s="757"/>
      <c r="AF47" s="757"/>
      <c r="AG47" s="757"/>
      <c r="AH47" s="757" t="s">
        <v>146</v>
      </c>
      <c r="AI47" s="757" t="s">
        <v>99</v>
      </c>
      <c r="AJ47" s="757" t="s">
        <v>147</v>
      </c>
      <c r="AK47" s="757"/>
      <c r="AL47" s="757"/>
      <c r="AM47" s="757"/>
      <c r="AN47" s="757"/>
      <c r="AO47" s="757"/>
      <c r="AP47" s="757"/>
      <c r="AQ47" s="757"/>
      <c r="AR47" s="757"/>
      <c r="AS47" s="757"/>
      <c r="AT47" s="757" t="s">
        <v>99</v>
      </c>
      <c r="AU47" s="1331" t="e">
        <f>$P$48+$P$49+$P$50</f>
        <v>#DIV/0!</v>
      </c>
      <c r="AV47" s="1331"/>
      <c r="AW47" s="1331"/>
      <c r="AX47" s="757" t="s">
        <v>92</v>
      </c>
      <c r="AY47" s="757"/>
      <c r="AZ47" s="757"/>
      <c r="BA47" s="757"/>
      <c r="BB47" s="758"/>
      <c r="BC47" s="725"/>
    </row>
    <row r="48" spans="1:55" ht="18">
      <c r="A48" s="723"/>
      <c r="B48" s="752">
        <v>40</v>
      </c>
      <c r="C48" s="800" t="s">
        <v>148</v>
      </c>
      <c r="D48" s="757"/>
      <c r="E48" s="757"/>
      <c r="F48" s="757" t="s">
        <v>99</v>
      </c>
      <c r="G48" s="757" t="s">
        <v>149</v>
      </c>
      <c r="H48" s="757"/>
      <c r="I48" s="757"/>
      <c r="J48" s="757"/>
      <c r="K48" s="757"/>
      <c r="L48" s="757"/>
      <c r="M48" s="757"/>
      <c r="N48" s="757"/>
      <c r="O48" s="757" t="s">
        <v>99</v>
      </c>
      <c r="P48" s="1331" t="e">
        <f>AM19*((AM20*(P42^2))+6)</f>
        <v>#DIV/0!</v>
      </c>
      <c r="Q48" s="1331"/>
      <c r="R48" s="1331"/>
      <c r="S48" s="757" t="s">
        <v>92</v>
      </c>
      <c r="T48" s="757"/>
      <c r="U48" s="757"/>
      <c r="V48" s="757"/>
      <c r="W48" s="757"/>
      <c r="X48" s="757"/>
      <c r="Y48" s="757"/>
      <c r="Z48" s="757"/>
      <c r="AA48" s="757"/>
      <c r="AB48" s="758"/>
      <c r="AC48" s="757"/>
      <c r="AD48" s="757"/>
      <c r="AE48" s="757"/>
      <c r="AF48" s="757"/>
      <c r="AG48" s="757"/>
      <c r="AH48" s="757" t="s">
        <v>150</v>
      </c>
      <c r="AI48" s="757" t="s">
        <v>99</v>
      </c>
      <c r="AJ48" s="757"/>
      <c r="AK48" s="757"/>
      <c r="AL48" s="757"/>
      <c r="AM48" s="757"/>
      <c r="AN48" s="757"/>
      <c r="AO48" s="757"/>
      <c r="AP48" s="757"/>
      <c r="AQ48" s="757"/>
      <c r="AR48" s="757"/>
      <c r="AS48" s="757"/>
      <c r="AT48" s="757" t="s">
        <v>99</v>
      </c>
      <c r="AU48" s="1331" t="e">
        <f ca="1">AU39+AU40+AU41+AU42+AU43+AU44+AU45+AU47</f>
        <v>#DIV/0!</v>
      </c>
      <c r="AV48" s="1331"/>
      <c r="AW48" s="1331"/>
      <c r="AX48" s="757" t="s">
        <v>92</v>
      </c>
      <c r="AY48" s="757"/>
      <c r="AZ48" s="757"/>
      <c r="BA48" s="757"/>
      <c r="BB48" s="758"/>
      <c r="BC48" s="725"/>
    </row>
    <row r="49" spans="1:55" ht="18">
      <c r="A49" s="723"/>
      <c r="B49" s="752">
        <v>41</v>
      </c>
      <c r="C49" s="800" t="s">
        <v>151</v>
      </c>
      <c r="D49" s="757"/>
      <c r="E49" s="757"/>
      <c r="F49" s="757" t="s">
        <v>99</v>
      </c>
      <c r="G49" s="757" t="s">
        <v>152</v>
      </c>
      <c r="H49" s="757"/>
      <c r="I49" s="757"/>
      <c r="J49" s="757"/>
      <c r="K49" s="757"/>
      <c r="L49" s="757"/>
      <c r="M49" s="757"/>
      <c r="N49" s="757"/>
      <c r="O49" s="757" t="s">
        <v>99</v>
      </c>
      <c r="P49" s="1331" t="e">
        <f>AM21*AM26*M23</f>
        <v>#N/A</v>
      </c>
      <c r="Q49" s="1331"/>
      <c r="R49" s="1331"/>
      <c r="S49" s="757" t="s">
        <v>92</v>
      </c>
      <c r="T49" s="757"/>
      <c r="U49" s="757"/>
      <c r="V49" s="757"/>
      <c r="W49" s="757"/>
      <c r="X49" s="757"/>
      <c r="Y49" s="757"/>
      <c r="Z49" s="757"/>
      <c r="AA49" s="757"/>
      <c r="AB49" s="758"/>
      <c r="AC49" s="757"/>
      <c r="AD49" s="757"/>
      <c r="AE49" s="757"/>
      <c r="AF49" s="757"/>
      <c r="AG49" s="757"/>
      <c r="AH49" s="757" t="s">
        <v>153</v>
      </c>
      <c r="AI49" s="757" t="s">
        <v>99</v>
      </c>
      <c r="AJ49" s="757"/>
      <c r="AK49" s="757"/>
      <c r="AL49" s="757"/>
      <c r="AM49" s="757"/>
      <c r="AN49" s="757"/>
      <c r="AO49" s="757"/>
      <c r="AP49" s="757"/>
      <c r="AQ49" s="757"/>
      <c r="AR49" s="757"/>
      <c r="AS49" s="757"/>
      <c r="AT49" s="757" t="s">
        <v>99</v>
      </c>
      <c r="AU49" s="1331" t="e">
        <f>P37*P39</f>
        <v>#NAME?</v>
      </c>
      <c r="AV49" s="1331"/>
      <c r="AW49" s="1331"/>
      <c r="AX49" s="757" t="s">
        <v>92</v>
      </c>
      <c r="AY49" s="757"/>
      <c r="AZ49" s="757"/>
      <c r="BA49" s="757"/>
      <c r="BB49" s="758"/>
      <c r="BC49" s="725"/>
    </row>
    <row r="50" spans="1:55" ht="18.75" thickBot="1">
      <c r="A50" s="723"/>
      <c r="B50" s="752">
        <v>42</v>
      </c>
      <c r="C50" s="740" t="s">
        <v>154</v>
      </c>
      <c r="D50" s="741"/>
      <c r="E50" s="741"/>
      <c r="F50" s="741" t="s">
        <v>99</v>
      </c>
      <c r="G50" s="741" t="s">
        <v>155</v>
      </c>
      <c r="H50" s="741"/>
      <c r="I50" s="741"/>
      <c r="J50" s="741"/>
      <c r="K50" s="741"/>
      <c r="L50" s="741"/>
      <c r="M50" s="741"/>
      <c r="N50" s="741"/>
      <c r="O50" s="741" t="s">
        <v>99</v>
      </c>
      <c r="P50" s="1365">
        <f>(AM22+AM23)*5*M23</f>
        <v>0</v>
      </c>
      <c r="Q50" s="1365"/>
      <c r="R50" s="1365"/>
      <c r="S50" s="741" t="s">
        <v>92</v>
      </c>
      <c r="T50" s="741"/>
      <c r="U50" s="741"/>
      <c r="V50" s="741"/>
      <c r="W50" s="741"/>
      <c r="X50" s="741"/>
      <c r="Y50" s="741"/>
      <c r="Z50" s="741"/>
      <c r="AA50" s="741"/>
      <c r="AB50" s="742"/>
      <c r="AC50" s="757"/>
      <c r="AD50" s="757"/>
      <c r="AE50" s="757"/>
      <c r="AF50" s="757"/>
      <c r="AG50" s="757"/>
      <c r="AH50" s="757" t="s">
        <v>156</v>
      </c>
      <c r="AI50" s="757" t="s">
        <v>99</v>
      </c>
      <c r="AJ50" s="757"/>
      <c r="AK50" s="757"/>
      <c r="AL50" s="757"/>
      <c r="AM50" s="757"/>
      <c r="AN50" s="757"/>
      <c r="AO50" s="757"/>
      <c r="AP50" s="757"/>
      <c r="AQ50" s="757"/>
      <c r="AR50" s="757"/>
      <c r="AS50" s="757"/>
      <c r="AT50" s="757" t="s">
        <v>99</v>
      </c>
      <c r="AU50" s="1331" t="e">
        <f ca="1">AU48*$P$43</f>
        <v>#DIV/0!</v>
      </c>
      <c r="AV50" s="1331"/>
      <c r="AW50" s="1331"/>
      <c r="AX50" s="757" t="s">
        <v>92</v>
      </c>
      <c r="AY50" s="757"/>
      <c r="AZ50" s="757"/>
      <c r="BA50" s="757"/>
      <c r="BB50" s="758"/>
      <c r="BC50" s="725"/>
    </row>
    <row r="51" spans="1:55" ht="18.75" thickBot="1">
      <c r="A51" s="723"/>
      <c r="B51" s="752">
        <v>43</v>
      </c>
      <c r="C51" s="749" t="s">
        <v>157</v>
      </c>
      <c r="D51" s="750"/>
      <c r="E51" s="750"/>
      <c r="F51" s="750"/>
      <c r="G51" s="750"/>
      <c r="H51" s="750"/>
      <c r="I51" s="750"/>
      <c r="J51" s="750"/>
      <c r="K51" s="750"/>
      <c r="L51" s="750"/>
      <c r="M51" s="750"/>
      <c r="N51" s="750"/>
      <c r="O51" s="750"/>
      <c r="P51" s="750"/>
      <c r="Q51" s="750"/>
      <c r="R51" s="750"/>
      <c r="S51" s="750"/>
      <c r="T51" s="750"/>
      <c r="U51" s="750"/>
      <c r="V51" s="750"/>
      <c r="W51" s="750"/>
      <c r="X51" s="750"/>
      <c r="Y51" s="750"/>
      <c r="Z51" s="750"/>
      <c r="AA51" s="750"/>
      <c r="AB51" s="776"/>
      <c r="AC51" s="757"/>
      <c r="AD51" s="757"/>
      <c r="AE51" s="757"/>
      <c r="AF51" s="757"/>
      <c r="AG51" s="757"/>
      <c r="AH51" s="757" t="s">
        <v>158</v>
      </c>
      <c r="AI51" s="757" t="s">
        <v>99</v>
      </c>
      <c r="AJ51" s="757"/>
      <c r="AK51" s="757"/>
      <c r="AL51" s="757"/>
      <c r="AM51" s="757"/>
      <c r="AN51" s="757"/>
      <c r="AO51" s="757"/>
      <c r="AP51" s="757"/>
      <c r="AQ51" s="757"/>
      <c r="AR51" s="757"/>
      <c r="AS51" s="757"/>
      <c r="AT51" s="757" t="s">
        <v>99</v>
      </c>
      <c r="AU51" s="1331" t="e">
        <f ca="1">AU48+AU50</f>
        <v>#DIV/0!</v>
      </c>
      <c r="AV51" s="1331"/>
      <c r="AW51" s="1331"/>
      <c r="AX51" s="757" t="s">
        <v>92</v>
      </c>
      <c r="AY51" s="757"/>
      <c r="AZ51" s="757"/>
      <c r="BA51" s="757"/>
      <c r="BB51" s="758"/>
      <c r="BC51" s="725"/>
    </row>
    <row r="52" spans="1:55" ht="18.75">
      <c r="A52" s="723"/>
      <c r="B52" s="752">
        <v>44</v>
      </c>
      <c r="C52" s="754"/>
      <c r="D52" s="754"/>
      <c r="E52" s="754"/>
      <c r="F52" s="754"/>
      <c r="G52" s="754" t="s">
        <v>159</v>
      </c>
      <c r="H52" s="754"/>
      <c r="I52" s="754"/>
      <c r="J52" s="754"/>
      <c r="K52" s="754"/>
      <c r="L52" s="754"/>
      <c r="M52" s="754"/>
      <c r="N52" s="754"/>
      <c r="O52" s="754" t="s">
        <v>99</v>
      </c>
      <c r="P52" s="1372" t="e" cm="1">
        <f t="array" ref="P52">IF(M32=0,VLOOKUP(M23,List!AS6:AT11,2,FALSE)*M21,IF(M32=20,VLOOKUP(M23,List!AS17:AT22,2,FALSE)*M21,IF(M32=35,VLOOKUP(M23,List!AS28:AT33,2,FALSE)*M21,IF(M32=45,VLOOKUP(M23,List!AS39:AT44,2,FALSE)*M21,NA))))</f>
        <v>#N/A</v>
      </c>
      <c r="Q52" s="1372"/>
      <c r="R52" s="1372"/>
      <c r="S52" s="754" t="s">
        <v>43</v>
      </c>
      <c r="T52" s="754"/>
      <c r="U52" s="754"/>
      <c r="V52" s="754"/>
      <c r="W52" s="754"/>
      <c r="X52" s="754"/>
      <c r="Y52" s="754"/>
      <c r="Z52" s="754"/>
      <c r="AA52" s="754"/>
      <c r="AB52" s="755"/>
      <c r="AC52" s="757"/>
      <c r="AD52" s="757"/>
      <c r="AE52" s="757"/>
      <c r="AF52" s="757"/>
      <c r="AG52" s="757"/>
      <c r="AH52" s="757" t="s">
        <v>160</v>
      </c>
      <c r="AI52" s="757" t="s">
        <v>99</v>
      </c>
      <c r="AJ52" s="757" t="s">
        <v>161</v>
      </c>
      <c r="AK52" s="757"/>
      <c r="AL52" s="757"/>
      <c r="AM52" s="757"/>
      <c r="AN52" s="757"/>
      <c r="AO52" s="757"/>
      <c r="AP52" s="757"/>
      <c r="AQ52" s="757"/>
      <c r="AR52" s="757"/>
      <c r="AS52" s="757"/>
      <c r="AT52" s="757" t="s">
        <v>99</v>
      </c>
      <c r="AU52" s="1331" t="e">
        <f>(AU39/2)+AU41+(AM26*AM23*M23)</f>
        <v>#DIV/0!</v>
      </c>
      <c r="AV52" s="1331"/>
      <c r="AW52" s="1331"/>
      <c r="AX52" s="757" t="s">
        <v>92</v>
      </c>
      <c r="AY52" s="757"/>
      <c r="AZ52" s="757"/>
      <c r="BA52" s="757"/>
      <c r="BB52" s="758"/>
      <c r="BC52" s="725"/>
    </row>
    <row r="53" spans="1:55" ht="18.75" thickBot="1">
      <c r="A53" s="723"/>
      <c r="B53" s="752">
        <v>45</v>
      </c>
      <c r="C53" s="724"/>
      <c r="D53" s="724"/>
      <c r="E53" s="724"/>
      <c r="F53" s="724"/>
      <c r="G53" s="724" t="s">
        <v>162</v>
      </c>
      <c r="H53" s="724"/>
      <c r="I53" s="724"/>
      <c r="J53" s="724"/>
      <c r="K53" s="724"/>
      <c r="L53" s="724"/>
      <c r="M53" s="724"/>
      <c r="N53" s="724"/>
      <c r="O53" s="724" t="s">
        <v>99</v>
      </c>
      <c r="P53" s="1363" t="e">
        <f>M20/P52</f>
        <v>#N/A</v>
      </c>
      <c r="Q53" s="1363"/>
      <c r="R53" s="1363"/>
      <c r="S53" s="1007" t="e">
        <f>IF(P53&gt;1,"Belt Overloaded","")</f>
        <v>#N/A</v>
      </c>
      <c r="T53" s="1007"/>
      <c r="U53" s="1007"/>
      <c r="V53" s="724"/>
      <c r="W53" s="724"/>
      <c r="X53" s="724"/>
      <c r="Y53" s="724"/>
      <c r="Z53" s="724"/>
      <c r="AA53" s="724"/>
      <c r="AB53" s="725"/>
      <c r="AC53" s="724"/>
      <c r="AD53" s="724"/>
      <c r="AE53" s="724"/>
      <c r="AF53" s="724"/>
      <c r="AG53" s="724"/>
      <c r="AH53" s="724" t="s">
        <v>163</v>
      </c>
      <c r="AI53" s="724" t="s">
        <v>99</v>
      </c>
      <c r="AJ53" s="724" t="s">
        <v>164</v>
      </c>
      <c r="AK53" s="724"/>
      <c r="AL53" s="724"/>
      <c r="AM53" s="724"/>
      <c r="AN53" s="724"/>
      <c r="AO53" s="724"/>
      <c r="AP53" s="724"/>
      <c r="AQ53" s="724"/>
      <c r="AR53" s="724"/>
      <c r="AS53" s="724"/>
      <c r="AT53" s="724" t="s">
        <v>99</v>
      </c>
      <c r="AU53" s="1364" t="e">
        <f ca="1">MAX(AU37,(AU50-AU49+AU41))</f>
        <v>#DIV/0!</v>
      </c>
      <c r="AV53" s="1365"/>
      <c r="AW53" s="1365"/>
      <c r="AX53" s="724" t="s">
        <v>92</v>
      </c>
      <c r="AY53" s="724"/>
      <c r="AZ53" s="724"/>
      <c r="BA53" s="724"/>
      <c r="BB53" s="725"/>
      <c r="BC53" s="725"/>
    </row>
    <row r="54" spans="1:55" ht="15.75" thickBot="1">
      <c r="A54" s="723"/>
      <c r="B54" s="752">
        <v>46</v>
      </c>
      <c r="C54" s="749" t="s">
        <v>165</v>
      </c>
      <c r="D54" s="750"/>
      <c r="E54" s="750"/>
      <c r="F54" s="750"/>
      <c r="G54" s="750"/>
      <c r="H54" s="750"/>
      <c r="I54" s="750"/>
      <c r="J54" s="750"/>
      <c r="K54" s="750"/>
      <c r="L54" s="750"/>
      <c r="M54" s="750"/>
      <c r="N54" s="750"/>
      <c r="O54" s="750"/>
      <c r="P54" s="750"/>
      <c r="Q54" s="750"/>
      <c r="R54" s="750"/>
      <c r="S54" s="750"/>
      <c r="T54" s="750"/>
      <c r="U54" s="750"/>
      <c r="V54" s="750"/>
      <c r="W54" s="750"/>
      <c r="X54" s="750"/>
      <c r="Y54" s="750"/>
      <c r="Z54" s="750"/>
      <c r="AA54" s="750"/>
      <c r="AB54" s="776"/>
      <c r="AC54" s="1008" t="s">
        <v>166</v>
      </c>
      <c r="AD54" s="750"/>
      <c r="AE54" s="750"/>
      <c r="AF54" s="750"/>
      <c r="AG54" s="750"/>
      <c r="AH54" s="750"/>
      <c r="AI54" s="750"/>
      <c r="AJ54" s="750"/>
      <c r="AK54" s="750"/>
      <c r="AL54" s="750"/>
      <c r="AM54" s="750"/>
      <c r="AN54" s="750"/>
      <c r="AO54" s="750"/>
      <c r="AP54" s="750"/>
      <c r="AQ54" s="750"/>
      <c r="AR54" s="750"/>
      <c r="AS54" s="750"/>
      <c r="AT54" s="750"/>
      <c r="AU54" s="750"/>
      <c r="AV54" s="750"/>
      <c r="AW54" s="750"/>
      <c r="AX54" s="750"/>
      <c r="AY54" s="750"/>
      <c r="AZ54" s="750"/>
      <c r="BA54" s="750"/>
      <c r="BB54" s="776"/>
      <c r="BC54" s="725"/>
    </row>
    <row r="55" spans="1:55" ht="18">
      <c r="A55" s="723"/>
      <c r="B55" s="752">
        <v>47</v>
      </c>
      <c r="C55" s="754"/>
      <c r="D55" s="754"/>
      <c r="E55" s="754"/>
      <c r="F55" s="754"/>
      <c r="G55" s="754" t="s">
        <v>167</v>
      </c>
      <c r="H55" s="754"/>
      <c r="I55" s="754"/>
      <c r="J55" s="754"/>
      <c r="K55" s="754"/>
      <c r="L55" s="754"/>
      <c r="M55" s="754"/>
      <c r="N55" s="754"/>
      <c r="O55" s="754" t="s">
        <v>99</v>
      </c>
      <c r="P55" s="1366">
        <f>M35+AM30+AM30</f>
        <v>0</v>
      </c>
      <c r="Q55" s="1366"/>
      <c r="R55" s="1366"/>
      <c r="S55" s="754" t="s">
        <v>30</v>
      </c>
      <c r="T55" s="754"/>
      <c r="U55" s="754"/>
      <c r="V55" s="754"/>
      <c r="W55" s="754"/>
      <c r="X55" s="754"/>
      <c r="Y55" s="754"/>
      <c r="Z55" s="754"/>
      <c r="AA55" s="754"/>
      <c r="AB55" s="755"/>
      <c r="AC55" s="754"/>
      <c r="AD55" s="754"/>
      <c r="AE55" s="754"/>
      <c r="AF55" s="754"/>
      <c r="AG55" s="754"/>
      <c r="AH55" s="754" t="s">
        <v>168</v>
      </c>
      <c r="AI55" s="754" t="s">
        <v>99</v>
      </c>
      <c r="AJ55" s="754" t="s">
        <v>169</v>
      </c>
      <c r="AK55" s="754"/>
      <c r="AL55" s="754"/>
      <c r="AM55" s="754"/>
      <c r="AN55" s="754"/>
      <c r="AO55" s="754"/>
      <c r="AP55" s="754"/>
      <c r="AQ55" s="754"/>
      <c r="AR55" s="754"/>
      <c r="AS55" s="754"/>
      <c r="AT55" s="754" t="s">
        <v>99</v>
      </c>
      <c r="AU55" s="1367" t="e">
        <f ca="1">($AU$48*$M$21)/33000</f>
        <v>#DIV/0!</v>
      </c>
      <c r="AV55" s="1367"/>
      <c r="AW55" s="1367"/>
      <c r="AX55" s="754" t="s">
        <v>170</v>
      </c>
      <c r="AY55" s="754"/>
      <c r="AZ55" s="754"/>
      <c r="BA55" s="754"/>
      <c r="BB55" s="755"/>
      <c r="BC55" s="725"/>
    </row>
    <row r="56" spans="1:55" ht="18">
      <c r="A56" s="723"/>
      <c r="B56" s="752">
        <v>48</v>
      </c>
      <c r="C56" s="757"/>
      <c r="D56" s="757"/>
      <c r="E56" s="757"/>
      <c r="F56" s="757"/>
      <c r="G56" s="757" t="s">
        <v>171</v>
      </c>
      <c r="H56" s="757"/>
      <c r="I56" s="757"/>
      <c r="J56" s="757"/>
      <c r="K56" s="757"/>
      <c r="L56" s="757"/>
      <c r="M56" s="757"/>
      <c r="N56" s="757"/>
      <c r="O56" s="757" t="s">
        <v>99</v>
      </c>
      <c r="P56" s="1368" t="e">
        <f>M21/(PI()*(P55/12))</f>
        <v>#DIV/0!</v>
      </c>
      <c r="Q56" s="1368"/>
      <c r="R56" s="1368"/>
      <c r="S56" s="757" t="s">
        <v>172</v>
      </c>
      <c r="T56" s="757"/>
      <c r="U56" s="757"/>
      <c r="V56" s="757"/>
      <c r="W56" s="757"/>
      <c r="X56" s="757"/>
      <c r="Y56" s="757"/>
      <c r="Z56" s="757"/>
      <c r="AA56" s="757"/>
      <c r="AB56" s="758"/>
      <c r="AC56" s="757"/>
      <c r="AD56" s="757"/>
      <c r="AE56" s="757"/>
      <c r="AF56" s="757"/>
      <c r="AG56" s="757"/>
      <c r="AH56" s="1009" t="s">
        <v>173</v>
      </c>
      <c r="AI56" s="757" t="s">
        <v>99</v>
      </c>
      <c r="AJ56" s="757" t="s">
        <v>174</v>
      </c>
      <c r="AK56" s="757"/>
      <c r="AL56" s="757"/>
      <c r="AM56" s="757"/>
      <c r="AN56" s="757"/>
      <c r="AO56" s="757"/>
      <c r="AP56" s="757"/>
      <c r="AQ56" s="757"/>
      <c r="AR56" s="757"/>
      <c r="AS56" s="757"/>
      <c r="AT56" s="757" t="s">
        <v>99</v>
      </c>
      <c r="AU56" s="1361" t="e">
        <f>VLOOKUP(P14,List!O15:P18,2,FALSE)</f>
        <v>#N/A</v>
      </c>
      <c r="AV56" s="1361"/>
      <c r="AW56" s="1361"/>
      <c r="AX56" s="757"/>
      <c r="AY56" s="757"/>
      <c r="AZ56" s="757"/>
      <c r="BA56" s="757"/>
      <c r="BB56" s="758"/>
      <c r="BC56" s="725"/>
    </row>
    <row r="57" spans="1:55" ht="18">
      <c r="A57" s="723"/>
      <c r="B57" s="752">
        <v>49</v>
      </c>
      <c r="C57" s="757"/>
      <c r="D57" s="757"/>
      <c r="E57" s="757"/>
      <c r="F57" s="757"/>
      <c r="G57" s="757" t="s">
        <v>175</v>
      </c>
      <c r="H57" s="757"/>
      <c r="I57" s="757"/>
      <c r="J57" s="757"/>
      <c r="K57" s="757"/>
      <c r="L57" s="757"/>
      <c r="M57" s="757"/>
      <c r="N57" s="757"/>
      <c r="O57" s="757" t="s">
        <v>99</v>
      </c>
      <c r="P57" s="1373" t="e">
        <f ca="1">63025*AU55/P56</f>
        <v>#DIV/0!</v>
      </c>
      <c r="Q57" s="1373"/>
      <c r="R57" s="1373"/>
      <c r="S57" s="757" t="s">
        <v>176</v>
      </c>
      <c r="T57" s="757"/>
      <c r="U57" s="757"/>
      <c r="V57" s="757"/>
      <c r="W57" s="757"/>
      <c r="X57" s="757"/>
      <c r="Y57" s="757"/>
      <c r="Z57" s="757"/>
      <c r="AA57" s="757"/>
      <c r="AB57" s="758"/>
      <c r="AC57" s="757"/>
      <c r="AD57" s="757"/>
      <c r="AE57" s="757"/>
      <c r="AF57" s="757"/>
      <c r="AG57" s="757"/>
      <c r="AH57" s="802" t="s">
        <v>177</v>
      </c>
      <c r="AI57" s="757" t="s">
        <v>99</v>
      </c>
      <c r="AJ57" s="757" t="s">
        <v>178</v>
      </c>
      <c r="AK57" s="757"/>
      <c r="AL57" s="757"/>
      <c r="AM57" s="757"/>
      <c r="AN57" s="757"/>
      <c r="AO57" s="757"/>
      <c r="AP57" s="757"/>
      <c r="AQ57" s="757"/>
      <c r="AR57" s="757"/>
      <c r="AS57" s="757"/>
      <c r="AT57" s="757" t="s">
        <v>99</v>
      </c>
      <c r="AU57" s="1374" t="e">
        <f ca="1">AU55/AU56</f>
        <v>#DIV/0!</v>
      </c>
      <c r="AV57" s="1374"/>
      <c r="AW57" s="1374"/>
      <c r="AX57" s="757" t="s">
        <v>170</v>
      </c>
      <c r="AY57" s="757"/>
      <c r="AZ57" s="757"/>
      <c r="BA57" s="757"/>
      <c r="BB57" s="758"/>
      <c r="BC57" s="725"/>
    </row>
    <row r="58" spans="1:55" ht="18">
      <c r="A58" s="723"/>
      <c r="B58" s="752">
        <v>50</v>
      </c>
      <c r="C58" s="757"/>
      <c r="D58" s="757"/>
      <c r="E58" s="757"/>
      <c r="F58" s="757"/>
      <c r="G58" s="757" t="s">
        <v>179</v>
      </c>
      <c r="H58" s="757"/>
      <c r="I58" s="757"/>
      <c r="J58" s="757"/>
      <c r="K58" s="757"/>
      <c r="L58" s="757"/>
      <c r="M58" s="757"/>
      <c r="N58" s="757"/>
      <c r="O58" s="757" t="s">
        <v>99</v>
      </c>
      <c r="P58" s="1336"/>
      <c r="Q58" s="1336"/>
      <c r="R58" s="1336"/>
      <c r="S58" s="757" t="s">
        <v>172</v>
      </c>
      <c r="T58" s="757"/>
      <c r="U58" s="1000" t="s">
        <v>180</v>
      </c>
      <c r="V58" s="757"/>
      <c r="W58" s="757"/>
      <c r="X58" s="757"/>
      <c r="Y58" s="757"/>
      <c r="Z58" s="757"/>
      <c r="AA58" s="757"/>
      <c r="AB58" s="758"/>
      <c r="AC58" s="757"/>
      <c r="AD58" s="757"/>
      <c r="AE58" s="757"/>
      <c r="AF58" s="757"/>
      <c r="AG58" s="757"/>
      <c r="AH58" s="757" t="s">
        <v>181</v>
      </c>
      <c r="AI58" s="757" t="s">
        <v>99</v>
      </c>
      <c r="AJ58" s="757" t="s">
        <v>182</v>
      </c>
      <c r="AK58" s="757"/>
      <c r="AL58" s="757"/>
      <c r="AM58" s="757"/>
      <c r="AN58" s="757"/>
      <c r="AO58" s="757"/>
      <c r="AP58" s="757"/>
      <c r="AQ58" s="757"/>
      <c r="AR58" s="757"/>
      <c r="AS58" s="757"/>
      <c r="AT58" s="757" t="s">
        <v>99</v>
      </c>
      <c r="AU58" s="1336"/>
      <c r="AV58" s="1336"/>
      <c r="AW58" s="1336"/>
      <c r="AX58" s="757" t="s">
        <v>170</v>
      </c>
      <c r="AY58" s="757"/>
      <c r="AZ58" s="757"/>
      <c r="BA58" s="757"/>
      <c r="BB58" s="758"/>
      <c r="BC58" s="725"/>
    </row>
    <row r="59" spans="1:55" ht="15.75" thickBot="1">
      <c r="A59" s="723"/>
      <c r="B59" s="752">
        <v>51</v>
      </c>
      <c r="C59" s="740"/>
      <c r="D59" s="741"/>
      <c r="E59" s="741"/>
      <c r="F59" s="741"/>
      <c r="G59" s="741" t="s">
        <v>183</v>
      </c>
      <c r="H59" s="741"/>
      <c r="I59" s="741"/>
      <c r="J59" s="741"/>
      <c r="K59" s="741"/>
      <c r="L59" s="741"/>
      <c r="M59" s="741"/>
      <c r="N59" s="741"/>
      <c r="O59" s="741" t="s">
        <v>99</v>
      </c>
      <c r="P59" s="1443">
        <f>P58*(PI()*(P55/12))</f>
        <v>0</v>
      </c>
      <c r="Q59" s="1443"/>
      <c r="R59" s="1443"/>
      <c r="S59" s="741" t="s">
        <v>47</v>
      </c>
      <c r="T59" s="741"/>
      <c r="U59" s="1007" t="str">
        <f>IF(P59&lt;M21,"Increase Speed","")</f>
        <v/>
      </c>
      <c r="V59" s="741"/>
      <c r="W59" s="741"/>
      <c r="X59" s="741"/>
      <c r="Y59" s="741"/>
      <c r="Z59" s="741"/>
      <c r="AA59" s="741"/>
      <c r="AB59" s="742"/>
      <c r="AC59" s="724"/>
      <c r="AD59" s="724"/>
      <c r="AE59" s="724"/>
      <c r="AF59" s="724"/>
      <c r="AG59" s="724"/>
      <c r="AH59" s="724" t="s">
        <v>184</v>
      </c>
      <c r="AI59" s="724" t="s">
        <v>99</v>
      </c>
      <c r="AJ59" s="724" t="s">
        <v>185</v>
      </c>
      <c r="AK59" s="724"/>
      <c r="AL59" s="724"/>
      <c r="AM59" s="724"/>
      <c r="AN59" s="724"/>
      <c r="AO59" s="724"/>
      <c r="AP59" s="724"/>
      <c r="AQ59" s="724"/>
      <c r="AR59" s="724"/>
      <c r="AS59" s="724"/>
      <c r="AT59" s="724" t="s">
        <v>99</v>
      </c>
      <c r="AU59" s="1362" t="e">
        <f ca="1">AU58/AU57</f>
        <v>#DIV/0!</v>
      </c>
      <c r="AV59" s="1362"/>
      <c r="AW59" s="1362"/>
      <c r="AX59" s="724" t="e">
        <f ca="1">IF(AU59&lt;1,"INCREASE HP","")</f>
        <v>#DIV/0!</v>
      </c>
      <c r="AY59" s="724"/>
      <c r="AZ59" s="724"/>
      <c r="BA59" s="724"/>
      <c r="BB59" s="725"/>
      <c r="BC59" s="725"/>
    </row>
    <row r="60" spans="1:55" ht="15.75" thickBot="1">
      <c r="B60" s="752">
        <v>52</v>
      </c>
      <c r="C60" s="749" t="s">
        <v>186</v>
      </c>
      <c r="D60" s="750"/>
      <c r="E60" s="750"/>
      <c r="F60" s="750"/>
      <c r="G60" s="750"/>
      <c r="H60" s="750"/>
      <c r="I60" s="750"/>
      <c r="J60" s="750"/>
      <c r="K60" s="750"/>
      <c r="L60" s="750"/>
      <c r="M60" s="750"/>
      <c r="N60" s="750"/>
      <c r="O60" s="750"/>
      <c r="P60" s="750"/>
      <c r="Q60" s="750"/>
      <c r="R60" s="750"/>
      <c r="S60" s="750"/>
      <c r="T60" s="750"/>
      <c r="U60" s="750"/>
      <c r="V60" s="750"/>
      <c r="W60" s="750"/>
      <c r="X60" s="750"/>
      <c r="Y60" s="750"/>
      <c r="Z60" s="750"/>
      <c r="AA60" s="750"/>
      <c r="AB60" s="776"/>
      <c r="AC60" s="1008" t="s">
        <v>187</v>
      </c>
      <c r="AD60" s="750"/>
      <c r="AE60" s="750"/>
      <c r="AF60" s="750"/>
      <c r="AG60" s="750"/>
      <c r="AH60" s="750"/>
      <c r="AI60" s="750"/>
      <c r="AJ60" s="750"/>
      <c r="AK60" s="750"/>
      <c r="AL60" s="750"/>
      <c r="AM60" s="750"/>
      <c r="AN60" s="750"/>
      <c r="AO60" s="750"/>
      <c r="AP60" s="750"/>
      <c r="AQ60" s="750"/>
      <c r="AR60" s="750"/>
      <c r="AS60" s="750"/>
      <c r="AT60" s="750"/>
      <c r="AU60" s="750"/>
      <c r="AV60" s="750"/>
      <c r="AW60" s="750"/>
      <c r="AX60" s="750"/>
      <c r="AY60" s="750"/>
      <c r="AZ60" s="750"/>
      <c r="BA60" s="750"/>
      <c r="BB60" s="776"/>
      <c r="BC60" s="725"/>
    </row>
    <row r="61" spans="1:55" ht="18">
      <c r="A61" s="723"/>
      <c r="B61" s="752">
        <v>53</v>
      </c>
      <c r="C61" s="804" t="s">
        <v>188</v>
      </c>
      <c r="D61" s="754"/>
      <c r="E61" s="754"/>
      <c r="F61" s="754"/>
      <c r="G61" s="754"/>
      <c r="H61" s="754"/>
      <c r="I61" s="755"/>
      <c r="J61" s="1369"/>
      <c r="K61" s="1370"/>
      <c r="L61" s="1370"/>
      <c r="M61" s="1370"/>
      <c r="N61" s="1370"/>
      <c r="O61" s="1370"/>
      <c r="P61" s="1010"/>
      <c r="Q61" s="1371"/>
      <c r="R61" s="1370"/>
      <c r="S61" s="1370"/>
      <c r="T61" s="1370"/>
      <c r="U61" s="1370"/>
      <c r="V61" s="1370"/>
      <c r="W61" s="754"/>
      <c r="X61" s="754"/>
      <c r="Y61" s="754"/>
      <c r="Z61" s="754"/>
      <c r="AA61" s="754"/>
      <c r="AB61" s="755"/>
      <c r="AC61" s="754"/>
      <c r="AD61" s="754"/>
      <c r="AE61" s="754"/>
      <c r="AF61" s="754"/>
      <c r="AG61" s="754"/>
      <c r="AH61" s="754" t="s">
        <v>189</v>
      </c>
      <c r="AI61" s="754" t="s">
        <v>99</v>
      </c>
      <c r="AJ61" s="1372" t="e">
        <f>VLOOKUP(AM33,List!K4:N8,2,FALSE)</f>
        <v>#N/A</v>
      </c>
      <c r="AK61" s="1372"/>
      <c r="AL61" s="1372"/>
      <c r="AM61" s="754" t="s">
        <v>190</v>
      </c>
      <c r="AN61" s="754"/>
      <c r="AO61" s="754"/>
      <c r="AP61" s="754"/>
      <c r="AQ61" s="754"/>
      <c r="AR61" s="754"/>
      <c r="AS61" s="1011" t="s">
        <v>191</v>
      </c>
      <c r="AT61" s="754" t="s">
        <v>99</v>
      </c>
      <c r="AU61" s="1372">
        <f>M23+8</f>
        <v>8</v>
      </c>
      <c r="AV61" s="1372"/>
      <c r="AW61" s="1372"/>
      <c r="AX61" s="754" t="s">
        <v>30</v>
      </c>
      <c r="AY61" s="754"/>
      <c r="AZ61" s="754"/>
      <c r="BA61" s="754"/>
      <c r="BB61" s="755"/>
      <c r="BC61" s="725"/>
    </row>
    <row r="62" spans="1:55" ht="18">
      <c r="A62" s="723"/>
      <c r="B62" s="752">
        <v>54</v>
      </c>
      <c r="C62" s="805" t="s">
        <v>192</v>
      </c>
      <c r="D62" s="757"/>
      <c r="E62" s="757"/>
      <c r="F62" s="757"/>
      <c r="G62" s="757"/>
      <c r="H62" s="757"/>
      <c r="I62" s="758"/>
      <c r="J62" s="1356"/>
      <c r="K62" s="1357"/>
      <c r="L62" s="1357"/>
      <c r="M62" s="1357"/>
      <c r="N62" s="1357"/>
      <c r="O62" s="1357"/>
      <c r="P62" s="806" t="s">
        <v>193</v>
      </c>
      <c r="Q62" s="807"/>
      <c r="R62" s="807"/>
      <c r="S62" s="807"/>
      <c r="T62" s="807"/>
      <c r="U62" s="807"/>
      <c r="V62" s="807"/>
      <c r="W62" s="759"/>
      <c r="X62" s="759"/>
      <c r="Y62" s="759"/>
      <c r="Z62" s="759"/>
      <c r="AA62" s="759"/>
      <c r="AB62" s="760"/>
      <c r="AC62" s="757"/>
      <c r="AD62" s="757"/>
      <c r="AE62" s="757"/>
      <c r="AF62" s="757"/>
      <c r="AG62" s="757"/>
      <c r="AH62" s="757" t="s">
        <v>194</v>
      </c>
      <c r="AI62" s="757" t="s">
        <v>99</v>
      </c>
      <c r="AJ62" s="1327" t="e">
        <f>VLOOKUP(AM33,List!K4:N8,3,FALSE)</f>
        <v>#N/A</v>
      </c>
      <c r="AK62" s="1327"/>
      <c r="AL62" s="1327"/>
      <c r="AM62" s="757" t="s">
        <v>190</v>
      </c>
      <c r="AN62" s="757"/>
      <c r="AO62" s="757"/>
      <c r="AP62" s="757"/>
      <c r="AQ62" s="757"/>
      <c r="AR62" s="757"/>
      <c r="AS62" s="802" t="s">
        <v>195</v>
      </c>
      <c r="AT62" s="757" t="s">
        <v>99</v>
      </c>
      <c r="AU62" s="1327">
        <v>4</v>
      </c>
      <c r="AV62" s="1327"/>
      <c r="AW62" s="1327"/>
      <c r="AX62" s="757" t="s">
        <v>30</v>
      </c>
      <c r="AY62" s="757"/>
      <c r="AZ62" s="757"/>
      <c r="BA62" s="757"/>
      <c r="BB62" s="758"/>
      <c r="BC62" s="725"/>
    </row>
    <row r="63" spans="1:55">
      <c r="A63" s="723"/>
      <c r="B63" s="752">
        <v>55</v>
      </c>
      <c r="C63" s="805" t="s">
        <v>196</v>
      </c>
      <c r="D63" s="757"/>
      <c r="E63" s="757"/>
      <c r="F63" s="757"/>
      <c r="G63" s="757"/>
      <c r="H63" s="757"/>
      <c r="I63" s="758"/>
      <c r="J63" s="1356"/>
      <c r="K63" s="1357"/>
      <c r="L63" s="1357"/>
      <c r="M63" s="1357"/>
      <c r="N63" s="1357"/>
      <c r="O63" s="1357"/>
      <c r="P63" s="806"/>
      <c r="Q63" s="1442"/>
      <c r="R63" s="1442"/>
      <c r="S63" s="1442"/>
      <c r="T63" s="1442"/>
      <c r="U63" s="1442"/>
      <c r="V63" s="1442"/>
      <c r="W63" s="759" t="s">
        <v>197</v>
      </c>
      <c r="X63" s="759"/>
      <c r="Y63" s="759"/>
      <c r="Z63" s="759"/>
      <c r="AA63" s="759"/>
      <c r="AB63" s="760"/>
      <c r="AC63" s="757"/>
      <c r="AD63" s="757"/>
      <c r="AE63" s="757"/>
      <c r="AF63" s="757"/>
      <c r="AG63" s="757"/>
      <c r="AH63" s="757" t="s">
        <v>198</v>
      </c>
      <c r="AI63" s="757" t="s">
        <v>99</v>
      </c>
      <c r="AJ63" s="1327" t="e">
        <f>VLOOKUP(AM33,List!K4:N8,4,FALSE)</f>
        <v>#N/A</v>
      </c>
      <c r="AK63" s="1327"/>
      <c r="AL63" s="1327"/>
      <c r="AM63" s="757" t="s">
        <v>190</v>
      </c>
      <c r="AN63" s="757"/>
      <c r="AO63" s="757"/>
      <c r="AP63" s="757"/>
      <c r="AQ63" s="757"/>
      <c r="AR63" s="757"/>
      <c r="AS63" s="802" t="s">
        <v>199</v>
      </c>
      <c r="AT63" s="757" t="s">
        <v>99</v>
      </c>
      <c r="AU63" s="1327">
        <v>6</v>
      </c>
      <c r="AV63" s="1327"/>
      <c r="AW63" s="1327"/>
      <c r="AX63" s="757" t="s">
        <v>30</v>
      </c>
      <c r="AY63" s="757"/>
      <c r="AZ63" s="757"/>
      <c r="BA63" s="757"/>
      <c r="BB63" s="758"/>
      <c r="BC63" s="725"/>
    </row>
    <row r="64" spans="1:55" ht="17.25">
      <c r="A64" s="723"/>
      <c r="B64" s="752">
        <v>56</v>
      </c>
      <c r="C64" s="805" t="s">
        <v>200</v>
      </c>
      <c r="D64" s="757"/>
      <c r="E64" s="757"/>
      <c r="F64" s="757"/>
      <c r="G64" s="757"/>
      <c r="H64" s="757"/>
      <c r="I64" s="758"/>
      <c r="J64" s="1356"/>
      <c r="K64" s="1357"/>
      <c r="L64" s="1357"/>
      <c r="M64" s="1357"/>
      <c r="N64" s="1357"/>
      <c r="O64" s="1357"/>
      <c r="P64" s="757"/>
      <c r="Q64" s="1357"/>
      <c r="R64" s="1357"/>
      <c r="S64" s="1357"/>
      <c r="T64" s="1357"/>
      <c r="U64" s="1357"/>
      <c r="V64" s="1357"/>
      <c r="W64" s="808" t="s">
        <v>201</v>
      </c>
      <c r="X64" s="808"/>
      <c r="Y64" s="808"/>
      <c r="Z64" s="808"/>
      <c r="AA64" s="808"/>
      <c r="AB64" s="809"/>
      <c r="AC64" s="757"/>
      <c r="AD64" s="757"/>
      <c r="AE64" s="757"/>
      <c r="AF64" s="757"/>
      <c r="AG64" s="757"/>
      <c r="AH64" s="757" t="s">
        <v>202</v>
      </c>
      <c r="AI64" s="757" t="s">
        <v>99</v>
      </c>
      <c r="AJ64" s="1338">
        <f>(PI()*(AM31^4))/64</f>
        <v>0</v>
      </c>
      <c r="AK64" s="1338"/>
      <c r="AL64" s="1338"/>
      <c r="AM64" s="757" t="s">
        <v>203</v>
      </c>
      <c r="AN64" s="757"/>
      <c r="AO64" s="757"/>
      <c r="AP64" s="757"/>
      <c r="AQ64" s="757"/>
      <c r="AR64" s="757"/>
      <c r="AS64" s="802" t="s">
        <v>204</v>
      </c>
      <c r="AT64" s="757" t="s">
        <v>99</v>
      </c>
      <c r="AU64" s="1331" t="e">
        <f ca="1">AU50+AU51</f>
        <v>#DIV/0!</v>
      </c>
      <c r="AV64" s="1327"/>
      <c r="AW64" s="1327"/>
      <c r="AX64" s="757" t="s">
        <v>92</v>
      </c>
      <c r="AY64" s="757"/>
      <c r="AZ64" s="757"/>
      <c r="BA64" s="757"/>
      <c r="BB64" s="758"/>
      <c r="BC64" s="725"/>
    </row>
    <row r="65" spans="1:56">
      <c r="A65" s="723"/>
      <c r="B65" s="752">
        <v>57</v>
      </c>
      <c r="C65" s="805" t="s">
        <v>205</v>
      </c>
      <c r="D65" s="757"/>
      <c r="E65" s="757"/>
      <c r="F65" s="757"/>
      <c r="G65" s="757"/>
      <c r="H65" s="757"/>
      <c r="I65" s="758"/>
      <c r="J65" s="1359"/>
      <c r="K65" s="1357"/>
      <c r="L65" s="1357"/>
      <c r="M65" s="1357"/>
      <c r="N65" s="1357"/>
      <c r="O65" s="1357"/>
      <c r="P65" s="806"/>
      <c r="Q65" s="1357"/>
      <c r="R65" s="1357"/>
      <c r="S65" s="1357"/>
      <c r="T65" s="1357"/>
      <c r="U65" s="1357"/>
      <c r="V65" s="1357"/>
      <c r="W65" s="757"/>
      <c r="X65" s="757"/>
      <c r="Y65" s="757"/>
      <c r="Z65" s="757"/>
      <c r="AA65" s="757"/>
      <c r="AB65" s="758"/>
      <c r="AC65" s="757"/>
      <c r="AD65" s="757"/>
      <c r="AE65" s="757"/>
      <c r="AF65" s="757"/>
      <c r="AG65" s="757"/>
      <c r="AH65" s="757" t="s">
        <v>206</v>
      </c>
      <c r="AI65" s="757" t="s">
        <v>99</v>
      </c>
      <c r="AJ65" s="1327">
        <v>1.5</v>
      </c>
      <c r="AK65" s="1327"/>
      <c r="AL65" s="1327"/>
      <c r="AM65" s="757"/>
      <c r="AN65" s="757"/>
      <c r="AO65" s="757"/>
      <c r="AP65" s="757"/>
      <c r="AQ65" s="757"/>
      <c r="AR65" s="757"/>
      <c r="AS65" s="802" t="s">
        <v>207</v>
      </c>
      <c r="AT65" s="757" t="s">
        <v>99</v>
      </c>
      <c r="AU65" s="1331" t="e">
        <f ca="1">SQRT((AU64^2)+(AM35^2))</f>
        <v>#DIV/0!</v>
      </c>
      <c r="AV65" s="1331"/>
      <c r="AW65" s="1331"/>
      <c r="AX65" s="757" t="s">
        <v>92</v>
      </c>
      <c r="AY65" s="757"/>
      <c r="AZ65" s="757"/>
      <c r="BA65" s="757"/>
      <c r="BB65" s="758"/>
      <c r="BC65" s="799"/>
    </row>
    <row r="66" spans="1:56" ht="18">
      <c r="A66" s="723"/>
      <c r="B66" s="752">
        <v>58</v>
      </c>
      <c r="C66" s="805" t="s">
        <v>208</v>
      </c>
      <c r="D66" s="757"/>
      <c r="E66" s="757"/>
      <c r="F66" s="757"/>
      <c r="G66" s="757"/>
      <c r="H66" s="757"/>
      <c r="I66" s="758"/>
      <c r="J66" s="1360">
        <f>AU58</f>
        <v>0</v>
      </c>
      <c r="K66" s="1361"/>
      <c r="L66" s="1361"/>
      <c r="M66" s="1361"/>
      <c r="N66" s="1361"/>
      <c r="O66" s="1361"/>
      <c r="P66" s="810"/>
      <c r="Q66" s="762" t="s">
        <v>170</v>
      </c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5"/>
      <c r="AC66" s="757"/>
      <c r="AD66" s="757"/>
      <c r="AE66" s="757"/>
      <c r="AF66" s="757"/>
      <c r="AG66" s="757"/>
      <c r="AH66" s="757" t="s">
        <v>209</v>
      </c>
      <c r="AI66" s="757" t="s">
        <v>99</v>
      </c>
      <c r="AJ66" s="1331" t="e">
        <f>List!S3*List!S4*List!S5*List!S6*List!S7*List!S9*List!S10</f>
        <v>#DIV/0!</v>
      </c>
      <c r="AK66" s="1331"/>
      <c r="AL66" s="1331"/>
      <c r="AM66" s="757" t="s">
        <v>190</v>
      </c>
      <c r="AN66" s="757"/>
      <c r="AO66" s="757"/>
      <c r="AP66" s="757"/>
      <c r="AQ66" s="757"/>
      <c r="AR66" s="757"/>
      <c r="AS66" s="802" t="s">
        <v>210</v>
      </c>
      <c r="AT66" s="757" t="s">
        <v>99</v>
      </c>
      <c r="AU66" s="1331" t="e">
        <f ca="1">AU65*(AU62/2)</f>
        <v>#DIV/0!</v>
      </c>
      <c r="AV66" s="1331"/>
      <c r="AW66" s="1331"/>
      <c r="AX66" s="757" t="s">
        <v>211</v>
      </c>
      <c r="AY66" s="757"/>
      <c r="AZ66" s="757"/>
      <c r="BA66" s="757"/>
      <c r="BB66" s="758"/>
      <c r="BC66" s="799"/>
    </row>
    <row r="67" spans="1:56">
      <c r="A67" s="723"/>
      <c r="B67" s="752">
        <v>59</v>
      </c>
      <c r="C67" s="805" t="s">
        <v>212</v>
      </c>
      <c r="D67" s="757"/>
      <c r="E67" s="757"/>
      <c r="F67" s="757"/>
      <c r="G67" s="757"/>
      <c r="H67" s="757"/>
      <c r="I67" s="758"/>
      <c r="J67" s="1356"/>
      <c r="K67" s="1357"/>
      <c r="L67" s="1357"/>
      <c r="M67" s="1357"/>
      <c r="N67" s="1357"/>
      <c r="O67" s="1357"/>
      <c r="P67" s="1357"/>
      <c r="Q67" s="1357"/>
      <c r="R67" s="1357"/>
      <c r="S67" s="1357"/>
      <c r="T67" s="1357"/>
      <c r="U67" s="1357"/>
      <c r="V67" s="1357"/>
      <c r="W67" s="1357"/>
      <c r="X67" s="1357"/>
      <c r="Y67" s="1357"/>
      <c r="Z67" s="1357"/>
      <c r="AA67" s="1357"/>
      <c r="AB67" s="1358"/>
      <c r="AC67" s="757"/>
      <c r="AD67" s="757"/>
      <c r="AE67" s="757"/>
      <c r="AF67" s="757"/>
      <c r="AG67" s="757"/>
      <c r="AH67" s="757" t="s">
        <v>213</v>
      </c>
      <c r="AI67" s="757" t="s">
        <v>99</v>
      </c>
      <c r="AJ67" s="1338" t="e">
        <f>(63025*AU58)/P56</f>
        <v>#DIV/0!</v>
      </c>
      <c r="AK67" s="1338"/>
      <c r="AL67" s="1338"/>
      <c r="AM67" s="757"/>
      <c r="AN67" s="757"/>
      <c r="AO67" s="757"/>
      <c r="AP67" s="757"/>
      <c r="AQ67" s="757"/>
      <c r="AR67" s="757"/>
      <c r="AS67" s="802" t="s">
        <v>214</v>
      </c>
      <c r="AT67" s="757" t="s">
        <v>99</v>
      </c>
      <c r="AU67" s="1331">
        <f>AM34*AU63</f>
        <v>0</v>
      </c>
      <c r="AV67" s="1331"/>
      <c r="AW67" s="1331"/>
      <c r="AX67" s="757" t="s">
        <v>211</v>
      </c>
      <c r="AY67" s="757"/>
      <c r="AZ67" s="757"/>
      <c r="BA67" s="757"/>
      <c r="BB67" s="758"/>
      <c r="BC67" s="799"/>
    </row>
    <row r="68" spans="1:56">
      <c r="A68" s="723"/>
      <c r="B68" s="752">
        <v>60</v>
      </c>
      <c r="C68" s="805" t="s">
        <v>215</v>
      </c>
      <c r="D68" s="757"/>
      <c r="E68" s="757"/>
      <c r="F68" s="757"/>
      <c r="G68" s="757"/>
      <c r="H68" s="757"/>
      <c r="I68" s="758"/>
      <c r="J68" s="1356"/>
      <c r="K68" s="1357"/>
      <c r="L68" s="1357"/>
      <c r="M68" s="1357"/>
      <c r="N68" s="1357"/>
      <c r="O68" s="1357"/>
      <c r="P68" s="1357"/>
      <c r="Q68" s="1357"/>
      <c r="R68" s="1357"/>
      <c r="S68" s="1357"/>
      <c r="T68" s="1357"/>
      <c r="U68" s="1357"/>
      <c r="V68" s="1357"/>
      <c r="W68" s="1357"/>
      <c r="X68" s="1357"/>
      <c r="Y68" s="1357"/>
      <c r="Z68" s="1357"/>
      <c r="AA68" s="1357"/>
      <c r="AB68" s="1358"/>
      <c r="AC68" s="757"/>
      <c r="AD68" s="757"/>
      <c r="AE68" s="757"/>
      <c r="AF68" s="757"/>
      <c r="AG68" s="757"/>
      <c r="AH68" s="757" t="s">
        <v>216</v>
      </c>
      <c r="AI68" s="757" t="s">
        <v>99</v>
      </c>
      <c r="AJ68" s="1331" t="e">
        <f ca="1">(32*AJ65*(1/PI())*((((AU68*AU66)/AJ66)^2)+(0.75*(AJ67/AJ62)^2))^0.5)^(1/3)</f>
        <v>#DIV/0!</v>
      </c>
      <c r="AK68" s="1331"/>
      <c r="AL68" s="1331"/>
      <c r="AM68" s="757" t="s">
        <v>30</v>
      </c>
      <c r="AN68" s="757"/>
      <c r="AO68" s="757"/>
      <c r="AP68" s="757"/>
      <c r="AQ68" s="757"/>
      <c r="AR68" s="757"/>
      <c r="AS68" s="802" t="s">
        <v>217</v>
      </c>
      <c r="AT68" s="757" t="s">
        <v>99</v>
      </c>
      <c r="AU68" s="1331" t="e">
        <f ca="1">(SQRT((AU66^2)+(AU67^2)-(2*AU66*AU67*(COS(DEGREES(AM36))))))/AU66</f>
        <v>#DIV/0!</v>
      </c>
      <c r="AV68" s="1331"/>
      <c r="AW68" s="1331"/>
      <c r="AX68" s="757"/>
      <c r="AY68" s="757"/>
      <c r="AZ68" s="757"/>
      <c r="BA68" s="757"/>
      <c r="BB68" s="758"/>
      <c r="BC68" s="799"/>
    </row>
    <row r="69" spans="1:56" ht="15" customHeight="1">
      <c r="A69" s="723"/>
      <c r="B69" s="752">
        <v>61</v>
      </c>
      <c r="C69" s="811" t="s">
        <v>218</v>
      </c>
      <c r="D69" s="812"/>
      <c r="E69" s="812"/>
      <c r="F69" s="812"/>
      <c r="G69" s="812"/>
      <c r="H69" s="812"/>
      <c r="I69" s="813"/>
      <c r="J69" s="1346"/>
      <c r="K69" s="1346"/>
      <c r="L69" s="1346"/>
      <c r="M69" s="1346"/>
      <c r="N69" s="1346"/>
      <c r="O69" s="1346"/>
      <c r="P69" s="1346"/>
      <c r="Q69" s="1346"/>
      <c r="R69" s="1346"/>
      <c r="S69" s="1346"/>
      <c r="T69" s="1346"/>
      <c r="U69" s="1346"/>
      <c r="V69" s="1346"/>
      <c r="W69" s="1346"/>
      <c r="X69" s="1346"/>
      <c r="Y69" s="1346"/>
      <c r="Z69" s="1346"/>
      <c r="AA69" s="1346"/>
      <c r="AB69" s="1347"/>
      <c r="AC69" s="757"/>
      <c r="AD69" s="757"/>
      <c r="AE69" s="757"/>
      <c r="AF69" s="757"/>
      <c r="AG69" s="757"/>
      <c r="AH69" s="1012" t="s">
        <v>219</v>
      </c>
      <c r="AI69" s="757" t="s">
        <v>99</v>
      </c>
      <c r="AJ69" s="1352" t="e">
        <f ca="1">(AU65*AU62*(AU61-(2*AU62)))/(4*AJ63*AJ64)</f>
        <v>#DIV/0!</v>
      </c>
      <c r="AK69" s="1352"/>
      <c r="AL69" s="1352"/>
      <c r="AM69" s="757"/>
      <c r="AN69" s="757"/>
      <c r="AO69" s="757"/>
      <c r="AP69" s="757"/>
      <c r="AQ69" s="757"/>
      <c r="AR69" s="757"/>
      <c r="AS69" s="802" t="s">
        <v>220</v>
      </c>
      <c r="AT69" s="757" t="s">
        <v>99</v>
      </c>
      <c r="AU69" s="1353" t="e">
        <f ca="1">IF(AM31&gt;AJ68,"Yes","No")</f>
        <v>#DIV/0!</v>
      </c>
      <c r="AV69" s="1353"/>
      <c r="AW69" s="1353"/>
      <c r="AX69" s="757"/>
      <c r="AY69" s="757"/>
      <c r="AZ69" s="757"/>
      <c r="BA69" s="757"/>
      <c r="BB69" s="758"/>
      <c r="BC69" s="799"/>
    </row>
    <row r="70" spans="1:56">
      <c r="A70" s="723"/>
      <c r="B70" s="752">
        <v>62</v>
      </c>
      <c r="C70" s="724"/>
      <c r="D70" s="724"/>
      <c r="E70" s="724"/>
      <c r="F70" s="724"/>
      <c r="G70" s="724"/>
      <c r="H70" s="724"/>
      <c r="I70" s="725"/>
      <c r="J70" s="1348"/>
      <c r="K70" s="1348"/>
      <c r="L70" s="1348"/>
      <c r="M70" s="1348"/>
      <c r="N70" s="1348"/>
      <c r="O70" s="1348"/>
      <c r="P70" s="1348"/>
      <c r="Q70" s="1348"/>
      <c r="R70" s="1348"/>
      <c r="S70" s="1348"/>
      <c r="T70" s="1348"/>
      <c r="U70" s="1348"/>
      <c r="V70" s="1348"/>
      <c r="W70" s="1348"/>
      <c r="X70" s="1348"/>
      <c r="Y70" s="1348"/>
      <c r="Z70" s="1348"/>
      <c r="AA70" s="1348"/>
      <c r="AB70" s="1349"/>
      <c r="AC70" s="757"/>
      <c r="AD70" s="757"/>
      <c r="AE70" s="757"/>
      <c r="AF70" s="757"/>
      <c r="AG70" s="757"/>
      <c r="AH70" s="1012" t="s">
        <v>221</v>
      </c>
      <c r="AI70" s="757" t="s">
        <v>99</v>
      </c>
      <c r="AJ70" s="1354" t="e">
        <f ca="1">ATAN(AJ69)*(180/PI())</f>
        <v>#DIV/0!</v>
      </c>
      <c r="AK70" s="1354"/>
      <c r="AL70" s="1354"/>
      <c r="AM70" s="757"/>
      <c r="AN70" s="757"/>
      <c r="AO70" s="757"/>
      <c r="AP70" s="757"/>
      <c r="AQ70" s="757"/>
      <c r="AR70" s="757"/>
      <c r="AS70" s="1012" t="s">
        <v>222</v>
      </c>
      <c r="AT70" s="757" t="s">
        <v>99</v>
      </c>
      <c r="AU70" s="1327" t="e">
        <f ca="1">IF(AJ69&lt;0.0023,"Yes","No")</f>
        <v>#DIV/0!</v>
      </c>
      <c r="AV70" s="1327"/>
      <c r="AW70" s="1327"/>
      <c r="AX70" s="757"/>
      <c r="AY70" s="757"/>
      <c r="AZ70" s="757"/>
      <c r="BA70" s="757"/>
      <c r="BB70" s="758"/>
      <c r="BC70" s="799"/>
    </row>
    <row r="71" spans="1:56" ht="15.75" thickBot="1">
      <c r="A71" s="723"/>
      <c r="B71" s="752">
        <v>63</v>
      </c>
      <c r="C71" s="741"/>
      <c r="D71" s="741"/>
      <c r="E71" s="741"/>
      <c r="F71" s="741"/>
      <c r="G71" s="741"/>
      <c r="H71" s="741"/>
      <c r="I71" s="742"/>
      <c r="J71" s="1350"/>
      <c r="K71" s="1350"/>
      <c r="L71" s="1350"/>
      <c r="M71" s="1350"/>
      <c r="N71" s="1350"/>
      <c r="O71" s="1350"/>
      <c r="P71" s="1350"/>
      <c r="Q71" s="1350"/>
      <c r="R71" s="1350"/>
      <c r="S71" s="1350"/>
      <c r="T71" s="1350"/>
      <c r="U71" s="1350"/>
      <c r="V71" s="1350"/>
      <c r="W71" s="1350"/>
      <c r="X71" s="1350"/>
      <c r="Y71" s="1350"/>
      <c r="Z71" s="1350"/>
      <c r="AA71" s="1350"/>
      <c r="AB71" s="1351"/>
      <c r="AC71" s="741"/>
      <c r="AD71" s="741"/>
      <c r="AE71" s="741"/>
      <c r="AF71" s="741"/>
      <c r="AG71" s="741"/>
      <c r="AH71" s="741"/>
      <c r="AI71" s="741"/>
      <c r="AJ71" s="741"/>
      <c r="AK71" s="741"/>
      <c r="AL71" s="741"/>
      <c r="AM71" s="741"/>
      <c r="AN71" s="741"/>
      <c r="AO71" s="1355" t="s">
        <v>223</v>
      </c>
      <c r="AP71" s="1355"/>
      <c r="AQ71" s="1355"/>
      <c r="AR71" s="1355"/>
      <c r="AS71" s="1355"/>
      <c r="AT71" s="1355"/>
      <c r="AU71" s="1355"/>
      <c r="AV71" s="1355"/>
      <c r="AW71" s="1355"/>
      <c r="AX71" s="1355"/>
      <c r="AY71" s="1355"/>
      <c r="AZ71" s="1355"/>
      <c r="BA71" s="1355"/>
      <c r="BB71" s="1355"/>
      <c r="BC71" s="799"/>
    </row>
    <row r="72" spans="1:56" ht="15.75" thickBot="1">
      <c r="B72" s="752">
        <v>64</v>
      </c>
      <c r="C72" s="749" t="s">
        <v>224</v>
      </c>
      <c r="D72" s="1008"/>
      <c r="E72" s="1008"/>
      <c r="F72" s="1008"/>
      <c r="G72" s="1008"/>
      <c r="H72" s="1008"/>
      <c r="I72" s="1008"/>
      <c r="J72" s="1008"/>
      <c r="K72" s="1008"/>
      <c r="L72" s="1008"/>
      <c r="M72" s="1008"/>
      <c r="N72" s="1008"/>
      <c r="O72" s="1008"/>
      <c r="P72" s="1008"/>
      <c r="Q72" s="1008"/>
      <c r="R72" s="1008"/>
      <c r="S72" s="1008"/>
      <c r="T72" s="1008"/>
      <c r="U72" s="1008"/>
      <c r="V72" s="1008"/>
      <c r="W72" s="1008"/>
      <c r="X72" s="1008"/>
      <c r="Y72" s="1008"/>
      <c r="Z72" s="1008"/>
      <c r="AA72" s="1008"/>
      <c r="AB72" s="1013"/>
      <c r="AC72" s="749" t="s">
        <v>225</v>
      </c>
      <c r="AD72" s="1008"/>
      <c r="AE72" s="1008"/>
      <c r="AF72" s="1008"/>
      <c r="AG72" s="1008"/>
      <c r="AH72" s="1008"/>
      <c r="AI72" s="1008"/>
      <c r="AJ72" s="1008"/>
      <c r="AK72" s="1008"/>
      <c r="AL72" s="1008"/>
      <c r="AM72" s="1008"/>
      <c r="AN72" s="1008"/>
      <c r="AO72" s="1008"/>
      <c r="AP72" s="1008"/>
      <c r="AQ72" s="1008"/>
      <c r="AR72" s="1008"/>
      <c r="AS72" s="1008"/>
      <c r="AT72" s="1008"/>
      <c r="AU72" s="1008"/>
      <c r="AV72" s="1008"/>
      <c r="AW72" s="1008"/>
      <c r="AX72" s="1008"/>
      <c r="AY72" s="1008"/>
      <c r="AZ72" s="1008"/>
      <c r="BA72" s="1008"/>
      <c r="BB72" s="1013"/>
      <c r="BC72" s="1014"/>
      <c r="BD72" s="751"/>
    </row>
    <row r="73" spans="1:56">
      <c r="A73" s="723"/>
      <c r="B73" s="752">
        <v>65</v>
      </c>
      <c r="C73" s="782" t="s">
        <v>226</v>
      </c>
      <c r="D73" s="754"/>
      <c r="E73" s="754"/>
      <c r="F73" s="754"/>
      <c r="G73" s="754"/>
      <c r="H73" s="754"/>
      <c r="I73" s="754"/>
      <c r="J73" s="779"/>
      <c r="K73" s="778"/>
      <c r="L73" s="792"/>
      <c r="M73" s="1343" t="str">
        <f>IF(I_TYPE="FLAT","Superior 5"&amp;CHAR(34)&amp;" Flat Carrying ",IF(I_TYPE="TROUGHING","Superior "&amp;M32&amp;" Deg 5"&amp;CHAR(34)&amp;" Troughing",""))</f>
        <v/>
      </c>
      <c r="N73" s="1344"/>
      <c r="O73" s="1344"/>
      <c r="P73" s="1344"/>
      <c r="Q73" s="1344"/>
      <c r="R73" s="1344"/>
      <c r="S73" s="1344"/>
      <c r="T73" s="1344"/>
      <c r="U73" s="1344"/>
      <c r="V73" s="1344"/>
      <c r="W73" s="1344"/>
      <c r="X73" s="793"/>
      <c r="Y73" s="793"/>
      <c r="Z73" s="793"/>
      <c r="AA73" s="778"/>
      <c r="AB73" s="755"/>
      <c r="AC73" s="754"/>
      <c r="AD73" s="814"/>
      <c r="AE73" s="814"/>
      <c r="AF73" s="754"/>
      <c r="AG73" s="754"/>
      <c r="AH73" s="815" t="s">
        <v>228</v>
      </c>
      <c r="AI73" s="724" t="s">
        <v>99</v>
      </c>
      <c r="AJ73" s="724" t="s">
        <v>229</v>
      </c>
      <c r="AK73" s="724"/>
      <c r="AL73" s="724"/>
      <c r="AM73" s="724"/>
      <c r="AN73" s="724"/>
      <c r="AO73" s="724"/>
      <c r="AP73" s="724"/>
      <c r="AQ73" s="724"/>
      <c r="AR73" s="724"/>
      <c r="AS73" s="724"/>
      <c r="AT73" s="816" t="s">
        <v>99</v>
      </c>
      <c r="AU73" s="1333" t="e">
        <f ca="1">(M77*AU51)/(6*(VLOOKUP(M79,List!AM3:AO6,3,FALSE)))</f>
        <v>#DIV/0!</v>
      </c>
      <c r="AV73" s="1333"/>
      <c r="AW73" s="1333"/>
      <c r="AX73" s="754" t="s">
        <v>92</v>
      </c>
      <c r="AY73" s="780"/>
      <c r="AZ73" s="780"/>
      <c r="BA73" s="780"/>
      <c r="BB73" s="781"/>
      <c r="BC73" s="725"/>
    </row>
    <row r="74" spans="1:56">
      <c r="A74" s="723"/>
      <c r="B74" s="752">
        <v>66</v>
      </c>
      <c r="C74" s="756" t="s">
        <v>230</v>
      </c>
      <c r="D74" s="817"/>
      <c r="E74" s="817"/>
      <c r="F74" s="817"/>
      <c r="G74" s="817"/>
      <c r="H74" s="817"/>
      <c r="I74" s="817"/>
      <c r="J74" s="817"/>
      <c r="K74" s="817"/>
      <c r="L74" s="758"/>
      <c r="M74" s="1345" t="e">
        <f>INDEX(List!BT3:BX9,MATCH(M23,List!BT3:BT9,0),MATCH(M73,List!BT3:BX3,0),1)</f>
        <v>#N/A</v>
      </c>
      <c r="N74" s="1327"/>
      <c r="O74" s="1327"/>
      <c r="P74" s="1327"/>
      <c r="Q74" s="1327"/>
      <c r="R74" s="1327"/>
      <c r="S74" s="1327"/>
      <c r="T74" s="1327"/>
      <c r="U74" s="1327"/>
      <c r="V74" s="1327"/>
      <c r="W74" s="1327"/>
      <c r="X74" s="818"/>
      <c r="Y74" s="818"/>
      <c r="Z74" s="818"/>
      <c r="AA74" s="819"/>
      <c r="AB74" s="758"/>
      <c r="AC74" s="757"/>
      <c r="AD74" s="757"/>
      <c r="AE74" s="757"/>
      <c r="AF74" s="757"/>
      <c r="AG74" s="757"/>
      <c r="AH74" s="757" t="s">
        <v>231</v>
      </c>
      <c r="AI74" s="757" t="s">
        <v>99</v>
      </c>
      <c r="AJ74" s="757" t="s">
        <v>232</v>
      </c>
      <c r="AK74" s="757"/>
      <c r="AL74" s="757"/>
      <c r="AM74" s="757"/>
      <c r="AN74" s="757"/>
      <c r="AO74" s="757"/>
      <c r="AP74" s="757"/>
      <c r="AQ74" s="757"/>
      <c r="AR74" s="757"/>
      <c r="AS74" s="757"/>
      <c r="AT74" s="757" t="s">
        <v>99</v>
      </c>
      <c r="AU74" s="1328" t="e">
        <f ca="1">((P39+(P38*M80))*(VLOOKUP(M79,List!AM3:AO6,3,FALSE)))+AU73</f>
        <v>#NAME?</v>
      </c>
      <c r="AV74" s="1328"/>
      <c r="AW74" s="1328"/>
      <c r="AX74" s="820" t="s">
        <v>92</v>
      </c>
      <c r="AY74" s="821"/>
      <c r="AZ74" s="821"/>
      <c r="BA74" s="821"/>
      <c r="BB74" s="822"/>
      <c r="BC74" s="725"/>
    </row>
    <row r="75" spans="1:56">
      <c r="A75" s="723"/>
      <c r="B75" s="752">
        <v>67</v>
      </c>
      <c r="C75" s="756" t="s">
        <v>233</v>
      </c>
      <c r="D75" s="757"/>
      <c r="E75" s="757"/>
      <c r="F75" s="757"/>
      <c r="G75" s="757"/>
      <c r="H75" s="757"/>
      <c r="I75" s="757"/>
      <c r="J75" s="757"/>
      <c r="K75" s="757"/>
      <c r="L75" s="758"/>
      <c r="M75" s="1341">
        <v>30000</v>
      </c>
      <c r="N75" s="1342"/>
      <c r="O75" s="1342"/>
      <c r="P75" s="823" t="s">
        <v>234</v>
      </c>
      <c r="Q75" s="757"/>
      <c r="R75" s="762"/>
      <c r="S75" s="757"/>
      <c r="T75" s="757"/>
      <c r="U75" s="757"/>
      <c r="V75" s="757"/>
      <c r="W75" s="757"/>
      <c r="X75" s="757"/>
      <c r="Y75" s="757"/>
      <c r="Z75" s="757"/>
      <c r="AA75" s="757"/>
      <c r="AB75" s="758"/>
      <c r="AC75" s="757"/>
      <c r="AD75" s="757"/>
      <c r="AE75" s="757"/>
      <c r="AF75" s="757"/>
      <c r="AG75" s="757"/>
      <c r="AH75" s="757" t="s">
        <v>235</v>
      </c>
      <c r="AI75" s="757" t="s">
        <v>99</v>
      </c>
      <c r="AJ75" s="757" t="s">
        <v>236</v>
      </c>
      <c r="AK75" s="757"/>
      <c r="AL75" s="757"/>
      <c r="AM75" s="757"/>
      <c r="AN75" s="757"/>
      <c r="AO75" s="757"/>
      <c r="AP75" s="757"/>
      <c r="AQ75" s="757"/>
      <c r="AR75" s="757"/>
      <c r="AS75" s="757"/>
      <c r="AT75" s="757" t="s">
        <v>99</v>
      </c>
      <c r="AU75" s="1331">
        <f>0.1389*M19*(SQRT(M83))</f>
        <v>0</v>
      </c>
      <c r="AV75" s="1331"/>
      <c r="AW75" s="1331"/>
      <c r="AX75" s="757" t="s">
        <v>92</v>
      </c>
      <c r="AY75" s="757"/>
      <c r="AZ75" s="757"/>
      <c r="BA75" s="757"/>
      <c r="BB75" s="758"/>
      <c r="BC75" s="799"/>
    </row>
    <row r="76" spans="1:56">
      <c r="A76" s="723"/>
      <c r="B76" s="752">
        <v>68</v>
      </c>
      <c r="C76" s="761" t="s">
        <v>237</v>
      </c>
      <c r="D76" s="757"/>
      <c r="E76" s="757"/>
      <c r="F76" s="757"/>
      <c r="G76" s="757"/>
      <c r="H76" s="757"/>
      <c r="I76" s="757"/>
      <c r="J76" s="757"/>
      <c r="K76" s="757"/>
      <c r="L76" s="758"/>
      <c r="M76" s="1341">
        <v>900</v>
      </c>
      <c r="N76" s="1342"/>
      <c r="O76" s="1342"/>
      <c r="P76" s="823" t="s">
        <v>92</v>
      </c>
      <c r="Q76" s="757"/>
      <c r="R76" s="762"/>
      <c r="S76" s="757"/>
      <c r="T76" s="757"/>
      <c r="U76" s="757"/>
      <c r="V76" s="757"/>
      <c r="W76" s="757"/>
      <c r="X76" s="757"/>
      <c r="Y76" s="757"/>
      <c r="Z76" s="757"/>
      <c r="AA76" s="757"/>
      <c r="AB76" s="758"/>
      <c r="AC76" s="757"/>
      <c r="AD76" s="757"/>
      <c r="AE76" s="757"/>
      <c r="AF76" s="757"/>
      <c r="AG76" s="757"/>
      <c r="AH76" s="757" t="s">
        <v>238</v>
      </c>
      <c r="AI76" s="757" t="s">
        <v>99</v>
      </c>
      <c r="AJ76" s="757" t="s">
        <v>239</v>
      </c>
      <c r="AK76" s="757"/>
      <c r="AL76" s="757"/>
      <c r="AM76" s="757"/>
      <c r="AN76" s="757"/>
      <c r="AO76" s="757"/>
      <c r="AP76" s="757"/>
      <c r="AQ76" s="757"/>
      <c r="AR76" s="757"/>
      <c r="AS76" s="757"/>
      <c r="AT76" s="757" t="s">
        <v>99</v>
      </c>
      <c r="AU76" s="1331" t="e">
        <f>AU75*M84</f>
        <v>#N/A</v>
      </c>
      <c r="AV76" s="1331"/>
      <c r="AW76" s="1331"/>
      <c r="AX76" s="757" t="s">
        <v>92</v>
      </c>
      <c r="AY76" s="757"/>
      <c r="AZ76" s="757"/>
      <c r="BA76" s="757"/>
      <c r="BB76" s="758"/>
      <c r="BC76" s="799"/>
    </row>
    <row r="77" spans="1:56">
      <c r="A77" s="723"/>
      <c r="B77" s="752">
        <v>69</v>
      </c>
      <c r="C77" s="824" t="s">
        <v>240</v>
      </c>
      <c r="D77" s="812"/>
      <c r="E77" s="812"/>
      <c r="F77" s="812"/>
      <c r="G77" s="812"/>
      <c r="H77" s="812"/>
      <c r="I77" s="812"/>
      <c r="J77" s="812"/>
      <c r="K77" s="812"/>
      <c r="L77" s="813"/>
      <c r="M77" s="1337">
        <v>0.25</v>
      </c>
      <c r="N77" s="1331"/>
      <c r="O77" s="1331"/>
      <c r="P77" s="825" t="s">
        <v>30</v>
      </c>
      <c r="Q77" s="812"/>
      <c r="R77" s="826"/>
      <c r="S77" s="812"/>
      <c r="T77" s="812"/>
      <c r="U77" s="812"/>
      <c r="V77" s="812"/>
      <c r="W77" s="812"/>
      <c r="X77" s="812"/>
      <c r="Y77" s="812"/>
      <c r="Z77" s="812"/>
      <c r="AA77" s="812"/>
      <c r="AB77" s="813"/>
      <c r="AC77" s="817"/>
      <c r="AD77" s="817"/>
      <c r="AE77" s="817"/>
      <c r="AF77" s="817"/>
      <c r="AG77" s="817"/>
      <c r="AH77" s="817"/>
      <c r="AI77" s="817"/>
      <c r="AJ77" s="817" t="s">
        <v>241</v>
      </c>
      <c r="AK77" s="817"/>
      <c r="AL77" s="817"/>
      <c r="AM77" s="817"/>
      <c r="AN77" s="817"/>
      <c r="AO77" s="817"/>
      <c r="AP77" s="757"/>
      <c r="AQ77" s="757"/>
      <c r="AR77" s="757"/>
      <c r="AS77" s="757"/>
      <c r="AT77" s="757" t="s">
        <v>99</v>
      </c>
      <c r="AU77" s="1327" t="e">
        <f ca="1">IF(AND(AU76&lt;AU74,AU76&lt;M76),"Yes","No")</f>
        <v>#N/A</v>
      </c>
      <c r="AV77" s="1327"/>
      <c r="AW77" s="1327"/>
      <c r="AX77" s="757"/>
      <c r="AY77" s="757"/>
      <c r="AZ77" s="757"/>
      <c r="BA77" s="757"/>
      <c r="BB77" s="758"/>
      <c r="BC77" s="799"/>
    </row>
    <row r="78" spans="1:56">
      <c r="A78" s="723"/>
      <c r="B78" s="752">
        <v>70</v>
      </c>
      <c r="C78" s="824" t="s">
        <v>242</v>
      </c>
      <c r="D78" s="812"/>
      <c r="E78" s="812"/>
      <c r="F78" s="812"/>
      <c r="G78" s="812"/>
      <c r="H78" s="812"/>
      <c r="I78" s="812"/>
      <c r="J78" s="812"/>
      <c r="K78" s="812"/>
      <c r="L78" s="813"/>
      <c r="M78" s="1337" t="e">
        <f>(P59*12)/(PI()*M36)</f>
        <v>#DIV/0!</v>
      </c>
      <c r="N78" s="1331"/>
      <c r="O78" s="1331"/>
      <c r="P78" s="825" t="s">
        <v>172</v>
      </c>
      <c r="Q78" s="812"/>
      <c r="R78" s="826"/>
      <c r="S78" s="812"/>
      <c r="T78" s="812"/>
      <c r="U78" s="812"/>
      <c r="V78" s="812"/>
      <c r="W78" s="812"/>
      <c r="X78" s="812"/>
      <c r="Y78" s="812"/>
      <c r="Z78" s="812"/>
      <c r="AA78" s="812"/>
      <c r="AB78" s="758"/>
      <c r="AC78" s="757"/>
      <c r="AD78" s="757"/>
      <c r="AE78" s="757"/>
      <c r="AF78" s="757"/>
      <c r="AG78" s="757"/>
      <c r="AH78" s="802" t="s">
        <v>243</v>
      </c>
      <c r="AI78" s="757" t="s">
        <v>99</v>
      </c>
      <c r="AJ78" s="757" t="s">
        <v>244</v>
      </c>
      <c r="AK78" s="757"/>
      <c r="AL78" s="757"/>
      <c r="AM78" s="757"/>
      <c r="AN78" s="757"/>
      <c r="AO78" s="757"/>
      <c r="AP78" s="757"/>
      <c r="AQ78" s="757"/>
      <c r="AR78" s="757"/>
      <c r="AS78" s="757"/>
      <c r="AT78" s="757" t="s">
        <v>99</v>
      </c>
      <c r="AU78" s="1338" t="e">
        <f ca="1">AU74/M76</f>
        <v>#NAME?</v>
      </c>
      <c r="AV78" s="1338"/>
      <c r="AW78" s="1338"/>
      <c r="AX78" s="757"/>
      <c r="AY78" s="757"/>
      <c r="AZ78" s="757"/>
      <c r="BA78" s="757"/>
      <c r="BB78" s="758"/>
      <c r="BC78" s="799"/>
    </row>
    <row r="79" spans="1:56">
      <c r="A79" s="723"/>
      <c r="B79" s="752">
        <v>71</v>
      </c>
      <c r="C79" s="824" t="s">
        <v>245</v>
      </c>
      <c r="D79" s="812"/>
      <c r="E79" s="812"/>
      <c r="F79" s="812"/>
      <c r="G79" s="812"/>
      <c r="H79" s="812"/>
      <c r="I79" s="812"/>
      <c r="J79" s="812"/>
      <c r="K79" s="812"/>
      <c r="L79" s="813"/>
      <c r="M79" s="1339"/>
      <c r="N79" s="1340"/>
      <c r="O79" s="1340"/>
      <c r="P79" s="825" t="s">
        <v>28</v>
      </c>
      <c r="Q79" s="812"/>
      <c r="R79" s="826"/>
      <c r="S79" s="812"/>
      <c r="T79" s="812"/>
      <c r="U79" s="812"/>
      <c r="V79" s="812"/>
      <c r="W79" s="812"/>
      <c r="X79" s="812"/>
      <c r="Y79" s="812"/>
      <c r="Z79" s="812"/>
      <c r="AA79" s="812"/>
      <c r="AB79" s="813"/>
      <c r="AC79" s="757"/>
      <c r="AD79" s="757"/>
      <c r="AE79" s="757"/>
      <c r="AF79" s="757"/>
      <c r="AG79" s="757"/>
      <c r="AH79" s="757" t="s">
        <v>246</v>
      </c>
      <c r="AI79" s="757" t="s">
        <v>99</v>
      </c>
      <c r="AJ79" s="757" t="s">
        <v>247</v>
      </c>
      <c r="AK79" s="757"/>
      <c r="AL79" s="757"/>
      <c r="AM79" s="757"/>
      <c r="AN79" s="757"/>
      <c r="AO79" s="757"/>
      <c r="AP79" s="757"/>
      <c r="AQ79" s="757"/>
      <c r="AR79" s="757"/>
      <c r="AS79" s="757"/>
      <c r="AT79" s="757" t="s">
        <v>99</v>
      </c>
      <c r="AU79" s="1327">
        <v>10</v>
      </c>
      <c r="AV79" s="1327"/>
      <c r="AW79" s="1327"/>
      <c r="AX79" s="757"/>
      <c r="AY79" s="757"/>
      <c r="AZ79" s="757"/>
      <c r="BA79" s="757"/>
      <c r="BB79" s="758"/>
      <c r="BC79" s="799"/>
    </row>
    <row r="80" spans="1:56">
      <c r="A80" s="723"/>
      <c r="B80" s="752">
        <v>72</v>
      </c>
      <c r="C80" s="824" t="s">
        <v>248</v>
      </c>
      <c r="D80" s="812"/>
      <c r="E80" s="812"/>
      <c r="F80" s="812"/>
      <c r="G80" s="812"/>
      <c r="H80" s="812"/>
      <c r="I80" s="812"/>
      <c r="J80" s="812"/>
      <c r="K80" s="812"/>
      <c r="L80" s="813"/>
      <c r="M80" s="1335"/>
      <c r="N80" s="1336"/>
      <c r="O80" s="1336"/>
      <c r="P80" s="825"/>
      <c r="Q80" s="812"/>
      <c r="R80" s="826"/>
      <c r="S80" s="812"/>
      <c r="T80" s="812"/>
      <c r="U80" s="812"/>
      <c r="V80" s="812"/>
      <c r="W80" s="812"/>
      <c r="X80" s="812"/>
      <c r="Y80" s="812"/>
      <c r="Z80" s="812"/>
      <c r="AA80" s="812"/>
      <c r="AB80" s="758"/>
      <c r="AC80" s="757"/>
      <c r="AD80" s="757"/>
      <c r="AE80" s="757"/>
      <c r="AF80" s="757"/>
      <c r="AG80" s="757"/>
      <c r="AH80" s="802" t="s">
        <v>249</v>
      </c>
      <c r="AI80" s="757" t="s">
        <v>99</v>
      </c>
      <c r="AJ80" s="757" t="s">
        <v>250</v>
      </c>
      <c r="AK80" s="757"/>
      <c r="AL80" s="757"/>
      <c r="AM80" s="757"/>
      <c r="AN80" s="757"/>
      <c r="AO80" s="757"/>
      <c r="AP80" s="817"/>
      <c r="AQ80" s="817"/>
      <c r="AR80" s="817"/>
      <c r="AS80" s="817"/>
      <c r="AT80" s="817" t="s">
        <v>99</v>
      </c>
      <c r="AU80" s="1327">
        <v>10</v>
      </c>
      <c r="AV80" s="1327"/>
      <c r="AW80" s="1327"/>
      <c r="AX80" s="817"/>
      <c r="AY80" s="817"/>
      <c r="AZ80" s="817"/>
      <c r="BA80" s="817"/>
      <c r="BB80" s="827"/>
      <c r="BC80" s="799"/>
    </row>
    <row r="81" spans="1:55">
      <c r="A81" s="723"/>
      <c r="B81" s="752">
        <v>73</v>
      </c>
      <c r="C81" s="824" t="s">
        <v>251</v>
      </c>
      <c r="D81" s="812"/>
      <c r="E81" s="812"/>
      <c r="F81" s="812"/>
      <c r="G81" s="812"/>
      <c r="H81" s="812"/>
      <c r="I81" s="812"/>
      <c r="J81" s="812"/>
      <c r="K81" s="812"/>
      <c r="L81" s="813"/>
      <c r="M81" s="1335"/>
      <c r="N81" s="1336"/>
      <c r="O81" s="1336"/>
      <c r="P81" s="1086" t="s">
        <v>28</v>
      </c>
      <c r="Q81" s="812"/>
      <c r="R81" s="826"/>
      <c r="S81" s="812"/>
      <c r="T81" s="812"/>
      <c r="U81" s="812"/>
      <c r="V81" s="812"/>
      <c r="W81" s="812"/>
      <c r="X81" s="812"/>
      <c r="Y81" s="812"/>
      <c r="Z81" s="812"/>
      <c r="AA81" s="812"/>
      <c r="AB81" s="725"/>
      <c r="AC81" s="817"/>
      <c r="AD81" s="817"/>
      <c r="AE81" s="817"/>
      <c r="AF81" s="817"/>
      <c r="AG81" s="817"/>
      <c r="AH81" s="802" t="s">
        <v>252</v>
      </c>
      <c r="AI81" s="757" t="s">
        <v>99</v>
      </c>
      <c r="AJ81" s="817" t="s">
        <v>253</v>
      </c>
      <c r="AK81" s="817"/>
      <c r="AL81" s="817"/>
      <c r="AM81" s="817"/>
      <c r="AN81" s="817"/>
      <c r="AO81" s="817"/>
      <c r="AP81" s="757"/>
      <c r="AQ81" s="757"/>
      <c r="AR81" s="757"/>
      <c r="AS81" s="757"/>
      <c r="AT81" s="757" t="s">
        <v>99</v>
      </c>
      <c r="AU81" s="1327" t="e">
        <f>VLOOKUP(M36,List!AJ3:AK4,2,FALSE)</f>
        <v>#N/A</v>
      </c>
      <c r="AV81" s="1327"/>
      <c r="AW81" s="1327"/>
      <c r="AX81" s="757"/>
      <c r="AY81" s="757"/>
      <c r="AZ81" s="757"/>
      <c r="BA81" s="757"/>
      <c r="BB81" s="758"/>
      <c r="BC81" s="799"/>
    </row>
    <row r="82" spans="1:55">
      <c r="A82" s="723"/>
      <c r="B82" s="752">
        <v>74</v>
      </c>
      <c r="C82" s="824" t="s">
        <v>254</v>
      </c>
      <c r="D82" s="812"/>
      <c r="E82" s="812"/>
      <c r="F82" s="812"/>
      <c r="G82" s="812"/>
      <c r="H82" s="812"/>
      <c r="I82" s="812"/>
      <c r="J82" s="812"/>
      <c r="K82" s="812"/>
      <c r="L82" s="813"/>
      <c r="M82" s="1337">
        <v>1</v>
      </c>
      <c r="N82" s="1331"/>
      <c r="O82" s="1331"/>
      <c r="P82" s="823"/>
      <c r="Q82" s="757"/>
      <c r="R82" s="762"/>
      <c r="S82" s="757"/>
      <c r="T82" s="757"/>
      <c r="U82" s="757"/>
      <c r="V82" s="757"/>
      <c r="W82" s="757"/>
      <c r="X82" s="757"/>
      <c r="Y82" s="757"/>
      <c r="Z82" s="757"/>
      <c r="AA82" s="757"/>
      <c r="AB82" s="758"/>
      <c r="AC82" s="757"/>
      <c r="AD82" s="757"/>
      <c r="AE82" s="757"/>
      <c r="AF82" s="757"/>
      <c r="AG82" s="757"/>
      <c r="AH82" s="802" t="s">
        <v>255</v>
      </c>
      <c r="AI82" s="757" t="s">
        <v>99</v>
      </c>
      <c r="AJ82" s="757" t="s">
        <v>256</v>
      </c>
      <c r="AK82" s="757"/>
      <c r="AL82" s="757"/>
      <c r="AM82" s="757"/>
      <c r="AN82" s="757"/>
      <c r="AO82" s="757"/>
      <c r="AP82" s="757"/>
      <c r="AQ82" s="757"/>
      <c r="AR82" s="757"/>
      <c r="AS82" s="757"/>
      <c r="AT82" s="757" t="s">
        <v>99</v>
      </c>
      <c r="AU82" s="1327" t="e">
        <f>M75*AU79*AU80*AU81</f>
        <v>#N/A</v>
      </c>
      <c r="AV82" s="1327"/>
      <c r="AW82" s="1327"/>
      <c r="AX82" s="757" t="s">
        <v>257</v>
      </c>
      <c r="AY82" s="757"/>
      <c r="AZ82" s="757"/>
      <c r="BA82" s="757"/>
      <c r="BB82" s="758"/>
      <c r="BC82" s="799"/>
    </row>
    <row r="83" spans="1:55">
      <c r="A83" s="723"/>
      <c r="B83" s="752">
        <v>75</v>
      </c>
      <c r="C83" s="824" t="s">
        <v>258</v>
      </c>
      <c r="D83" s="812"/>
      <c r="E83" s="812"/>
      <c r="F83" s="812"/>
      <c r="G83" s="812"/>
      <c r="H83" s="812"/>
      <c r="I83" s="812"/>
      <c r="J83" s="812"/>
      <c r="K83" s="812"/>
      <c r="L83" s="813"/>
      <c r="M83" s="1337">
        <v>20</v>
      </c>
      <c r="N83" s="1331"/>
      <c r="O83" s="1331"/>
      <c r="P83" s="825"/>
      <c r="Q83" s="757"/>
      <c r="R83" s="757"/>
      <c r="S83" s="757"/>
      <c r="T83" s="757"/>
      <c r="U83" s="757"/>
      <c r="V83" s="757"/>
      <c r="W83" s="757"/>
      <c r="X83" s="757"/>
      <c r="Y83" s="757"/>
      <c r="Z83" s="757"/>
      <c r="AA83" s="757"/>
      <c r="AB83" s="758"/>
      <c r="AC83" s="757"/>
      <c r="AD83" s="757"/>
      <c r="AE83" s="757"/>
      <c r="AF83" s="757"/>
      <c r="AG83" s="757"/>
      <c r="AH83" s="802" t="s">
        <v>259</v>
      </c>
      <c r="AI83" s="757" t="s">
        <v>99</v>
      </c>
      <c r="AJ83" s="757" t="s">
        <v>260</v>
      </c>
      <c r="AK83" s="757"/>
      <c r="AL83" s="757"/>
      <c r="AM83" s="757"/>
      <c r="AN83" s="757"/>
      <c r="AO83" s="757"/>
      <c r="AP83" s="812"/>
      <c r="AQ83" s="812"/>
      <c r="AR83" s="812"/>
      <c r="AS83" s="812"/>
      <c r="AT83" s="812" t="s">
        <v>99</v>
      </c>
      <c r="AU83" s="1327">
        <v>0.32</v>
      </c>
      <c r="AV83" s="1327"/>
      <c r="AW83" s="1327"/>
      <c r="AX83" s="812"/>
      <c r="AY83" s="812"/>
      <c r="AZ83" s="812"/>
      <c r="BA83" s="812"/>
      <c r="BB83" s="813"/>
      <c r="BC83" s="799"/>
    </row>
    <row r="84" spans="1:55">
      <c r="A84" s="723"/>
      <c r="B84" s="752">
        <v>76</v>
      </c>
      <c r="C84" s="761" t="s">
        <v>261</v>
      </c>
      <c r="D84" s="757"/>
      <c r="E84" s="757"/>
      <c r="F84" s="757"/>
      <c r="G84" s="757"/>
      <c r="H84" s="757"/>
      <c r="I84" s="757"/>
      <c r="J84" s="757"/>
      <c r="K84" s="757"/>
      <c r="L84" s="758"/>
      <c r="M84" s="1337" t="e">
        <f>VLOOKUP(M$79,List!AM$3:AN$6,2,FALSE)</f>
        <v>#N/A</v>
      </c>
      <c r="N84" s="1331"/>
      <c r="O84" s="1331"/>
      <c r="P84" s="825" t="s">
        <v>28</v>
      </c>
      <c r="Q84" s="757"/>
      <c r="R84" s="757"/>
      <c r="S84" s="757"/>
      <c r="T84" s="757"/>
      <c r="U84" s="757"/>
      <c r="V84" s="757"/>
      <c r="W84" s="757"/>
      <c r="X84" s="757"/>
      <c r="Y84" s="757"/>
      <c r="Z84" s="757"/>
      <c r="AA84" s="757"/>
      <c r="AB84" s="758"/>
      <c r="AC84" s="812"/>
      <c r="AD84" s="812"/>
      <c r="AE84" s="812"/>
      <c r="AF84" s="812"/>
      <c r="AG84" s="812"/>
      <c r="AH84" s="802" t="s">
        <v>262</v>
      </c>
      <c r="AI84" s="812" t="s">
        <v>99</v>
      </c>
      <c r="AJ84" s="812" t="s">
        <v>263</v>
      </c>
      <c r="AK84" s="812"/>
      <c r="AL84" s="812"/>
      <c r="AM84" s="812"/>
      <c r="AN84" s="812"/>
      <c r="AO84" s="812"/>
      <c r="AP84" s="812"/>
      <c r="AQ84" s="812"/>
      <c r="AR84" s="812"/>
      <c r="AS84" s="812"/>
      <c r="AT84" s="812" t="s">
        <v>99</v>
      </c>
      <c r="AU84" s="1327">
        <v>0.4</v>
      </c>
      <c r="AV84" s="1327"/>
      <c r="AW84" s="1327"/>
      <c r="AX84" s="812"/>
      <c r="AY84" s="812"/>
      <c r="AZ84" s="812"/>
      <c r="BA84" s="812"/>
      <c r="BB84" s="813"/>
      <c r="BC84" s="799"/>
    </row>
    <row r="85" spans="1:55">
      <c r="A85" s="723"/>
      <c r="B85" s="752">
        <v>77</v>
      </c>
      <c r="C85" s="824"/>
      <c r="D85" s="812"/>
      <c r="E85" s="812"/>
      <c r="F85" s="812"/>
      <c r="G85" s="812"/>
      <c r="H85" s="812"/>
      <c r="I85" s="812"/>
      <c r="J85" s="812"/>
      <c r="K85" s="812"/>
      <c r="L85" s="813"/>
      <c r="M85" s="993"/>
      <c r="N85" s="993"/>
      <c r="O85" s="993"/>
      <c r="P85" s="823"/>
      <c r="Q85" s="757"/>
      <c r="R85" s="757"/>
      <c r="S85" s="757"/>
      <c r="T85" s="757"/>
      <c r="U85" s="757"/>
      <c r="V85" s="757"/>
      <c r="W85" s="757"/>
      <c r="X85" s="757"/>
      <c r="Y85" s="757"/>
      <c r="Z85" s="757"/>
      <c r="AA85" s="757"/>
      <c r="AB85" s="758"/>
      <c r="AC85" s="812"/>
      <c r="AD85" s="812"/>
      <c r="AE85" s="812"/>
      <c r="AF85" s="812"/>
      <c r="AG85" s="812"/>
      <c r="AH85" s="802" t="s">
        <v>264</v>
      </c>
      <c r="AI85" s="757" t="s">
        <v>99</v>
      </c>
      <c r="AJ85" s="812" t="s">
        <v>265</v>
      </c>
      <c r="AK85" s="812"/>
      <c r="AL85" s="812"/>
      <c r="AM85" s="812"/>
      <c r="AN85" s="812"/>
      <c r="AO85" s="812"/>
      <c r="AP85" s="812"/>
      <c r="AQ85" s="812"/>
      <c r="AR85" s="812"/>
      <c r="AS85" s="812"/>
      <c r="AT85" s="812" t="s">
        <v>99</v>
      </c>
      <c r="AU85" s="1327">
        <v>0.45</v>
      </c>
      <c r="AV85" s="1327"/>
      <c r="AW85" s="1327"/>
      <c r="AX85" s="812"/>
      <c r="AY85" s="812"/>
      <c r="AZ85" s="812"/>
      <c r="BA85" s="812"/>
      <c r="BB85" s="813"/>
      <c r="BC85" s="799"/>
    </row>
    <row r="86" spans="1:55" ht="15.75" thickBot="1">
      <c r="A86" s="723"/>
      <c r="B86" s="752">
        <v>78</v>
      </c>
      <c r="C86" s="1015"/>
      <c r="D86" s="768"/>
      <c r="E86" s="768"/>
      <c r="F86" s="768"/>
      <c r="G86" s="768"/>
      <c r="H86" s="768"/>
      <c r="I86" s="768"/>
      <c r="J86" s="768"/>
      <c r="K86" s="768"/>
      <c r="L86" s="769"/>
      <c r="M86" s="768"/>
      <c r="N86" s="768"/>
      <c r="O86" s="768"/>
      <c r="P86" s="768"/>
      <c r="Q86" s="768"/>
      <c r="R86" s="768"/>
      <c r="S86" s="768"/>
      <c r="T86" s="768"/>
      <c r="U86" s="768"/>
      <c r="V86" s="768"/>
      <c r="W86" s="768"/>
      <c r="X86" s="768"/>
      <c r="Y86" s="768"/>
      <c r="Z86" s="768"/>
      <c r="AA86" s="768"/>
      <c r="AB86" s="769"/>
      <c r="AC86" s="768"/>
      <c r="AD86" s="768"/>
      <c r="AE86" s="768"/>
      <c r="AF86" s="768"/>
      <c r="AG86" s="768"/>
      <c r="AH86" s="768"/>
      <c r="AI86" s="768"/>
      <c r="AJ86" s="768" t="s">
        <v>266</v>
      </c>
      <c r="AK86" s="768"/>
      <c r="AL86" s="768"/>
      <c r="AM86" s="768"/>
      <c r="AN86" s="768"/>
      <c r="AO86" s="768"/>
      <c r="AP86" s="768"/>
      <c r="AQ86" s="768"/>
      <c r="AR86" s="768"/>
      <c r="AS86" s="768"/>
      <c r="AT86" s="768" t="s">
        <v>99</v>
      </c>
      <c r="AU86" s="1334" t="e">
        <f>AU82*AU85*AU84*AU83</f>
        <v>#N/A</v>
      </c>
      <c r="AV86" s="1334"/>
      <c r="AW86" s="1334"/>
      <c r="AX86" s="768" t="s">
        <v>257</v>
      </c>
      <c r="AY86" s="768"/>
      <c r="AZ86" s="768"/>
      <c r="BA86" s="768"/>
      <c r="BB86" s="769"/>
      <c r="BC86" s="799"/>
    </row>
    <row r="87" spans="1:55" ht="15.75" thickBot="1">
      <c r="A87" s="723"/>
      <c r="B87" s="752">
        <v>79</v>
      </c>
      <c r="C87" s="749" t="s">
        <v>267</v>
      </c>
      <c r="D87" s="1008"/>
      <c r="E87" s="1008"/>
      <c r="F87" s="1008"/>
      <c r="G87" s="1008"/>
      <c r="H87" s="1008"/>
      <c r="I87" s="1008"/>
      <c r="J87" s="1008"/>
      <c r="K87" s="1008"/>
      <c r="L87" s="1008"/>
      <c r="M87" s="1008"/>
      <c r="N87" s="1008"/>
      <c r="O87" s="1008"/>
      <c r="P87" s="1008"/>
      <c r="Q87" s="1008"/>
      <c r="R87" s="1008"/>
      <c r="S87" s="1008"/>
      <c r="T87" s="1008"/>
      <c r="U87" s="1008"/>
      <c r="V87" s="1008"/>
      <c r="W87" s="1008"/>
      <c r="X87" s="1008"/>
      <c r="Y87" s="1008"/>
      <c r="Z87" s="1008"/>
      <c r="AA87" s="1008"/>
      <c r="AB87" s="1013"/>
      <c r="AC87" s="1016" t="s">
        <v>268</v>
      </c>
      <c r="AD87" s="1017"/>
      <c r="AE87" s="1017"/>
      <c r="AF87" s="1017"/>
      <c r="AG87" s="1017"/>
      <c r="AH87" s="1017"/>
      <c r="AI87" s="1017"/>
      <c r="AJ87" s="1017"/>
      <c r="AK87" s="1017"/>
      <c r="AL87" s="1017"/>
      <c r="AM87" s="1017"/>
      <c r="AN87" s="1017"/>
      <c r="AO87" s="1017"/>
      <c r="AP87" s="1017"/>
      <c r="AQ87" s="1017"/>
      <c r="AR87" s="1017"/>
      <c r="AS87" s="1017"/>
      <c r="AT87" s="1017"/>
      <c r="AU87" s="1017"/>
      <c r="AV87" s="1017"/>
      <c r="AW87" s="1017"/>
      <c r="AX87" s="1017"/>
      <c r="AY87" s="1017"/>
      <c r="AZ87" s="1017"/>
      <c r="BA87" s="1017"/>
      <c r="BB87" s="1018"/>
      <c r="BC87" s="799"/>
    </row>
    <row r="88" spans="1:55">
      <c r="A88" s="723"/>
      <c r="B88" s="752">
        <v>80</v>
      </c>
      <c r="C88" s="782" t="s">
        <v>226</v>
      </c>
      <c r="D88" s="754"/>
      <c r="E88" s="754"/>
      <c r="F88" s="754"/>
      <c r="G88" s="754"/>
      <c r="H88" s="754"/>
      <c r="I88" s="754"/>
      <c r="J88" s="779"/>
      <c r="K88" s="778"/>
      <c r="L88" s="792"/>
      <c r="M88" s="991" t="s">
        <v>269</v>
      </c>
      <c r="N88" s="992"/>
      <c r="O88" s="992"/>
      <c r="P88" s="992"/>
      <c r="Q88" s="992"/>
      <c r="R88" s="992"/>
      <c r="S88" s="992"/>
      <c r="T88" s="992"/>
      <c r="U88" s="992"/>
      <c r="V88" s="992"/>
      <c r="W88" s="992"/>
      <c r="X88" s="793"/>
      <c r="Y88" s="793"/>
      <c r="Z88" s="793"/>
      <c r="AA88" s="778"/>
      <c r="AB88" s="755"/>
      <c r="AC88" s="835" t="s">
        <v>270</v>
      </c>
      <c r="AD88" s="835"/>
      <c r="AE88" s="817"/>
      <c r="AF88" s="817"/>
      <c r="AG88" s="817"/>
      <c r="AH88" s="817"/>
      <c r="AI88" s="817"/>
      <c r="AJ88" s="817"/>
      <c r="AK88" s="827"/>
      <c r="AL88" s="1437"/>
      <c r="AM88" s="1438"/>
      <c r="AN88" s="1438"/>
      <c r="AO88" s="827"/>
      <c r="AP88" s="757"/>
      <c r="AQ88" s="757"/>
      <c r="AR88" s="757"/>
      <c r="AS88" s="757"/>
      <c r="AT88" s="757"/>
      <c r="AU88" s="1327"/>
      <c r="AV88" s="1327"/>
      <c r="AW88" s="1327"/>
      <c r="AX88" s="757"/>
      <c r="AY88" s="757"/>
      <c r="AZ88" s="757"/>
      <c r="BA88" s="757"/>
      <c r="BB88" s="758"/>
      <c r="BC88" s="725"/>
    </row>
    <row r="89" spans="1:55" ht="15.75" thickBot="1">
      <c r="A89" s="723"/>
      <c r="B89" s="752">
        <v>81</v>
      </c>
      <c r="C89" s="767" t="s">
        <v>230</v>
      </c>
      <c r="D89" s="768"/>
      <c r="E89" s="768"/>
      <c r="F89" s="768"/>
      <c r="G89" s="768"/>
      <c r="H89" s="768"/>
      <c r="I89" s="768"/>
      <c r="J89" s="768"/>
      <c r="K89" s="768"/>
      <c r="L89" s="769"/>
      <c r="M89" s="1019" t="e">
        <f>VLOOKUP(AM31,List!BP4:BR7,2,FALSE)</f>
        <v>#N/A</v>
      </c>
      <c r="N89" s="828"/>
      <c r="O89" s="828"/>
      <c r="P89" s="828"/>
      <c r="Q89" s="828"/>
      <c r="R89" s="828"/>
      <c r="S89" s="828"/>
      <c r="T89" s="828"/>
      <c r="U89" s="828"/>
      <c r="V89" s="828"/>
      <c r="W89" s="828"/>
      <c r="X89" s="828"/>
      <c r="Y89" s="828"/>
      <c r="Z89" s="828"/>
      <c r="AA89" s="828"/>
      <c r="AB89" s="769"/>
      <c r="AC89" s="761" t="s">
        <v>271</v>
      </c>
      <c r="AD89" s="761"/>
      <c r="AE89" s="757"/>
      <c r="AF89" s="757"/>
      <c r="AG89" s="757"/>
      <c r="AH89" s="757"/>
      <c r="AI89" s="757"/>
      <c r="AJ89" s="757"/>
      <c r="AK89" s="758"/>
      <c r="AL89" s="1329"/>
      <c r="AM89" s="1330"/>
      <c r="AN89" s="1330"/>
      <c r="AO89" s="758"/>
      <c r="AP89" s="757"/>
      <c r="AQ89" s="757"/>
      <c r="AR89" s="757"/>
      <c r="AS89" s="757"/>
      <c r="AT89" s="757"/>
      <c r="AU89" s="1328"/>
      <c r="AV89" s="1328"/>
      <c r="AW89" s="1328"/>
      <c r="AX89" s="820"/>
      <c r="AY89" s="821"/>
      <c r="AZ89" s="821"/>
      <c r="BA89" s="821"/>
      <c r="BB89" s="822"/>
      <c r="BC89" s="725"/>
    </row>
    <row r="90" spans="1:55">
      <c r="A90" s="723"/>
      <c r="B90" s="752">
        <v>82</v>
      </c>
      <c r="C90" s="763" t="s">
        <v>272</v>
      </c>
      <c r="D90" s="724"/>
      <c r="E90" s="724"/>
      <c r="F90" s="724" t="s">
        <v>99</v>
      </c>
      <c r="G90" s="724" t="s">
        <v>273</v>
      </c>
      <c r="H90" s="724"/>
      <c r="I90" s="724"/>
      <c r="J90" s="724"/>
      <c r="K90" s="724"/>
      <c r="L90" s="724"/>
      <c r="M90" s="724"/>
      <c r="N90" s="724"/>
      <c r="O90" s="816" t="s">
        <v>99</v>
      </c>
      <c r="P90" s="1333" t="e">
        <f ca="1">(((AM35/2)+AM34)^2+(AU64/2)^2)^0.5</f>
        <v>#DIV/0!</v>
      </c>
      <c r="Q90" s="1333"/>
      <c r="R90" s="1333"/>
      <c r="S90" s="754" t="s">
        <v>92</v>
      </c>
      <c r="T90" s="780"/>
      <c r="U90" s="780"/>
      <c r="V90" s="780"/>
      <c r="W90" s="780"/>
      <c r="X90" s="754"/>
      <c r="Y90" s="780"/>
      <c r="Z90" s="780"/>
      <c r="AA90" s="780"/>
      <c r="AB90" s="781"/>
      <c r="AC90" s="761" t="s">
        <v>274</v>
      </c>
      <c r="AD90" s="761"/>
      <c r="AE90" s="757"/>
      <c r="AF90" s="757"/>
      <c r="AG90" s="757"/>
      <c r="AH90" s="757"/>
      <c r="AI90" s="757"/>
      <c r="AJ90" s="757"/>
      <c r="AK90" s="758"/>
      <c r="AL90" s="1329"/>
      <c r="AM90" s="1330"/>
      <c r="AN90" s="757" t="s">
        <v>28</v>
      </c>
      <c r="AO90" s="758"/>
      <c r="AP90" s="757"/>
      <c r="AQ90" s="757"/>
      <c r="AR90" s="757"/>
      <c r="AS90" s="757"/>
      <c r="AT90" s="757"/>
      <c r="AU90" s="1328"/>
      <c r="AV90" s="1328"/>
      <c r="AW90" s="1328"/>
      <c r="AX90" s="820"/>
      <c r="AY90" s="821"/>
      <c r="AZ90" s="821"/>
      <c r="BA90" s="821"/>
      <c r="BB90" s="822"/>
      <c r="BC90" s="725"/>
    </row>
    <row r="91" spans="1:55">
      <c r="A91" s="723"/>
      <c r="B91" s="752">
        <v>83</v>
      </c>
      <c r="C91" s="762" t="s">
        <v>275</v>
      </c>
      <c r="D91" s="757"/>
      <c r="E91" s="757"/>
      <c r="F91" s="757" t="s">
        <v>99</v>
      </c>
      <c r="G91" s="757" t="s">
        <v>276</v>
      </c>
      <c r="H91" s="757"/>
      <c r="I91" s="757"/>
      <c r="J91" s="757"/>
      <c r="K91" s="757"/>
      <c r="L91" s="757"/>
      <c r="M91" s="757"/>
      <c r="N91" s="757"/>
      <c r="O91" s="757" t="s">
        <v>99</v>
      </c>
      <c r="P91" s="1331" t="e">
        <f>VLOOKUP(AM31,List!BP4:BR7,3,FALSE)</f>
        <v>#N/A</v>
      </c>
      <c r="Q91" s="1331"/>
      <c r="R91" s="1331"/>
      <c r="S91" s="820" t="s">
        <v>92</v>
      </c>
      <c r="T91" s="821"/>
      <c r="U91" s="821"/>
      <c r="V91" s="821"/>
      <c r="W91" s="821"/>
      <c r="X91" s="820"/>
      <c r="Y91" s="821"/>
      <c r="Z91" s="821"/>
      <c r="AA91" s="821"/>
      <c r="AB91" s="822"/>
      <c r="AC91" s="761" t="s">
        <v>277</v>
      </c>
      <c r="AD91" s="761"/>
      <c r="AE91" s="757"/>
      <c r="AF91" s="757"/>
      <c r="AG91" s="757"/>
      <c r="AH91" s="757"/>
      <c r="AI91" s="757"/>
      <c r="AJ91" s="757"/>
      <c r="AK91" s="758"/>
      <c r="AL91" s="1325">
        <f>M25</f>
        <v>0</v>
      </c>
      <c r="AM91" s="1326"/>
      <c r="AN91" s="757" t="s">
        <v>28</v>
      </c>
      <c r="AO91" s="758"/>
      <c r="AP91" s="757"/>
      <c r="AQ91" s="757"/>
      <c r="AR91" s="1087" t="s">
        <v>278</v>
      </c>
      <c r="AS91" s="757"/>
      <c r="AT91" s="757"/>
      <c r="AV91" s="1088" t="s">
        <v>279</v>
      </c>
      <c r="AW91" s="863"/>
      <c r="AX91" s="757"/>
      <c r="AY91" s="757"/>
      <c r="AZ91" s="1087" t="s">
        <v>280</v>
      </c>
      <c r="BA91" s="757"/>
      <c r="BB91" s="758"/>
      <c r="BC91" s="725"/>
    </row>
    <row r="92" spans="1:55">
      <c r="A92" s="723"/>
      <c r="B92" s="752">
        <v>84</v>
      </c>
      <c r="C92" s="762" t="s">
        <v>281</v>
      </c>
      <c r="D92" s="757"/>
      <c r="E92" s="757"/>
      <c r="F92" s="757" t="s">
        <v>99</v>
      </c>
      <c r="G92" s="757" t="s">
        <v>282</v>
      </c>
      <c r="H92" s="757"/>
      <c r="I92" s="757"/>
      <c r="J92" s="757"/>
      <c r="K92" s="757"/>
      <c r="L92" s="757"/>
      <c r="M92" s="757"/>
      <c r="N92" s="757"/>
      <c r="O92" s="757" t="s">
        <v>99</v>
      </c>
      <c r="P92" s="1331">
        <f>P58</f>
        <v>0</v>
      </c>
      <c r="Q92" s="1331"/>
      <c r="R92" s="1331"/>
      <c r="S92" s="820" t="s">
        <v>172</v>
      </c>
      <c r="T92" s="821"/>
      <c r="U92" s="821"/>
      <c r="V92" s="821"/>
      <c r="W92" s="821"/>
      <c r="X92" s="820"/>
      <c r="Y92" s="821"/>
      <c r="Z92" s="821"/>
      <c r="AA92" s="821"/>
      <c r="AB92" s="822"/>
      <c r="AC92" s="761" t="s">
        <v>283</v>
      </c>
      <c r="AD92" s="761"/>
      <c r="AE92" s="757"/>
      <c r="AF92" s="757"/>
      <c r="AG92" s="757"/>
      <c r="AH92" s="757"/>
      <c r="AI92" s="757"/>
      <c r="AJ92" s="757"/>
      <c r="AK92" s="758"/>
      <c r="AL92" s="1329"/>
      <c r="AM92" s="1330"/>
      <c r="AN92" s="757" t="s">
        <v>28</v>
      </c>
      <c r="AO92" s="758"/>
      <c r="AP92" s="757"/>
      <c r="AQ92" s="757"/>
      <c r="AR92" s="757"/>
      <c r="AS92" s="757"/>
      <c r="AT92" s="757"/>
      <c r="AU92" s="1331"/>
      <c r="AV92" s="1331"/>
      <c r="AW92" s="1331"/>
      <c r="AX92" s="757"/>
      <c r="AY92" s="757"/>
      <c r="AZ92" s="757"/>
      <c r="BA92" s="757"/>
      <c r="BB92" s="758"/>
      <c r="BC92" s="725"/>
    </row>
    <row r="93" spans="1:55">
      <c r="A93" s="723"/>
      <c r="B93" s="752">
        <v>85</v>
      </c>
      <c r="C93" s="762" t="s">
        <v>284</v>
      </c>
      <c r="D93" s="757"/>
      <c r="E93" s="757"/>
      <c r="F93" s="757" t="s">
        <v>99</v>
      </c>
      <c r="G93" s="757" t="s">
        <v>285</v>
      </c>
      <c r="H93" s="757"/>
      <c r="I93" s="757"/>
      <c r="J93" s="757"/>
      <c r="K93" s="757"/>
      <c r="L93" s="757"/>
      <c r="M93" s="757"/>
      <c r="N93" s="757"/>
      <c r="O93" s="757" t="s">
        <v>99</v>
      </c>
      <c r="P93" s="1332" t="e">
        <f ca="1">(((P91/P90)^10/3)*1000000)/(P92*60)</f>
        <v>#N/A</v>
      </c>
      <c r="Q93" s="1332"/>
      <c r="R93" s="1332"/>
      <c r="S93" s="820" t="s">
        <v>234</v>
      </c>
      <c r="T93" s="819"/>
      <c r="U93" s="819"/>
      <c r="V93" s="819"/>
      <c r="W93" s="819"/>
      <c r="X93" s="820"/>
      <c r="Y93" s="819"/>
      <c r="Z93" s="819"/>
      <c r="AA93" s="819"/>
      <c r="AB93" s="875"/>
      <c r="AC93" s="835" t="s">
        <v>57</v>
      </c>
      <c r="AD93" s="835"/>
      <c r="AE93" s="817"/>
      <c r="AF93" s="817"/>
      <c r="AG93" s="817"/>
      <c r="AH93" s="817"/>
      <c r="AI93" s="817"/>
      <c r="AJ93" s="817"/>
      <c r="AK93" s="827"/>
      <c r="AL93" s="1325">
        <f>M26</f>
        <v>0</v>
      </c>
      <c r="AM93" s="1326"/>
      <c r="AN93" s="1085" t="s">
        <v>58</v>
      </c>
      <c r="AO93" s="827"/>
      <c r="AP93" s="757"/>
      <c r="AQ93" s="757"/>
      <c r="AR93" s="757"/>
      <c r="AS93" s="757"/>
      <c r="AT93" s="757"/>
      <c r="AU93" s="1327"/>
      <c r="AV93" s="1327"/>
      <c r="AW93" s="1327"/>
      <c r="AX93" s="757"/>
      <c r="AY93" s="757"/>
      <c r="AZ93" s="757"/>
      <c r="BA93" s="757"/>
      <c r="BB93" s="758"/>
      <c r="BC93" s="725"/>
    </row>
    <row r="94" spans="1:55">
      <c r="A94" s="723"/>
      <c r="B94" s="752">
        <v>86</v>
      </c>
      <c r="C94" s="762"/>
      <c r="D94" s="757"/>
      <c r="E94" s="757"/>
      <c r="F94" s="757"/>
      <c r="G94" s="757"/>
      <c r="H94" s="757"/>
      <c r="I94" s="757"/>
      <c r="J94" s="757"/>
      <c r="K94" s="757"/>
      <c r="L94" s="757"/>
      <c r="M94" s="757"/>
      <c r="N94" s="757"/>
      <c r="O94" s="757"/>
      <c r="P94" s="1020"/>
      <c r="Q94" s="757"/>
      <c r="R94" s="1020"/>
      <c r="S94" s="820"/>
      <c r="T94" s="819"/>
      <c r="U94" s="819"/>
      <c r="V94" s="819"/>
      <c r="W94" s="819"/>
      <c r="X94" s="820"/>
      <c r="Y94" s="819"/>
      <c r="Z94" s="819"/>
      <c r="AA94" s="819"/>
      <c r="AB94" s="875"/>
      <c r="AC94" s="835" t="s">
        <v>286</v>
      </c>
      <c r="AD94" s="835"/>
      <c r="AE94" s="817"/>
      <c r="AF94" s="817"/>
      <c r="AG94" s="817"/>
      <c r="AH94" s="817"/>
      <c r="AI94" s="817"/>
      <c r="AJ94" s="817"/>
      <c r="AK94" s="827"/>
      <c r="AL94" s="1325">
        <f>SUM(AL90:AM92)</f>
        <v>0</v>
      </c>
      <c r="AM94" s="1326"/>
      <c r="AN94" s="757" t="s">
        <v>28</v>
      </c>
      <c r="AO94" s="827"/>
      <c r="AP94" s="757"/>
      <c r="AQ94" s="757"/>
      <c r="AR94" s="757"/>
      <c r="AS94" s="757"/>
      <c r="AT94" s="796"/>
      <c r="AU94" s="1327"/>
      <c r="AV94" s="1327"/>
      <c r="AW94" s="1327"/>
      <c r="AX94" s="757"/>
      <c r="AY94" s="757"/>
      <c r="AZ94" s="757"/>
      <c r="BA94" s="757"/>
      <c r="BB94" s="758"/>
      <c r="BC94" s="725"/>
    </row>
    <row r="95" spans="1:55" ht="15.75" thickBot="1">
      <c r="B95" s="752">
        <v>87</v>
      </c>
      <c r="C95" s="762"/>
      <c r="D95" s="757"/>
      <c r="E95" s="757"/>
      <c r="F95" s="757"/>
      <c r="G95" s="757"/>
      <c r="H95" s="757"/>
      <c r="I95" s="757"/>
      <c r="J95" s="757"/>
      <c r="K95" s="757"/>
      <c r="L95" s="757"/>
      <c r="M95" s="757"/>
      <c r="N95" s="757"/>
      <c r="O95" s="757"/>
      <c r="P95" s="1439"/>
      <c r="Q95" s="1439"/>
      <c r="R95" s="1439"/>
      <c r="S95" s="820"/>
      <c r="T95" s="819"/>
      <c r="U95" s="819"/>
      <c r="V95" s="819"/>
      <c r="W95" s="819"/>
      <c r="X95" s="820"/>
      <c r="Y95" s="819"/>
      <c r="Z95" s="819"/>
      <c r="AA95" s="819"/>
      <c r="AB95" s="875"/>
      <c r="AC95" s="1021" t="s">
        <v>287</v>
      </c>
      <c r="AD95" s="741"/>
      <c r="AE95" s="741"/>
      <c r="AF95" s="741"/>
      <c r="AG95" s="741"/>
      <c r="AH95" s="741"/>
      <c r="AI95" s="741"/>
      <c r="AJ95" s="741"/>
      <c r="AK95" s="742"/>
      <c r="AL95" s="1448"/>
      <c r="AM95" s="1449"/>
      <c r="AN95" s="869"/>
      <c r="AO95" s="742"/>
      <c r="AP95" s="741"/>
      <c r="AQ95" s="741"/>
      <c r="AR95" s="1089"/>
      <c r="AS95" s="1089"/>
      <c r="AT95" s="1089" t="s">
        <v>288</v>
      </c>
      <c r="AU95" s="741"/>
      <c r="AV95" s="741"/>
      <c r="AW95" s="741"/>
      <c r="AX95" s="1089" t="s">
        <v>289</v>
      </c>
      <c r="AY95" s="741"/>
      <c r="AZ95" s="741"/>
      <c r="BA95" s="741"/>
      <c r="BB95" s="742"/>
      <c r="BC95" s="725"/>
    </row>
    <row r="96" spans="1:55" ht="15.75" thickBot="1">
      <c r="B96" s="752">
        <v>88</v>
      </c>
      <c r="C96" s="1016" t="s">
        <v>290</v>
      </c>
      <c r="D96" s="1017"/>
      <c r="E96" s="1017"/>
      <c r="F96" s="1017"/>
      <c r="G96" s="1017"/>
      <c r="H96" s="1017"/>
      <c r="I96" s="1017"/>
      <c r="J96" s="1017"/>
      <c r="K96" s="1017"/>
      <c r="L96" s="1017"/>
      <c r="M96" s="1017"/>
      <c r="N96" s="1017"/>
      <c r="O96" s="1017"/>
      <c r="P96" s="1017"/>
      <c r="Q96" s="1017"/>
      <c r="R96" s="1017"/>
      <c r="S96" s="1017"/>
      <c r="T96" s="1017"/>
      <c r="U96" s="1017"/>
      <c r="V96" s="1017"/>
      <c r="W96" s="1017"/>
      <c r="X96" s="1017"/>
      <c r="Y96" s="1017"/>
      <c r="Z96" s="1017"/>
      <c r="AA96" s="1017"/>
      <c r="AB96" s="1018"/>
      <c r="AC96" s="1016" t="s">
        <v>291</v>
      </c>
      <c r="AD96" s="1017"/>
      <c r="AE96" s="1017"/>
      <c r="AF96" s="1017"/>
      <c r="AG96" s="1017"/>
      <c r="AH96" s="1017"/>
      <c r="AI96" s="1017"/>
      <c r="AJ96" s="1017"/>
      <c r="AK96" s="1017"/>
      <c r="AL96" s="1017"/>
      <c r="AM96" s="1017"/>
      <c r="AN96" s="1017"/>
      <c r="AO96" s="1018"/>
      <c r="AP96" s="1016"/>
      <c r="AQ96" s="1017"/>
      <c r="AR96" s="1017"/>
      <c r="AS96" s="1017"/>
      <c r="AT96" s="1017"/>
      <c r="AU96" s="1017"/>
      <c r="AV96" s="1017"/>
      <c r="AW96" s="1017"/>
      <c r="AX96" s="1017"/>
      <c r="AY96" s="1017"/>
      <c r="AZ96" s="1017"/>
      <c r="BA96" s="1017"/>
      <c r="BB96" s="1018"/>
      <c r="BC96" s="725"/>
    </row>
    <row r="97" spans="2:55">
      <c r="B97" s="752">
        <v>89</v>
      </c>
      <c r="C97" s="753" t="s">
        <v>292</v>
      </c>
      <c r="D97" s="814"/>
      <c r="E97" s="814"/>
      <c r="F97" s="754"/>
      <c r="G97" s="754"/>
      <c r="H97" s="815"/>
      <c r="I97" s="724"/>
      <c r="J97" s="726"/>
      <c r="K97" s="1437"/>
      <c r="L97" s="1438"/>
      <c r="M97" s="1438"/>
      <c r="N97" s="724"/>
      <c r="O97" s="1090"/>
      <c r="P97" s="724"/>
      <c r="Q97" s="724"/>
      <c r="R97" s="724"/>
      <c r="S97" s="724"/>
      <c r="T97" s="816"/>
      <c r="U97" s="1333"/>
      <c r="V97" s="1333"/>
      <c r="W97" s="1333"/>
      <c r="X97" s="754"/>
      <c r="Y97" s="1050" t="s">
        <v>293</v>
      </c>
      <c r="Z97" s="1370"/>
      <c r="AA97" s="1370"/>
      <c r="AB97" s="1049"/>
      <c r="AC97" s="753" t="s">
        <v>294</v>
      </c>
      <c r="AD97" s="814"/>
      <c r="AE97" s="814"/>
      <c r="AF97" s="754"/>
      <c r="AG97" s="754"/>
      <c r="AH97" s="815"/>
      <c r="AI97" s="815"/>
      <c r="AJ97" s="815"/>
      <c r="AK97" s="726"/>
      <c r="AL97" s="1437"/>
      <c r="AM97" s="1438"/>
      <c r="AN97" s="1438"/>
      <c r="AO97" s="1438"/>
      <c r="AP97" s="754"/>
      <c r="AQ97" s="754"/>
      <c r="AR97" s="754"/>
      <c r="AS97" s="754"/>
      <c r="AT97" s="754"/>
      <c r="AU97" s="754"/>
      <c r="AV97" s="754"/>
      <c r="AW97" s="754"/>
      <c r="AX97" s="754"/>
      <c r="AY97" s="754"/>
      <c r="AZ97" s="754"/>
      <c r="BA97" s="754"/>
      <c r="BB97" s="755"/>
      <c r="BC97" s="725"/>
    </row>
    <row r="98" spans="2:55">
      <c r="B98" s="752">
        <v>90</v>
      </c>
      <c r="C98" s="761" t="s">
        <v>295</v>
      </c>
      <c r="D98" s="757"/>
      <c r="E98" s="757"/>
      <c r="F98" s="757"/>
      <c r="G98" s="757"/>
      <c r="H98" s="757"/>
      <c r="I98" s="757"/>
      <c r="J98" s="758"/>
      <c r="K98" s="1433"/>
      <c r="L98" s="1434"/>
      <c r="M98" s="1434"/>
      <c r="N98" s="757"/>
      <c r="O98" s="1022" t="str">
        <f>IF(K98="MARTIN","NEED TO ADD TO COST SHEET!","")</f>
        <v/>
      </c>
      <c r="P98" s="757"/>
      <c r="Q98" s="757"/>
      <c r="R98" s="757"/>
      <c r="S98" s="757"/>
      <c r="T98" s="757"/>
      <c r="U98" s="1023"/>
      <c r="V98" s="1023"/>
      <c r="W98" s="1023"/>
      <c r="X98" s="820"/>
      <c r="Y98" s="821"/>
      <c r="Z98" s="821"/>
      <c r="AA98" s="821"/>
      <c r="AB98" s="822"/>
      <c r="AC98" s="761" t="s">
        <v>296</v>
      </c>
      <c r="AD98" s="757"/>
      <c r="AE98" s="757"/>
      <c r="AF98" s="757"/>
      <c r="AG98" s="757"/>
      <c r="AH98" s="757"/>
      <c r="AI98" s="757"/>
      <c r="AJ98" s="757"/>
      <c r="AK98" s="758"/>
      <c r="AL98" s="1433"/>
      <c r="AM98" s="1434"/>
      <c r="AN98" s="1434"/>
      <c r="AO98" s="1434"/>
      <c r="AP98" s="757"/>
      <c r="AQ98" s="757"/>
      <c r="AR98" s="757"/>
      <c r="AS98" s="757"/>
      <c r="AT98" s="757"/>
      <c r="AU98" s="757"/>
      <c r="AV98" s="757"/>
      <c r="AW98" s="757"/>
      <c r="AX98" s="757"/>
      <c r="AY98" s="757"/>
      <c r="AZ98" s="757"/>
      <c r="BA98" s="757"/>
      <c r="BB98" s="758"/>
      <c r="BC98" s="725"/>
    </row>
    <row r="99" spans="2:55">
      <c r="B99" s="752">
        <v>91</v>
      </c>
      <c r="C99" s="761" t="s">
        <v>297</v>
      </c>
      <c r="D99" s="757"/>
      <c r="E99" s="757"/>
      <c r="F99" s="757"/>
      <c r="G99" s="757"/>
      <c r="H99" s="757"/>
      <c r="I99" s="757"/>
      <c r="J99" s="758"/>
      <c r="K99" s="1433"/>
      <c r="L99" s="1434"/>
      <c r="M99" s="1434"/>
      <c r="N99" s="757"/>
      <c r="O99" s="1022" t="str">
        <f>IF(K99="YES","NEED TO ADD TO COST SHEET!","")</f>
        <v/>
      </c>
      <c r="P99" s="757"/>
      <c r="Q99" s="757"/>
      <c r="R99" s="757"/>
      <c r="S99" s="757"/>
      <c r="T99" s="757"/>
      <c r="U99" s="863"/>
      <c r="V99" s="863"/>
      <c r="W99" s="863"/>
      <c r="X99" s="757"/>
      <c r="Y99" s="757"/>
      <c r="Z99" s="757"/>
      <c r="AA99" s="757"/>
      <c r="AB99" s="758"/>
      <c r="AC99" s="761" t="s">
        <v>298</v>
      </c>
      <c r="AD99" s="757"/>
      <c r="AE99" s="757"/>
      <c r="AF99" s="757"/>
      <c r="AG99" s="757"/>
      <c r="AH99" s="757"/>
      <c r="AI99" s="757"/>
      <c r="AJ99" s="757"/>
      <c r="AK99" s="758"/>
      <c r="AL99" s="1433"/>
      <c r="AM99" s="1434"/>
      <c r="AN99" s="1434"/>
      <c r="AO99" s="1434"/>
      <c r="AP99" s="757"/>
      <c r="AQ99" s="757"/>
      <c r="AR99" s="757"/>
      <c r="AS99" s="757"/>
      <c r="AT99" s="757"/>
      <c r="AU99" s="757"/>
      <c r="AV99" s="757"/>
      <c r="AW99" s="757"/>
      <c r="AX99" s="757"/>
      <c r="AY99" s="757"/>
      <c r="AZ99" s="757"/>
      <c r="BA99" s="757"/>
      <c r="BB99" s="758"/>
      <c r="BC99" s="725"/>
    </row>
    <row r="100" spans="2:55">
      <c r="B100" s="752">
        <v>92</v>
      </c>
      <c r="C100" s="761" t="s">
        <v>299</v>
      </c>
      <c r="D100" s="757"/>
      <c r="E100" s="757"/>
      <c r="F100" s="757"/>
      <c r="G100" s="757"/>
      <c r="H100" s="757"/>
      <c r="I100" s="757"/>
      <c r="J100" s="758"/>
      <c r="K100" s="1433"/>
      <c r="L100" s="1434"/>
      <c r="M100" s="1434"/>
      <c r="N100" s="1434"/>
      <c r="O100" s="1434"/>
      <c r="P100" s="1434"/>
      <c r="Q100" s="1434"/>
      <c r="R100" s="1434"/>
      <c r="S100" s="1434"/>
      <c r="T100" s="1434"/>
      <c r="U100" s="1434"/>
      <c r="V100" s="863"/>
      <c r="W100" s="863"/>
      <c r="X100" s="757"/>
      <c r="Y100" s="1002" t="s">
        <v>293</v>
      </c>
      <c r="Z100" s="1357"/>
      <c r="AA100" s="1357"/>
      <c r="AB100" s="758"/>
      <c r="AC100" s="761" t="s">
        <v>300</v>
      </c>
      <c r="AD100" s="757"/>
      <c r="AE100" s="757"/>
      <c r="AF100" s="757"/>
      <c r="AG100" s="757"/>
      <c r="AH100" s="757"/>
      <c r="AI100" s="757"/>
      <c r="AJ100" s="757"/>
      <c r="AK100" s="758"/>
      <c r="AL100" s="1433"/>
      <c r="AM100" s="1434"/>
      <c r="AN100" s="1434"/>
      <c r="AO100" s="1434"/>
      <c r="AP100" s="757"/>
      <c r="AQ100" s="757"/>
      <c r="AR100" s="757"/>
      <c r="AS100" s="757"/>
      <c r="AT100" s="757"/>
      <c r="AU100" s="757"/>
      <c r="AV100" s="757"/>
      <c r="AW100" s="757"/>
      <c r="AX100" s="757"/>
      <c r="AY100" s="757"/>
      <c r="AZ100" s="757"/>
      <c r="BA100" s="757"/>
      <c r="BB100" s="758"/>
      <c r="BC100" s="725"/>
    </row>
    <row r="101" spans="2:55" ht="15.75" thickBot="1">
      <c r="B101" s="752">
        <v>93</v>
      </c>
      <c r="C101" s="761" t="s">
        <v>301</v>
      </c>
      <c r="D101" s="757"/>
      <c r="E101" s="757"/>
      <c r="F101" s="757"/>
      <c r="G101" s="757"/>
      <c r="H101" s="757"/>
      <c r="I101" s="757"/>
      <c r="J101" s="758"/>
      <c r="K101" s="1433"/>
      <c r="L101" s="1434"/>
      <c r="M101" s="1434"/>
      <c r="N101" s="1434"/>
      <c r="O101" s="1434"/>
      <c r="P101" s="1434"/>
      <c r="Q101" s="1434"/>
      <c r="R101" s="1434"/>
      <c r="S101" s="1434"/>
      <c r="T101" s="1434"/>
      <c r="U101" s="1434"/>
      <c r="V101" s="863"/>
      <c r="W101" s="863"/>
      <c r="X101" s="757"/>
      <c r="Y101" s="757"/>
      <c r="Z101" s="757"/>
      <c r="AA101" s="757"/>
      <c r="AB101" s="758"/>
      <c r="AC101" s="761" t="s">
        <v>302</v>
      </c>
      <c r="AD101" s="757"/>
      <c r="AE101" s="757"/>
      <c r="AF101" s="757"/>
      <c r="AG101" s="757"/>
      <c r="AH101" s="757"/>
      <c r="AI101" s="757"/>
      <c r="AJ101" s="757"/>
      <c r="AK101" s="758"/>
      <c r="AL101" s="1433"/>
      <c r="AM101" s="1434"/>
      <c r="AN101" s="1434"/>
      <c r="AO101" s="1434"/>
      <c r="AP101" s="757"/>
      <c r="AQ101" s="757"/>
      <c r="AR101" s="757"/>
      <c r="AS101" s="757"/>
      <c r="AT101" s="757"/>
      <c r="AU101" s="757"/>
      <c r="AV101" s="757"/>
      <c r="AW101" s="757"/>
      <c r="AX101" s="757"/>
      <c r="AY101" s="757"/>
      <c r="AZ101" s="757"/>
      <c r="BA101" s="757"/>
      <c r="BB101" s="758"/>
      <c r="BC101" s="725"/>
    </row>
    <row r="102" spans="2:55" ht="15.75" thickBot="1">
      <c r="B102" s="752">
        <v>94</v>
      </c>
      <c r="C102" s="761" t="s">
        <v>303</v>
      </c>
      <c r="D102" s="757"/>
      <c r="E102" s="757"/>
      <c r="F102" s="757"/>
      <c r="G102" s="757"/>
      <c r="H102" s="757"/>
      <c r="I102" s="757"/>
      <c r="J102" s="758"/>
      <c r="K102" s="1433"/>
      <c r="L102" s="1434"/>
      <c r="M102" s="1434"/>
      <c r="N102" s="1434"/>
      <c r="O102" s="1434"/>
      <c r="P102" s="1434"/>
      <c r="Q102" s="1434"/>
      <c r="R102" s="1434"/>
      <c r="S102" s="1434"/>
      <c r="T102" s="1434"/>
      <c r="U102" s="1434"/>
      <c r="V102" s="863"/>
      <c r="W102" s="863"/>
      <c r="X102" s="757"/>
      <c r="Y102" s="757"/>
      <c r="Z102" s="757"/>
      <c r="AA102" s="757"/>
      <c r="AB102" s="758"/>
      <c r="AC102" s="1016" t="s">
        <v>304</v>
      </c>
      <c r="AD102" s="1025"/>
      <c r="AE102" s="1025"/>
      <c r="AF102" s="1025"/>
      <c r="AG102" s="1025"/>
      <c r="AH102" s="1025"/>
      <c r="AI102" s="1025"/>
      <c r="AJ102" s="1025"/>
      <c r="AK102" s="1025"/>
      <c r="AL102" s="1025"/>
      <c r="AM102" s="1025"/>
      <c r="AN102" s="1025"/>
      <c r="AO102" s="1025"/>
      <c r="AP102" s="1025"/>
      <c r="AQ102" s="1025"/>
      <c r="AR102" s="1025"/>
      <c r="AS102" s="1025"/>
      <c r="AT102" s="1025"/>
      <c r="AU102" s="1025"/>
      <c r="AV102" s="1025"/>
      <c r="AW102" s="1025"/>
      <c r="AX102" s="1025"/>
      <c r="AY102" s="1025"/>
      <c r="AZ102" s="1025"/>
      <c r="BA102" s="1025"/>
      <c r="BB102" s="1026"/>
      <c r="BC102" s="725"/>
    </row>
    <row r="103" spans="2:55" ht="15.75" thickBot="1">
      <c r="B103" s="752">
        <v>95</v>
      </c>
      <c r="C103" s="840" t="s">
        <v>305</v>
      </c>
      <c r="D103" s="768"/>
      <c r="E103" s="768"/>
      <c r="F103" s="768"/>
      <c r="G103" s="768"/>
      <c r="H103" s="768"/>
      <c r="I103" s="768"/>
      <c r="J103" s="769"/>
      <c r="K103" s="1435"/>
      <c r="L103" s="1436"/>
      <c r="M103" s="1436"/>
      <c r="N103" s="768"/>
      <c r="O103" s="1024" t="str">
        <f>IF(K103="YES","NEED TO ADD TO COST SHEET!","")</f>
        <v/>
      </c>
      <c r="P103" s="768"/>
      <c r="Q103" s="768"/>
      <c r="R103" s="768"/>
      <c r="S103" s="768"/>
      <c r="T103" s="768"/>
      <c r="U103" s="870"/>
      <c r="V103" s="870"/>
      <c r="W103" s="870"/>
      <c r="X103" s="768"/>
      <c r="Y103" s="768"/>
      <c r="Z103" s="768"/>
      <c r="AA103" s="768"/>
      <c r="AB103" s="769"/>
      <c r="AC103" s="782" t="s">
        <v>306</v>
      </c>
      <c r="AD103" s="754"/>
      <c r="AE103" s="754"/>
      <c r="AF103" s="754"/>
      <c r="AG103" s="754"/>
      <c r="AH103" s="754"/>
      <c r="AI103" s="754"/>
      <c r="AJ103" s="754"/>
      <c r="AK103" s="754"/>
      <c r="AL103" s="1437"/>
      <c r="AM103" s="1438"/>
      <c r="AN103" s="1438"/>
      <c r="AO103" s="1438"/>
      <c r="AP103" s="754"/>
      <c r="AQ103" s="780"/>
      <c r="AR103" s="780"/>
      <c r="AS103" s="780"/>
      <c r="AT103" s="780"/>
      <c r="AU103" s="780"/>
      <c r="AV103" s="780"/>
      <c r="AW103" s="780"/>
      <c r="AX103" s="780"/>
      <c r="AY103" s="780"/>
      <c r="AZ103" s="780"/>
      <c r="BA103" s="780"/>
      <c r="BB103" s="781"/>
      <c r="BC103" s="725"/>
    </row>
    <row r="104" spans="2:55" ht="15.75" thickBot="1">
      <c r="B104" s="752">
        <v>96</v>
      </c>
      <c r="C104" s="1016" t="s">
        <v>307</v>
      </c>
      <c r="D104" s="1017"/>
      <c r="E104" s="1017"/>
      <c r="F104" s="1017"/>
      <c r="G104" s="1017"/>
      <c r="H104" s="1017"/>
      <c r="I104" s="1017"/>
      <c r="J104" s="1017"/>
      <c r="K104" s="1017"/>
      <c r="L104" s="1017"/>
      <c r="M104" s="1017"/>
      <c r="N104" s="1017"/>
      <c r="O104" s="1017"/>
      <c r="P104" s="1017"/>
      <c r="Q104" s="1017"/>
      <c r="R104" s="1017"/>
      <c r="S104" s="1017"/>
      <c r="T104" s="1017"/>
      <c r="U104" s="1017"/>
      <c r="V104" s="1017"/>
      <c r="W104" s="1017"/>
      <c r="X104" s="1017"/>
      <c r="Y104" s="1017"/>
      <c r="Z104" s="1017"/>
      <c r="AA104" s="1017"/>
      <c r="AB104" s="1018"/>
      <c r="AC104" s="756" t="s">
        <v>308</v>
      </c>
      <c r="AD104" s="757"/>
      <c r="AE104" s="757"/>
      <c r="AF104" s="757"/>
      <c r="AG104" s="757"/>
      <c r="AH104" s="757"/>
      <c r="AI104" s="757"/>
      <c r="AJ104" s="757"/>
      <c r="AK104" s="757"/>
      <c r="AL104" s="1433"/>
      <c r="AM104" s="1434"/>
      <c r="AN104" s="1434"/>
      <c r="AO104" s="1434"/>
      <c r="AP104" s="757"/>
      <c r="AQ104" s="759"/>
      <c r="AR104" s="759"/>
      <c r="AS104" s="759"/>
      <c r="AT104" s="759"/>
      <c r="AU104" s="759"/>
      <c r="AV104" s="759"/>
      <c r="AW104" s="759"/>
      <c r="AX104" s="759"/>
      <c r="AY104" s="759"/>
      <c r="AZ104" s="759"/>
      <c r="BA104" s="759"/>
      <c r="BB104" s="760"/>
      <c r="BC104" s="725"/>
    </row>
    <row r="105" spans="2:55" ht="15.75" thickBot="1">
      <c r="B105" s="752">
        <v>97</v>
      </c>
      <c r="C105" s="782" t="s">
        <v>309</v>
      </c>
      <c r="D105" s="754"/>
      <c r="E105" s="754"/>
      <c r="F105" s="754"/>
      <c r="G105" s="754"/>
      <c r="H105" s="754"/>
      <c r="I105" s="754"/>
      <c r="J105" s="754"/>
      <c r="K105" s="1437"/>
      <c r="L105" s="1438"/>
      <c r="M105" s="1438"/>
      <c r="N105" s="1438"/>
      <c r="O105" s="1027" t="b">
        <f>IF(HP_TYPE="Flat","FF",IF(HP_TYPE="Crown","CF"))</f>
        <v>0</v>
      </c>
      <c r="P105" s="754"/>
      <c r="Q105" s="754"/>
      <c r="R105" s="754"/>
      <c r="S105" s="754"/>
      <c r="T105" s="754"/>
      <c r="U105" s="754"/>
      <c r="V105" s="754"/>
      <c r="W105" s="754"/>
      <c r="X105" s="754"/>
      <c r="Y105" s="754"/>
      <c r="Z105" s="754"/>
      <c r="AA105" s="754"/>
      <c r="AB105" s="755"/>
      <c r="AC105" s="1450" t="s">
        <v>310</v>
      </c>
      <c r="AD105" s="1450"/>
      <c r="AE105" s="1450"/>
      <c r="AF105" s="1450"/>
      <c r="AG105" s="1450"/>
      <c r="AH105" s="1450"/>
      <c r="AI105" s="1450"/>
      <c r="AJ105" s="1450"/>
      <c r="AK105" s="1450"/>
      <c r="AL105" s="1450"/>
      <c r="AM105" s="1450"/>
      <c r="AN105" s="1450"/>
      <c r="AO105" s="1450"/>
      <c r="AP105" s="1450"/>
      <c r="AQ105" s="1450"/>
      <c r="AR105" s="1450"/>
      <c r="AS105" s="1450"/>
      <c r="AT105" s="1450"/>
      <c r="AU105" s="1450"/>
      <c r="AV105" s="1450"/>
      <c r="AW105" s="1450"/>
      <c r="AX105" s="1450"/>
      <c r="AY105" s="1450"/>
      <c r="AZ105" s="1450"/>
      <c r="BA105" s="1450"/>
      <c r="BB105" s="1451"/>
      <c r="BC105" s="725"/>
    </row>
    <row r="106" spans="2:55">
      <c r="B106" s="752">
        <v>98</v>
      </c>
      <c r="C106" s="756" t="s">
        <v>311</v>
      </c>
      <c r="D106" s="757"/>
      <c r="E106" s="757"/>
      <c r="F106" s="757"/>
      <c r="G106" s="757"/>
      <c r="H106" s="757"/>
      <c r="I106" s="757"/>
      <c r="J106" s="757"/>
      <c r="K106" s="1433"/>
      <c r="L106" s="1434"/>
      <c r="M106" s="1434"/>
      <c r="N106" s="1434"/>
      <c r="O106" s="1028" t="str">
        <f>IF(K106="N/A","",LEFT(K106,1))</f>
        <v/>
      </c>
      <c r="P106" s="1029" t="s">
        <v>312</v>
      </c>
      <c r="Q106" s="757"/>
      <c r="R106" s="757"/>
      <c r="S106" s="806"/>
      <c r="T106" s="757"/>
      <c r="U106" s="757"/>
      <c r="V106" s="757"/>
      <c r="W106" s="757"/>
      <c r="X106" s="757"/>
      <c r="Y106" s="757"/>
      <c r="Z106" s="757"/>
      <c r="AA106" s="757"/>
      <c r="AB106" s="758"/>
      <c r="AC106" s="782" t="s">
        <v>313</v>
      </c>
      <c r="AD106" s="754"/>
      <c r="AE106" s="754"/>
      <c r="AF106" s="754"/>
      <c r="AG106" s="754"/>
      <c r="AH106" s="754"/>
      <c r="AI106" s="754"/>
      <c r="AJ106" s="754"/>
      <c r="AK106" s="754"/>
      <c r="AL106" s="1437"/>
      <c r="AM106" s="1438"/>
      <c r="AN106" s="1438"/>
      <c r="AO106" s="1438"/>
      <c r="AP106" s="754"/>
      <c r="AQ106" s="754"/>
      <c r="AR106" s="754"/>
      <c r="AS106" s="754"/>
      <c r="AT106" s="754"/>
      <c r="AU106" s="754"/>
      <c r="AV106" s="754"/>
      <c r="AW106" s="754"/>
      <c r="AX106" s="754"/>
      <c r="AY106" s="754"/>
      <c r="AZ106" s="754"/>
      <c r="BA106" s="754"/>
      <c r="BB106" s="755"/>
      <c r="BC106" s="725"/>
    </row>
    <row r="107" spans="2:55" ht="15.75" thickBot="1">
      <c r="B107" s="752">
        <v>99</v>
      </c>
      <c r="C107" s="756" t="s">
        <v>314</v>
      </c>
      <c r="D107" s="757"/>
      <c r="E107" s="757"/>
      <c r="F107" s="757"/>
      <c r="G107" s="757"/>
      <c r="H107" s="757"/>
      <c r="I107" s="757"/>
      <c r="J107" s="757"/>
      <c r="K107" s="1433"/>
      <c r="L107" s="1434"/>
      <c r="M107" s="1434"/>
      <c r="N107" s="1434"/>
      <c r="O107" s="1030">
        <f>IF(K107="N/A","",K107)</f>
        <v>0</v>
      </c>
      <c r="P107" s="1029" t="s">
        <v>8184</v>
      </c>
      <c r="Q107" s="757"/>
      <c r="R107" s="757"/>
      <c r="S107" s="757"/>
      <c r="T107" s="757"/>
      <c r="U107" s="757"/>
      <c r="V107" s="757"/>
      <c r="W107" s="757"/>
      <c r="X107" s="757"/>
      <c r="Y107" s="757"/>
      <c r="Z107" s="757"/>
      <c r="AA107" s="757"/>
      <c r="AB107" s="758"/>
      <c r="AC107" s="767" t="s">
        <v>315</v>
      </c>
      <c r="AD107" s="768"/>
      <c r="AE107" s="768"/>
      <c r="AF107" s="768"/>
      <c r="AG107" s="768"/>
      <c r="AH107" s="768"/>
      <c r="AI107" s="768"/>
      <c r="AJ107" s="768"/>
      <c r="AK107" s="768"/>
      <c r="AL107" s="1435"/>
      <c r="AM107" s="1436"/>
      <c r="AN107" s="1436"/>
      <c r="AO107" s="1436"/>
      <c r="AP107" s="768"/>
      <c r="AQ107" s="768"/>
      <c r="AR107" s="768"/>
      <c r="AS107" s="768"/>
      <c r="AT107" s="768"/>
      <c r="AU107" s="768"/>
      <c r="AV107" s="768"/>
      <c r="AW107" s="768"/>
      <c r="AX107" s="768"/>
      <c r="AY107" s="768"/>
      <c r="AZ107" s="768"/>
      <c r="BA107" s="768"/>
      <c r="BB107" s="769"/>
      <c r="BC107" s="725"/>
    </row>
    <row r="108" spans="2:55" ht="15.75" thickBot="1">
      <c r="B108" s="752">
        <v>100</v>
      </c>
      <c r="C108" s="756" t="s">
        <v>316</v>
      </c>
      <c r="D108" s="757"/>
      <c r="E108" s="757"/>
      <c r="F108" s="757"/>
      <c r="G108" s="757"/>
      <c r="H108" s="757"/>
      <c r="I108" s="757"/>
      <c r="J108" s="757"/>
      <c r="K108" s="1433"/>
      <c r="L108" s="1434"/>
      <c r="M108" s="1434"/>
      <c r="N108" s="1434"/>
      <c r="O108" s="1003" t="b">
        <f>IF(TP_TYPE="Flat","FF",IF(TP_TYPE="Crown","CF"))</f>
        <v>0</v>
      </c>
      <c r="P108" s="757"/>
      <c r="Q108" s="757"/>
      <c r="R108" s="757"/>
      <c r="S108" s="757"/>
      <c r="T108" s="757"/>
      <c r="U108" s="757"/>
      <c r="V108" s="757"/>
      <c r="W108" s="757"/>
      <c r="X108" s="757"/>
      <c r="Y108" s="757"/>
      <c r="Z108" s="757"/>
      <c r="AA108" s="757"/>
      <c r="AB108" s="758"/>
      <c r="AC108" s="1016" t="s">
        <v>317</v>
      </c>
      <c r="AD108" s="1025"/>
      <c r="AE108" s="1025"/>
      <c r="AF108" s="1025"/>
      <c r="AG108" s="1025"/>
      <c r="AH108" s="1025"/>
      <c r="AI108" s="1025"/>
      <c r="AJ108" s="1025"/>
      <c r="AK108" s="1025"/>
      <c r="AL108" s="1025"/>
      <c r="AM108" s="1025"/>
      <c r="AN108" s="1025"/>
      <c r="AO108" s="1025"/>
      <c r="AP108" s="1025"/>
      <c r="AQ108" s="1025"/>
      <c r="AR108" s="1025"/>
      <c r="AS108" s="1025"/>
      <c r="AT108" s="1025"/>
      <c r="AU108" s="1025"/>
      <c r="AV108" s="1025"/>
      <c r="AW108" s="1025"/>
      <c r="AX108" s="1025"/>
      <c r="AY108" s="1025"/>
      <c r="AZ108" s="1025"/>
      <c r="BA108" s="1025"/>
      <c r="BB108" s="1026"/>
      <c r="BC108" s="725"/>
    </row>
    <row r="109" spans="2:55">
      <c r="B109" s="752">
        <v>101</v>
      </c>
      <c r="C109" s="756" t="s">
        <v>318</v>
      </c>
      <c r="D109" s="757"/>
      <c r="E109" s="757"/>
      <c r="F109" s="757"/>
      <c r="G109" s="757"/>
      <c r="H109" s="757"/>
      <c r="I109" s="757"/>
      <c r="J109" s="757"/>
      <c r="K109" s="1433"/>
      <c r="L109" s="1434"/>
      <c r="M109" s="1434"/>
      <c r="N109" s="1434"/>
      <c r="O109" s="1000"/>
      <c r="P109" s="757"/>
      <c r="Q109" s="757"/>
      <c r="R109" s="757"/>
      <c r="S109" s="757"/>
      <c r="T109" s="757"/>
      <c r="U109" s="757"/>
      <c r="V109" s="757"/>
      <c r="W109" s="757"/>
      <c r="X109" s="757"/>
      <c r="Y109" s="757"/>
      <c r="Z109" s="757"/>
      <c r="AA109" s="757"/>
      <c r="AB109" s="758"/>
      <c r="AC109" s="782" t="s">
        <v>319</v>
      </c>
      <c r="AD109" s="754"/>
      <c r="AE109" s="754"/>
      <c r="AF109" s="754"/>
      <c r="AG109" s="754"/>
      <c r="AH109" s="754"/>
      <c r="AI109" s="754"/>
      <c r="AJ109" s="754"/>
      <c r="AK109" s="755"/>
      <c r="AL109" s="1437"/>
      <c r="AM109" s="1438"/>
      <c r="AN109" s="1438"/>
      <c r="AO109" s="1438"/>
      <c r="AP109" s="754"/>
      <c r="AQ109" s="754"/>
      <c r="AR109" s="754"/>
      <c r="AS109" s="754"/>
      <c r="AT109" s="754"/>
      <c r="AU109" s="754"/>
      <c r="AV109" s="754"/>
      <c r="AW109" s="754"/>
      <c r="AX109" s="754"/>
      <c r="AY109" s="754"/>
      <c r="AZ109" s="754"/>
      <c r="BA109" s="754"/>
      <c r="BB109" s="755"/>
      <c r="BC109" s="725"/>
    </row>
    <row r="110" spans="2:55">
      <c r="B110" s="752">
        <v>102</v>
      </c>
      <c r="C110" s="756" t="s">
        <v>75</v>
      </c>
      <c r="D110" s="757"/>
      <c r="E110" s="757"/>
      <c r="F110" s="757"/>
      <c r="G110" s="757"/>
      <c r="H110" s="757"/>
      <c r="I110" s="757"/>
      <c r="J110" s="757"/>
      <c r="K110" s="1329"/>
      <c r="L110" s="1330"/>
      <c r="M110" s="1330"/>
      <c r="N110" s="1330"/>
      <c r="O110" s="757" t="s">
        <v>30</v>
      </c>
      <c r="P110" s="1000" t="s">
        <v>76</v>
      </c>
      <c r="Q110" s="757"/>
      <c r="R110" s="757"/>
      <c r="S110" s="757"/>
      <c r="T110" s="757"/>
      <c r="U110" s="757"/>
      <c r="V110" s="757"/>
      <c r="W110" s="1003" t="e" cm="1">
        <f t="array" ref="W110">IF(K110="N/A","",_xlfn.XLOOKUP(K110,LAG_TDES[[#All],[THICKNESS]],LAG_TDES[[#All],[DESIGNATION]]))</f>
        <v>#N/A</v>
      </c>
      <c r="X110" s="757"/>
      <c r="Y110" s="757"/>
      <c r="Z110" s="757"/>
      <c r="AA110" s="757"/>
      <c r="AB110" s="758"/>
      <c r="AC110" s="800"/>
      <c r="AD110" s="757"/>
      <c r="AE110" s="757"/>
      <c r="AF110" s="757"/>
      <c r="AG110" s="757"/>
      <c r="AH110" s="757"/>
      <c r="AI110" s="757"/>
      <c r="AJ110" s="757"/>
      <c r="AK110" s="758"/>
      <c r="AL110" s="757"/>
      <c r="AM110" s="757"/>
      <c r="AN110" s="757"/>
      <c r="AO110" s="757"/>
      <c r="AP110" s="757"/>
      <c r="AQ110" s="757"/>
      <c r="AR110" s="757"/>
      <c r="AS110" s="757"/>
      <c r="AT110" s="757"/>
      <c r="AU110" s="757"/>
      <c r="AV110" s="757"/>
      <c r="AW110" s="757"/>
      <c r="AX110" s="757"/>
      <c r="AY110" s="757"/>
      <c r="AZ110" s="757"/>
      <c r="BA110" s="757"/>
      <c r="BB110" s="758"/>
      <c r="BC110" s="725"/>
    </row>
    <row r="111" spans="2:55">
      <c r="B111" s="752">
        <v>103</v>
      </c>
      <c r="C111" s="756" t="s">
        <v>320</v>
      </c>
      <c r="D111" s="757"/>
      <c r="E111" s="757"/>
      <c r="F111" s="757"/>
      <c r="G111" s="757"/>
      <c r="H111" s="757"/>
      <c r="I111" s="757"/>
      <c r="J111" s="757"/>
      <c r="K111" s="1433"/>
      <c r="L111" s="1434"/>
      <c r="M111" s="1434"/>
      <c r="N111" s="1434"/>
      <c r="O111" s="1028" t="str">
        <f>IF(K111="N/A","",LEFT(K111,1))</f>
        <v/>
      </c>
      <c r="P111" s="1029" t="s">
        <v>312</v>
      </c>
      <c r="Q111" s="757"/>
      <c r="R111" s="757"/>
      <c r="S111" s="757"/>
      <c r="T111" s="757"/>
      <c r="U111" s="757"/>
      <c r="V111" s="757"/>
      <c r="W111" s="1003"/>
      <c r="X111" s="757"/>
      <c r="Y111" s="757"/>
      <c r="Z111" s="757"/>
      <c r="AA111" s="757"/>
      <c r="AB111" s="758"/>
      <c r="AC111" s="800"/>
      <c r="AD111" s="757"/>
      <c r="AE111" s="757"/>
      <c r="AF111" s="757"/>
      <c r="AG111" s="757"/>
      <c r="AH111" s="757"/>
      <c r="AI111" s="757"/>
      <c r="AJ111" s="757"/>
      <c r="AK111" s="758"/>
      <c r="AL111" s="757"/>
      <c r="AM111" s="757"/>
      <c r="AN111" s="757"/>
      <c r="AO111" s="757"/>
      <c r="AP111" s="757"/>
      <c r="AQ111" s="757"/>
      <c r="AR111" s="757"/>
      <c r="AS111" s="757"/>
      <c r="AT111" s="757"/>
      <c r="AU111" s="757"/>
      <c r="AV111" s="757"/>
      <c r="AW111" s="757"/>
      <c r="AX111" s="757"/>
      <c r="AY111" s="757"/>
      <c r="AZ111" s="757"/>
      <c r="BA111" s="757"/>
      <c r="BB111" s="758"/>
      <c r="BC111" s="725"/>
    </row>
    <row r="112" spans="2:55">
      <c r="B112" s="752">
        <v>104</v>
      </c>
      <c r="C112" s="756" t="s">
        <v>321</v>
      </c>
      <c r="D112" s="757"/>
      <c r="E112" s="757"/>
      <c r="F112" s="757"/>
      <c r="G112" s="757"/>
      <c r="H112" s="757"/>
      <c r="I112" s="757"/>
      <c r="J112" s="757"/>
      <c r="K112" s="1433"/>
      <c r="L112" s="1434"/>
      <c r="M112" s="1434"/>
      <c r="N112" s="1434"/>
      <c r="O112" s="1030">
        <f>IF(K112="N/A","",K112)</f>
        <v>0</v>
      </c>
      <c r="P112" s="1029" t="s">
        <v>8184</v>
      </c>
      <c r="Q112" s="757"/>
      <c r="R112" s="757"/>
      <c r="S112" s="757"/>
      <c r="T112" s="757"/>
      <c r="U112" s="757"/>
      <c r="V112" s="757"/>
      <c r="W112" s="1003"/>
      <c r="X112" s="757"/>
      <c r="Y112" s="757"/>
      <c r="Z112" s="757"/>
      <c r="AA112" s="757"/>
      <c r="AB112" s="758"/>
      <c r="AC112" s="800"/>
      <c r="AD112" s="757"/>
      <c r="AE112" s="757"/>
      <c r="AF112" s="757"/>
      <c r="AG112" s="757"/>
      <c r="AH112" s="757"/>
      <c r="AI112" s="757"/>
      <c r="AJ112" s="757"/>
      <c r="AK112" s="758"/>
      <c r="AL112" s="757"/>
      <c r="AM112" s="757"/>
      <c r="AN112" s="757"/>
      <c r="AO112" s="757"/>
      <c r="AP112" s="757"/>
      <c r="AQ112" s="757"/>
      <c r="AR112" s="757"/>
      <c r="AS112" s="757"/>
      <c r="AT112" s="757"/>
      <c r="AU112" s="757"/>
      <c r="AV112" s="757"/>
      <c r="AW112" s="757"/>
      <c r="AX112" s="757"/>
      <c r="AY112" s="757"/>
      <c r="AZ112" s="757"/>
      <c r="BA112" s="757"/>
      <c r="BB112" s="758"/>
      <c r="BC112" s="725"/>
    </row>
    <row r="113" spans="2:55">
      <c r="B113" s="752">
        <v>105</v>
      </c>
      <c r="C113" s="756" t="s">
        <v>322</v>
      </c>
      <c r="D113" s="757"/>
      <c r="E113" s="757"/>
      <c r="F113" s="757"/>
      <c r="G113" s="757"/>
      <c r="H113" s="757"/>
      <c r="I113" s="757"/>
      <c r="J113" s="757"/>
      <c r="K113" s="1031" t="e">
        <f>"DCEMA"&amp;DP_DIA&amp;(Belt_W+2)&amp;O105&amp;AQ31&amp;AX30&amp;O106&amp;O107&amp;" - "&amp;HSD</f>
        <v>#N/A</v>
      </c>
      <c r="L113" s="1032"/>
      <c r="M113" s="1032"/>
      <c r="N113" s="1033"/>
      <c r="O113" s="1034"/>
      <c r="P113" s="1033"/>
      <c r="Q113" s="1033"/>
      <c r="R113" s="1033"/>
      <c r="S113" s="1000" t="s">
        <v>323</v>
      </c>
      <c r="T113" s="757"/>
      <c r="U113" s="757"/>
      <c r="V113" s="757"/>
      <c r="W113" s="757"/>
      <c r="X113" s="1444" t="str" cm="1">
        <f t="array" ref="X113">_xlfn.IFNA(_xlfn.XLOOKUP(Design!K113,SUP_DP[[#All],[MFG PN]],SUP_DP[[#All],[JMS PART '#]]),"N/A")</f>
        <v>N/A</v>
      </c>
      <c r="Y113" s="1444"/>
      <c r="Z113" s="1000" t="s">
        <v>324</v>
      </c>
      <c r="AA113" s="757"/>
      <c r="AB113" s="758"/>
      <c r="AC113" s="800"/>
      <c r="AD113" s="757"/>
      <c r="AE113" s="757"/>
      <c r="AF113" s="757"/>
      <c r="AG113" s="757"/>
      <c r="AH113" s="757"/>
      <c r="AI113" s="757"/>
      <c r="AJ113" s="757"/>
      <c r="AK113" s="758"/>
      <c r="AL113" s="757"/>
      <c r="AM113" s="757"/>
      <c r="AN113" s="757"/>
      <c r="AO113" s="757"/>
      <c r="AP113" s="757"/>
      <c r="AQ113" s="757"/>
      <c r="AR113" s="757"/>
      <c r="AS113" s="757"/>
      <c r="AT113" s="757"/>
      <c r="AU113" s="757"/>
      <c r="AV113" s="757"/>
      <c r="AW113" s="757"/>
      <c r="AX113" s="757"/>
      <c r="AY113" s="757"/>
      <c r="AZ113" s="757"/>
      <c r="BA113" s="757"/>
      <c r="BB113" s="758"/>
      <c r="BC113" s="725"/>
    </row>
    <row r="114" spans="2:55" ht="15.75" thickBot="1">
      <c r="B114" s="852">
        <v>106</v>
      </c>
      <c r="C114" s="767" t="s">
        <v>325</v>
      </c>
      <c r="D114" s="768"/>
      <c r="E114" s="768"/>
      <c r="F114" s="768"/>
      <c r="G114" s="768"/>
      <c r="H114" s="768"/>
      <c r="I114" s="768"/>
      <c r="J114" s="768"/>
      <c r="K114" s="1035" t="e">
        <f>"DCEMA"&amp;DP_DIA&amp;(Belt_W+2)&amp;O108&amp;AQ32&amp;W110&amp;O111&amp;O112&amp;" - "&amp;TSD</f>
        <v>#N/A</v>
      </c>
      <c r="L114" s="1036"/>
      <c r="M114" s="1036"/>
      <c r="N114" s="1036"/>
      <c r="O114" s="1036"/>
      <c r="P114" s="1036"/>
      <c r="Q114" s="1036"/>
      <c r="R114" s="1036"/>
      <c r="S114" s="1037" t="s">
        <v>323</v>
      </c>
      <c r="T114" s="768"/>
      <c r="U114" s="768"/>
      <c r="V114" s="768"/>
      <c r="W114" s="768"/>
      <c r="X114" s="1445" t="str" cm="1">
        <f t="array" ref="X114">_xlfn.IFNA(_xlfn.XLOOKUP(Design!K114,SUP_DP[[#All],[MFG PN]],SUP_DP[[#All],[JMS PART '#]]),"N/A")</f>
        <v>N/A</v>
      </c>
      <c r="Y114" s="1445"/>
      <c r="Z114" s="1037" t="s">
        <v>324</v>
      </c>
      <c r="AA114" s="768"/>
      <c r="AB114" s="769"/>
      <c r="AC114" s="740"/>
      <c r="AD114" s="741"/>
      <c r="AE114" s="741"/>
      <c r="AF114" s="741"/>
      <c r="AG114" s="741"/>
      <c r="AH114" s="741"/>
      <c r="AI114" s="741"/>
      <c r="AJ114" s="741"/>
      <c r="AK114" s="742"/>
      <c r="AL114" s="741"/>
      <c r="AM114" s="741"/>
      <c r="AN114" s="741"/>
      <c r="AO114" s="741"/>
      <c r="AP114" s="741"/>
      <c r="AQ114" s="741"/>
      <c r="AR114" s="741"/>
      <c r="AS114" s="741"/>
      <c r="AT114" s="741"/>
      <c r="AU114" s="741"/>
      <c r="AV114" s="741"/>
      <c r="AW114" s="741"/>
      <c r="AX114" s="741"/>
      <c r="AY114" s="741"/>
      <c r="AZ114" s="741"/>
      <c r="BA114" s="741"/>
      <c r="BB114" s="742"/>
      <c r="BC114" s="842"/>
    </row>
  </sheetData>
  <sheetProtection selectLockedCells="1"/>
  <mergeCells count="214">
    <mergeCell ref="K106:N106"/>
    <mergeCell ref="K111:N111"/>
    <mergeCell ref="K105:N105"/>
    <mergeCell ref="K107:N107"/>
    <mergeCell ref="K108:N108"/>
    <mergeCell ref="K109:N109"/>
    <mergeCell ref="K110:N110"/>
    <mergeCell ref="K112:N112"/>
    <mergeCell ref="AC105:BB105"/>
    <mergeCell ref="AL104:AO104"/>
    <mergeCell ref="AL106:AO106"/>
    <mergeCell ref="AL107:AO107"/>
    <mergeCell ref="AL109:AO109"/>
    <mergeCell ref="X113:Y113"/>
    <mergeCell ref="X114:Y114"/>
    <mergeCell ref="AZ28:BA28"/>
    <mergeCell ref="AV28:AW28"/>
    <mergeCell ref="AV29:AW29"/>
    <mergeCell ref="AL88:AN88"/>
    <mergeCell ref="AU88:AW88"/>
    <mergeCell ref="AL95:AM95"/>
    <mergeCell ref="AU37:AW37"/>
    <mergeCell ref="AU38:AW38"/>
    <mergeCell ref="AU42:AW42"/>
    <mergeCell ref="AU43:AW43"/>
    <mergeCell ref="AU44:AW44"/>
    <mergeCell ref="AU39:AW39"/>
    <mergeCell ref="AU40:AW40"/>
    <mergeCell ref="AU41:AW41"/>
    <mergeCell ref="AU49:AW49"/>
    <mergeCell ref="AU50:AW50"/>
    <mergeCell ref="AU51:AW51"/>
    <mergeCell ref="AU52:AW52"/>
    <mergeCell ref="P95:R95"/>
    <mergeCell ref="M30:O30"/>
    <mergeCell ref="AM30:AO30"/>
    <mergeCell ref="M31:O31"/>
    <mergeCell ref="AM31:AO31"/>
    <mergeCell ref="M32:O32"/>
    <mergeCell ref="AM32:AO32"/>
    <mergeCell ref="P38:R38"/>
    <mergeCell ref="P42:R42"/>
    <mergeCell ref="P43:R43"/>
    <mergeCell ref="P44:R44"/>
    <mergeCell ref="P39:R39"/>
    <mergeCell ref="P40:R40"/>
    <mergeCell ref="P41:R41"/>
    <mergeCell ref="P49:R49"/>
    <mergeCell ref="P50:R50"/>
    <mergeCell ref="P52:R52"/>
    <mergeCell ref="P58:R58"/>
    <mergeCell ref="J63:O63"/>
    <mergeCell ref="Q63:V63"/>
    <mergeCell ref="AJ63:AL63"/>
    <mergeCell ref="J67:AB67"/>
    <mergeCell ref="P45:R45"/>
    <mergeCell ref="P59:R59"/>
    <mergeCell ref="K99:M99"/>
    <mergeCell ref="K100:U100"/>
    <mergeCell ref="K101:U101"/>
    <mergeCell ref="K102:U102"/>
    <mergeCell ref="K103:M103"/>
    <mergeCell ref="Z100:AA100"/>
    <mergeCell ref="AL97:AO97"/>
    <mergeCell ref="AL98:AO98"/>
    <mergeCell ref="AL99:AO99"/>
    <mergeCell ref="AL100:AO100"/>
    <mergeCell ref="AL101:AO101"/>
    <mergeCell ref="U97:W97"/>
    <mergeCell ref="K97:M97"/>
    <mergeCell ref="K98:M98"/>
    <mergeCell ref="AL103:AO103"/>
    <mergeCell ref="Z97:AA97"/>
    <mergeCell ref="U6:AF6"/>
    <mergeCell ref="AK6:AO6"/>
    <mergeCell ref="U7:AF7"/>
    <mergeCell ref="AK7:AO7"/>
    <mergeCell ref="U8:AF8"/>
    <mergeCell ref="AK8:AL8"/>
    <mergeCell ref="AN8:AO8"/>
    <mergeCell ref="P2:AO2"/>
    <mergeCell ref="P3:AO3"/>
    <mergeCell ref="U4:AF4"/>
    <mergeCell ref="AK4:AO4"/>
    <mergeCell ref="U5:AF5"/>
    <mergeCell ref="AK5:AO5"/>
    <mergeCell ref="P15:AB15"/>
    <mergeCell ref="AP15:AR15"/>
    <mergeCell ref="AW15:AY15"/>
    <mergeCell ref="P16:AB16"/>
    <mergeCell ref="AP16:BB16"/>
    <mergeCell ref="P17:AB17"/>
    <mergeCell ref="P10:AB10"/>
    <mergeCell ref="AP10:AR10"/>
    <mergeCell ref="AP11:AR11"/>
    <mergeCell ref="P12:AB12"/>
    <mergeCell ref="AC12:AO14"/>
    <mergeCell ref="AP12:BB14"/>
    <mergeCell ref="P13:R13"/>
    <mergeCell ref="P14:AB14"/>
    <mergeCell ref="M23:O23"/>
    <mergeCell ref="AM23:AO23"/>
    <mergeCell ref="M24:O24"/>
    <mergeCell ref="AM24:AO24"/>
    <mergeCell ref="M25:O25"/>
    <mergeCell ref="AM25:AO25"/>
    <mergeCell ref="M19:O19"/>
    <mergeCell ref="AM19:AO19"/>
    <mergeCell ref="M20:O20"/>
    <mergeCell ref="M21:O21"/>
    <mergeCell ref="AM21:AO21"/>
    <mergeCell ref="AM22:AO22"/>
    <mergeCell ref="M26:O26"/>
    <mergeCell ref="M27:O27"/>
    <mergeCell ref="M28:O28"/>
    <mergeCell ref="AM28:AO28"/>
    <mergeCell ref="M29:O29"/>
    <mergeCell ref="AM29:AO29"/>
    <mergeCell ref="M36:O36"/>
    <mergeCell ref="AM36:AO36"/>
    <mergeCell ref="P37:R37"/>
    <mergeCell ref="M33:O33"/>
    <mergeCell ref="AM33:AO33"/>
    <mergeCell ref="M34:O34"/>
    <mergeCell ref="AM34:AO34"/>
    <mergeCell ref="M35:O35"/>
    <mergeCell ref="AM35:AO35"/>
    <mergeCell ref="AU45:AW45"/>
    <mergeCell ref="P46:R46"/>
    <mergeCell ref="P47:R47"/>
    <mergeCell ref="AU47:AW47"/>
    <mergeCell ref="P48:R48"/>
    <mergeCell ref="AU48:AW48"/>
    <mergeCell ref="P57:R57"/>
    <mergeCell ref="AU57:AW57"/>
    <mergeCell ref="AU58:AW58"/>
    <mergeCell ref="AU59:AW59"/>
    <mergeCell ref="P53:R53"/>
    <mergeCell ref="AU53:AW53"/>
    <mergeCell ref="P55:R55"/>
    <mergeCell ref="AU55:AW55"/>
    <mergeCell ref="P56:R56"/>
    <mergeCell ref="AU56:AW56"/>
    <mergeCell ref="AU63:AW63"/>
    <mergeCell ref="J64:O64"/>
    <mergeCell ref="Q64:V64"/>
    <mergeCell ref="AJ64:AL64"/>
    <mergeCell ref="AU64:AW64"/>
    <mergeCell ref="J61:O61"/>
    <mergeCell ref="Q61:V61"/>
    <mergeCell ref="AJ61:AL61"/>
    <mergeCell ref="AU61:AW61"/>
    <mergeCell ref="J62:O62"/>
    <mergeCell ref="AJ62:AL62"/>
    <mergeCell ref="AU62:AW62"/>
    <mergeCell ref="AJ67:AL67"/>
    <mergeCell ref="AU67:AW67"/>
    <mergeCell ref="J68:AB68"/>
    <mergeCell ref="AJ68:AL68"/>
    <mergeCell ref="AU68:AW68"/>
    <mergeCell ref="J65:O65"/>
    <mergeCell ref="Q65:V65"/>
    <mergeCell ref="AJ65:AL65"/>
    <mergeCell ref="AU65:AW65"/>
    <mergeCell ref="J66:O66"/>
    <mergeCell ref="AJ66:AL66"/>
    <mergeCell ref="AU66:AW66"/>
    <mergeCell ref="M73:W73"/>
    <mergeCell ref="AU73:AW73"/>
    <mergeCell ref="M74:W74"/>
    <mergeCell ref="AU74:AW74"/>
    <mergeCell ref="J69:AB71"/>
    <mergeCell ref="AJ69:AL69"/>
    <mergeCell ref="AU69:AW69"/>
    <mergeCell ref="AJ70:AL70"/>
    <mergeCell ref="AU70:AW70"/>
    <mergeCell ref="AO71:BB71"/>
    <mergeCell ref="M78:O78"/>
    <mergeCell ref="AU78:AW78"/>
    <mergeCell ref="M79:O79"/>
    <mergeCell ref="AU79:AW79"/>
    <mergeCell ref="M80:O80"/>
    <mergeCell ref="AU80:AW80"/>
    <mergeCell ref="M75:O75"/>
    <mergeCell ref="AU75:AW75"/>
    <mergeCell ref="M76:O76"/>
    <mergeCell ref="AU76:AW76"/>
    <mergeCell ref="M77:O77"/>
    <mergeCell ref="AU77:AW77"/>
    <mergeCell ref="AU85:AW85"/>
    <mergeCell ref="AU86:AW86"/>
    <mergeCell ref="M81:O81"/>
    <mergeCell ref="AU81:AW81"/>
    <mergeCell ref="AU82:AW82"/>
    <mergeCell ref="AU83:AW83"/>
    <mergeCell ref="AU84:AW84"/>
    <mergeCell ref="M82:O82"/>
    <mergeCell ref="M83:O83"/>
    <mergeCell ref="M84:O84"/>
    <mergeCell ref="AL94:AM94"/>
    <mergeCell ref="AU94:AW94"/>
    <mergeCell ref="AU89:AW89"/>
    <mergeCell ref="AL89:AN89"/>
    <mergeCell ref="P91:R91"/>
    <mergeCell ref="AU92:AW92"/>
    <mergeCell ref="P92:R92"/>
    <mergeCell ref="P93:R93"/>
    <mergeCell ref="P90:R90"/>
    <mergeCell ref="AU90:AW90"/>
    <mergeCell ref="AU93:AW93"/>
    <mergeCell ref="AL93:AM93"/>
    <mergeCell ref="AL92:AM92"/>
    <mergeCell ref="AL91:AM91"/>
    <mergeCell ref="AL90:AM90"/>
  </mergeCells>
  <conditionalFormatting sqref="AU69:AW69">
    <cfRule type="expression" dxfId="221" priority="28">
      <formula>$AU$69="No"</formula>
    </cfRule>
    <cfRule type="expression" dxfId="220" priority="29">
      <formula>$AU$69="Yes"</formula>
    </cfRule>
  </conditionalFormatting>
  <conditionalFormatting sqref="AU70:AW70">
    <cfRule type="expression" dxfId="219" priority="26">
      <formula>$AU$70="No"</formula>
    </cfRule>
    <cfRule type="expression" dxfId="218" priority="27">
      <formula>$AU$70="Yes"</formula>
    </cfRule>
  </conditionalFormatting>
  <conditionalFormatting sqref="AU77:AW77">
    <cfRule type="expression" dxfId="217" priority="23">
      <formula>$AU$14="No"</formula>
    </cfRule>
    <cfRule type="expression" dxfId="216" priority="24">
      <formula>$AU$14="Yes"</formula>
    </cfRule>
  </conditionalFormatting>
  <conditionalFormatting sqref="AX59:BA59">
    <cfRule type="expression" dxfId="215" priority="25">
      <formula>$AX$59="INCREASE HP"</formula>
    </cfRule>
  </conditionalFormatting>
  <conditionalFormatting sqref="AU93:AW93">
    <cfRule type="expression" dxfId="214" priority="21">
      <formula>$AU$14="No"</formula>
    </cfRule>
    <cfRule type="expression" dxfId="213" priority="22">
      <formula>$AU$14="Yes"</formula>
    </cfRule>
  </conditionalFormatting>
  <conditionalFormatting sqref="AU94:AW94">
    <cfRule type="expression" dxfId="212" priority="19">
      <formula>$AU$14="No"</formula>
    </cfRule>
    <cfRule type="expression" dxfId="211" priority="20">
      <formula>$AU$14="Yes"</formula>
    </cfRule>
  </conditionalFormatting>
  <conditionalFormatting sqref="AU88:AW88">
    <cfRule type="expression" dxfId="210" priority="17">
      <formula>$AU$14="No"</formula>
    </cfRule>
    <cfRule type="expression" dxfId="209" priority="18">
      <formula>$AU$14="Yes"</formula>
    </cfRule>
  </conditionalFormatting>
  <conditionalFormatting sqref="K110">
    <cfRule type="expression" dxfId="208" priority="15">
      <formula>AND($K$109="Yes",$K$110="N/A")</formula>
    </cfRule>
    <cfRule type="expression" dxfId="207" priority="16">
      <formula>AND($K$109="No",$K$110&lt;&gt;"N/A")</formula>
    </cfRule>
  </conditionalFormatting>
  <conditionalFormatting sqref="AM30:AO30">
    <cfRule type="expression" dxfId="206" priority="13">
      <formula>AND($AM$29="Yes",$AM$30="N/A")</formula>
    </cfRule>
    <cfRule type="expression" dxfId="205" priority="14">
      <formula>AND($AM$29="No",$AM$30&lt;&gt;"N/A")</formula>
    </cfRule>
  </conditionalFormatting>
  <conditionalFormatting sqref="K111:N111">
    <cfRule type="expression" dxfId="204" priority="10">
      <formula>AND($K$109="Yes",$K$111="N/A")</formula>
    </cfRule>
    <cfRule type="expression" dxfId="203" priority="12">
      <formula>AND($K$109="NO",$K$111&lt;&gt;"N/A")</formula>
    </cfRule>
  </conditionalFormatting>
  <conditionalFormatting sqref="K112:N112">
    <cfRule type="expression" dxfId="202" priority="9">
      <formula>AND($K$109="Yes",$K$112="N/A")</formula>
    </cfRule>
    <cfRule type="expression" dxfId="201" priority="11">
      <formula>AND($K$109="No",$K$112&lt;&gt;"N/A")</formula>
    </cfRule>
  </conditionalFormatting>
  <conditionalFormatting sqref="K106:N106">
    <cfRule type="expression" dxfId="200" priority="7">
      <formula>AND($AM$29="Yes",$K$106="N/A")</formula>
    </cfRule>
    <cfRule type="expression" dxfId="199" priority="8">
      <formula>AND($AM$29="No",$K$106&lt;&gt;"N/A")</formula>
    </cfRule>
  </conditionalFormatting>
  <conditionalFormatting sqref="K107:N107">
    <cfRule type="expression" dxfId="198" priority="4">
      <formula>AND($AM$29="Yes",$K$107="N/A")</formula>
    </cfRule>
    <cfRule type="expression" dxfId="197" priority="5">
      <formula>AND($AM$29="No",$K$107&lt;&gt;"N/A")</formula>
    </cfRule>
  </conditionalFormatting>
  <conditionalFormatting sqref="K98:M98">
    <cfRule type="expression" dxfId="196" priority="3">
      <formula>AND($AM$22=0,$K$98&lt;&gt;"NONE")</formula>
    </cfRule>
  </conditionalFormatting>
  <conditionalFormatting sqref="Z97:AA97">
    <cfRule type="expression" dxfId="195" priority="2">
      <formula>AND($K$97="Yes",$Z$97&lt;1)</formula>
    </cfRule>
  </conditionalFormatting>
  <conditionalFormatting sqref="AM28:AO28">
    <cfRule type="expression" dxfId="194" priority="1">
      <formula>AND($AV$28="GT",$AM$28="Manual")</formula>
    </cfRule>
  </conditionalFormatting>
  <dataValidations count="30">
    <dataValidation allowBlank="1" showInputMessage="1" showErrorMessage="1" errorTitle="Trough Fill" error="Maximum Trough Fill Exceeded" sqref="M30:O30 M27:O28 AM19:AO19 M20:O21 M24:O25 K113:M113" xr:uid="{85F9F081-8017-4A48-AE85-12F5837093BB}"/>
    <dataValidation allowBlank="1" showInputMessage="1" promptTitle="Other" prompt="For project reference only." sqref="AP11:AR11" xr:uid="{7988AC31-17A7-423D-A335-1B935D818B77}"/>
    <dataValidation allowBlank="1" showInputMessage="1" showErrorMessage="1" promptTitle="Note" prompt="If specified in plans or specs (i.e. Tag #)" sqref="P10:AB10" xr:uid="{29A46BE0-7467-46B5-87DF-025C78C12320}"/>
    <dataValidation allowBlank="1" showInputMessage="1" showErrorMessage="1" promptTitle="Example" prompt="SA01, SA02, ETC" sqref="P12:AB12" xr:uid="{410A797C-A970-49EB-811D-98C37ED4FD29}"/>
    <dataValidation allowBlank="1" showInputMessage="1" showErrorMessage="1" promptTitle="Model" prompt="Model number/frame size of motor." sqref="Q65:V65" xr:uid="{C4DA7E62-810B-4E51-912B-AAF1D33EE141}"/>
    <dataValidation allowBlank="1" showInputMessage="1" showErrorMessage="1" promptTitle="Model" prompt="Drive model and size. Example: FAZ87." sqref="Q61:V61" xr:uid="{1A16DFA3-B099-4A41-A041-B09AB2CDDA08}"/>
    <dataValidation allowBlank="1" showInputMessage="1" showErrorMessage="1" promptTitle="Manufacturer" prompt="ex: SEW" sqref="J61:O61 J65:O65" xr:uid="{88280198-4661-4203-A68A-A97F8F4BA359}"/>
    <dataValidation type="whole" errorStyle="warning" operator="greaterThan" allowBlank="1" showInputMessage="1" showErrorMessage="1" errorTitle="Belt Overloaded" error="Increase Belt Speed or Belt Width" sqref="P53:R53" xr:uid="{D72684C6-7EEF-4E64-8A1D-E911B9D02DDF}">
      <formula1>1</formula1>
    </dataValidation>
    <dataValidation type="decimal" allowBlank="1" showInputMessage="1" showErrorMessage="1" errorTitle="Trough Fill" error="Maximum Trough Fill Exceeded" sqref="J20:J21 J23:J26 J88 J73 AM20:AM24 M33:M34 AM26 M26" xr:uid="{90832402-F2F4-496F-A36D-5D384FA64BC3}">
      <formula1>0</formula1>
      <formula2>100</formula2>
    </dataValidation>
    <dataValidation allowBlank="1" showInputMessage="1" showErrorMessage="1" promptTitle="Material Density" prompt="When this value is unknown, use 65 lb/ft3 for sludge and 75 lb/ft3 for grit." sqref="AP10" xr:uid="{F6461EC1-FB48-48D2-AA27-79AA7A381F99}"/>
    <dataValidation allowBlank="1" showInputMessage="1" showErrorMessage="1" promptTitle="Temperature" prompt="Effects thermal expansion calculation." sqref="AP15" xr:uid="{219BB051-1555-4717-BB17-E93B403A0A3C}"/>
    <dataValidation allowBlank="1" showInputMessage="1" showErrorMessage="1" promptTitle="Other" prompt="For project reference only." sqref="P17:AB17" xr:uid="{FBF69C5C-5E56-4815-9EA8-B317FDF7A417}"/>
    <dataValidation type="list" allowBlank="1" showInputMessage="1" showErrorMessage="1" sqref="AL89" xr:uid="{5A7C5439-ECEE-49E0-AB10-EB9B6EAF0B65}">
      <formula1>"Type 1,Type 2,Type 3,Type 4,Type 5"</formula1>
    </dataValidation>
    <dataValidation type="list" allowBlank="1" showInputMessage="1" showErrorMessage="1" sqref="AN95" xr:uid="{632CFD17-6FF8-4EC8-8026-9DC29DBACE71}">
      <formula1>"304,304L,316L"</formula1>
    </dataValidation>
    <dataValidation type="whole" allowBlank="1" showInputMessage="1" showErrorMessage="1" sqref="AL97:AL101" xr:uid="{004479ED-CF5E-418F-8B4B-70CD20CFE045}">
      <formula1>0</formula1>
      <formula2>100</formula2>
    </dataValidation>
    <dataValidation type="list" allowBlank="1" showInputMessage="1" showErrorMessage="1" sqref="K97:M97 K99:M99 K103:M103 AL109:AO109" xr:uid="{CB3ECE24-B562-420C-9D53-58BAE025949B}">
      <formula1>"Yes,No"</formula1>
    </dataValidation>
    <dataValidation type="list" allowBlank="1" showInputMessage="1" showErrorMessage="1" sqref="K98:M98" xr:uid="{A0CC0FE5-103F-42C7-9B87-C04150B010D6}">
      <formula1>"None,JMS,MARTIN"</formula1>
    </dataValidation>
    <dataValidation type="list" allowBlank="1" showInputMessage="1" showErrorMessage="1" sqref="K102:U102" xr:uid="{A0B4FE50-C7E1-4475-9049-5E6BA2E02F1E}">
      <formula1>"N/A,TA-2,TA-2X (EXP.PROOF)"</formula1>
    </dataValidation>
    <dataValidation type="list" allowBlank="1" showInputMessage="1" showErrorMessage="1" sqref="AL103 AP103" xr:uid="{683A123F-ACB3-4681-B24E-66615A8E5C2E}">
      <formula1>"Mechanical,Vulcanized"</formula1>
    </dataValidation>
    <dataValidation type="list" allowBlank="1" showInputMessage="1" showErrorMessage="1" sqref="M31:O31" xr:uid="{FF5517A2-8573-47D0-AF21-7B58A8C79501}">
      <formula1>"FLAT,TROUGHING"</formula1>
    </dataValidation>
    <dataValidation type="list" allowBlank="1" showErrorMessage="1" sqref="AL88:AN88" xr:uid="{2D97E160-785B-485E-BBAE-46E696291FF3}">
      <formula1>"FLAT, SIDEWALL, CLEATED SIDEWALL"</formula1>
    </dataValidation>
    <dataValidation type="list" allowBlank="1" showInputMessage="1" showErrorMessage="1" sqref="AL95:AM95" xr:uid="{CABD2F93-70B5-4F35-9F88-3C51AAC9B14F}">
      <formula1>"304 SS,304L,316L"</formula1>
    </dataValidation>
    <dataValidation type="list" allowBlank="1" showInputMessage="1" showErrorMessage="1" errorTitle="Trough Fill" error="Maximum Trough Fill Exceeded" sqref="AM30:AO30 K110" xr:uid="{DBED5961-C2B4-40A6-8159-234C3EC791E9}">
      <formula1>"N/A,.25,.375,.5"</formula1>
    </dataValidation>
    <dataValidation type="list" allowBlank="1" showInputMessage="1" showErrorMessage="1" sqref="K106 K111" xr:uid="{FCF5CC1F-4053-4474-BCB4-40283262520A}">
      <formula1>"N/A, Smooth, Chevron, Herringbone, Diamond"</formula1>
    </dataValidation>
    <dataValidation type="list" allowBlank="1" showInputMessage="1" showErrorMessage="1" sqref="AL106" xr:uid="{76B0F438-5B4F-47F6-9D6F-B0A40D1D7FDD}">
      <formula1>"NONE,WEATHER,ODOR"</formula1>
    </dataValidation>
    <dataValidation type="list" allowBlank="1" showInputMessage="1" showErrorMessage="1" sqref="AL104:AO104" xr:uid="{FD4C8C6A-B3B2-470D-B9EB-810353E629A2}">
      <formula1>"N/A,RS187,375"</formula1>
    </dataValidation>
    <dataValidation allowBlank="1" showInputMessage="1" showErrorMessage="1" prompt="Quantity of 1 equals 1 set (2 top and 2 bottom)_x000a_" sqref="Z97:AA97" xr:uid="{6FCB0D44-80E5-48B2-8955-7DBC34D1FC6B}"/>
    <dataValidation type="list" allowBlank="1" showInputMessage="1" showErrorMessage="1" prompt="FOR SIDEWALL BELTS CROWN FACE PULLEYS SHOULD NOT BE USED." sqref="K105:N105" xr:uid="{3A002221-1702-41FF-84B8-F3968530534E}">
      <formula1>"Flat, Crown"</formula1>
    </dataValidation>
    <dataValidation type="list" allowBlank="1" showInputMessage="1" showErrorMessage="1" prompt="FOR SIDEWALL BELTS CROWN FACE PULLEYS SHOULD NOT BE USED" sqref="K108:N108" xr:uid="{60A5D9C7-E996-43B0-9042-72BAC7374BFA}">
      <formula1>"Flat, Crown"</formula1>
    </dataValidation>
    <dataValidation type="list" allowBlank="1" showInputMessage="1" showErrorMessage="1" sqref="K107:N107 K112:N112" xr:uid="{E59BCAA2-F7EC-432C-835F-F64CDF4EB097}">
      <formula1>"N/A, 40, 60"</formula1>
    </dataValidation>
  </dataValidations>
  <printOptions horizontalCentered="1"/>
  <pageMargins left="0.25" right="0.25" top="0.75" bottom="0.75" header="0.3" footer="0.3"/>
  <pageSetup scale="49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A962C6DC-A953-4D23-ACD9-6C3CDC284BB1}">
          <x14:formula1>
            <xm:f>List!$F$4:$F$9</xm:f>
          </x14:formula1>
          <xm:sqref>M23:O23</xm:sqref>
        </x14:dataValidation>
        <x14:dataValidation type="list" allowBlank="1" showInputMessage="1" showErrorMessage="1" xr:uid="{3F6B459B-D0FF-4601-BE4B-E9B2C4CD4726}">
          <x14:formula1>
            <xm:f>List!$B$3:$B$4</xm:f>
          </x14:formula1>
          <xm:sqref>AM29:AO29 K31:L31 K109</xm:sqref>
        </x14:dataValidation>
        <x14:dataValidation type="list" allowBlank="1" showInputMessage="1" showErrorMessage="1" xr:uid="{6D3A8296-C93B-4032-9192-1DBD38772409}">
          <x14:formula1>
            <xm:f>List!$B$3:$B$8</xm:f>
          </x14:formula1>
          <xm:sqref>Q23:AB23 X88:AA88</xm:sqref>
        </x14:dataValidation>
        <x14:dataValidation type="list" allowBlank="1" showInputMessage="1" showErrorMessage="1" errorTitle="Trough Fill" error="Maximum Trough Fill Exceeded" xr:uid="{384E88EF-4A68-437F-9B51-E13216DBD203}">
          <x14:formula1>
            <xm:f>List!$D$3:$D$4</xm:f>
          </x14:formula1>
          <xm:sqref>M29:O29</xm:sqref>
        </x14:dataValidation>
        <x14:dataValidation type="list" allowBlank="1" showInputMessage="1" showErrorMessage="1" xr:uid="{F5A2A0A1-5FED-471B-B7F8-7324902B9C22}">
          <x14:formula1>
            <xm:f>List!$BF$3:$BF$5</xm:f>
          </x14:formula1>
          <xm:sqref>P15:AB15</xm:sqref>
        </x14:dataValidation>
        <x14:dataValidation type="list" allowBlank="1" showInputMessage="1" showErrorMessage="1" xr:uid="{4BDEBF01-99AF-482E-B672-919943833DC8}">
          <x14:formula1>
            <xm:f>List!$AM$3:$AM$6</xm:f>
          </x14:formula1>
          <xm:sqref>M79:O79</xm:sqref>
        </x14:dataValidation>
        <x14:dataValidation type="list" allowBlank="1" showInputMessage="1" showErrorMessage="1" xr:uid="{09A81047-307D-494D-89F2-562B160AA3EF}">
          <x14:formula1>
            <xm:f>List!$BD$3:$BD$6</xm:f>
          </x14:formula1>
          <xm:sqref>P14:AB14</xm:sqref>
        </x14:dataValidation>
        <x14:dataValidation type="list" allowBlank="1" showInputMessage="1" showErrorMessage="1" xr:uid="{7ED7B1A3-F5AA-45C1-89DF-589A6076F93A}">
          <x14:formula1>
            <xm:f>List!$BB$3:$BB$14</xm:f>
          </x14:formula1>
          <xm:sqref>AU58:AW58</xm:sqref>
        </x14:dataValidation>
        <x14:dataValidation type="list" allowBlank="1" showInputMessage="1" showErrorMessage="1" xr:uid="{6926AFCD-8196-4098-9BD3-ABE57E89A978}">
          <x14:formula1>
            <xm:f>List!$AZ$3:$AZ$6</xm:f>
          </x14:formula1>
          <xm:sqref>J67:AB67</xm:sqref>
        </x14:dataValidation>
        <x14:dataValidation type="list" allowBlank="1" showInputMessage="1" showErrorMessage="1" xr:uid="{C46829D7-47FA-4D93-BA12-AA95188CB446}">
          <x14:formula1>
            <xm:f>List!$AY$3:$AY$7</xm:f>
          </x14:formula1>
          <xm:sqref>J68:AB68 P16:AB16</xm:sqref>
        </x14:dataValidation>
        <x14:dataValidation type="list" allowBlank="1" showInputMessage="1" showErrorMessage="1" xr:uid="{9F9E1AD6-2FF7-47B3-8379-977E9A3EC804}">
          <x14:formula1>
            <xm:f>List!$U$3:$U$6</xm:f>
          </x14:formula1>
          <xm:sqref>M35:O35</xm:sqref>
        </x14:dataValidation>
        <x14:dataValidation type="list" allowBlank="1" showInputMessage="1" showErrorMessage="1" xr:uid="{E1EF2EDB-09B7-4BCC-8D26-8DF5E50BD13D}">
          <x14:formula1>
            <xm:f>List!$P$3:$P$6</xm:f>
          </x14:formula1>
          <xm:sqref>AM31:AO32</xm:sqref>
        </x14:dataValidation>
        <x14:dataValidation type="list" allowBlank="1" showInputMessage="1" showErrorMessage="1" xr:uid="{A1C4DAAE-1B44-43F3-A592-D80110B05812}">
          <x14:formula1>
            <xm:f>List!$K$4:$K$8</xm:f>
          </x14:formula1>
          <xm:sqref>AM33:AO33</xm:sqref>
        </x14:dataValidation>
        <x14:dataValidation type="list" allowBlank="1" showInputMessage="1" showErrorMessage="1" xr:uid="{474696AE-F44E-45A3-B968-13AF6EBCA435}">
          <x14:formula1>
            <xm:f>List!$AW$3:$AW$6</xm:f>
          </x14:formula1>
          <xm:sqref>J64:O64</xm:sqref>
        </x14:dataValidation>
        <x14:dataValidation type="list" allowBlank="1" showInputMessage="1" showErrorMessage="1" xr:uid="{7DE37C49-5A0A-4E3D-8468-7EFBC7291E3C}">
          <x14:formula1>
            <xm:f>List!$AV$3:$AV$8</xm:f>
          </x14:formula1>
          <xm:sqref>Q64:V64</xm:sqref>
        </x14:dataValidation>
        <x14:dataValidation type="list" allowBlank="1" showInputMessage="1" showErrorMessage="1" errorTitle="Trough Fill" error="Maximum Trough Fill Exceeded" xr:uid="{FC058124-1958-4FD6-834C-A964F2D49722}">
          <x14:formula1>
            <xm:f>List!$AQ$3:$AQ$6</xm:f>
          </x14:formula1>
          <xm:sqref>M32:O32</xm:sqref>
        </x14:dataValidation>
        <x14:dataValidation type="list" allowBlank="1" showInputMessage="1" showErrorMessage="1" xr:uid="{C9249BEA-6DDA-4B72-ADAC-3105CD28E88D}">
          <x14:formula1>
            <xm:f>List!$AG$3:$AG$4</xm:f>
          </x14:formula1>
          <xm:sqref>M36:O36</xm:sqref>
        </x14:dataValidation>
        <x14:dataValidation type="list" allowBlank="1" showInputMessage="1" errorTitle="Trough Fill" error="Maximum Trough Fill Exceeded" xr:uid="{F1767822-FD03-411A-B13D-B0E609D5DC61}">
          <x14:formula1>
            <xm:f>List!$AD$3:$AD$5</xm:f>
          </x14:formula1>
          <xm:sqref>AM25:AO25</xm:sqref>
        </x14:dataValidation>
        <x14:dataValidation type="list" allowBlank="1" showInputMessage="1" showErrorMessage="1" xr:uid="{DD248611-20FF-41C4-8FD0-8F0A4A3F973E}">
          <x14:formula1>
            <xm:f>PURCHASED!$B$4:$B$9</xm:f>
          </x14:formula1>
          <xm:sqref>K100</xm:sqref>
        </x14:dataValidation>
        <x14:dataValidation type="list" allowBlank="1" showInputMessage="1" showErrorMessage="1" xr:uid="{9C0910C3-8DCB-4EBF-BEBA-2C83198E5629}">
          <x14:formula1>
            <xm:f>PURCHASED!$B$14:$B$17</xm:f>
          </x14:formula1>
          <xm:sqref>K101</xm:sqref>
        </x14:dataValidation>
        <x14:dataValidation type="list" allowBlank="1" showInputMessage="1" showErrorMessage="1" prompt="Maximum length for a manual take-up is 200 feet (take-up length 48&quot;)." xr:uid="{1E558344-ECBD-4DC7-AAE9-53FE668F0DC5}">
          <x14:formula1>
            <xm:f>List!$W$3:$W$4</xm:f>
          </x14:formula1>
          <xm:sqref>AM28:AO28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9072E-14B6-4DBA-B662-F6499C880EDE}">
  <sheetPr codeName="Sheet23">
    <tabColor theme="4" tint="0.79998168889431442"/>
  </sheetPr>
  <dimension ref="A1:BD29"/>
  <sheetViews>
    <sheetView zoomScaleNormal="100" workbookViewId="0">
      <selection activeCell="W24" sqref="W24"/>
    </sheetView>
  </sheetViews>
  <sheetFormatPr defaultRowHeight="15"/>
  <cols>
    <col min="1" max="56" width="3.7109375" style="716" customWidth="1"/>
    <col min="57" max="16384" width="9.140625" style="716"/>
  </cols>
  <sheetData>
    <row r="1" spans="1:56" ht="15.75" thickBot="1"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  <c r="R1" s="722"/>
      <c r="S1" s="722"/>
      <c r="T1" s="722"/>
      <c r="U1" s="722"/>
      <c r="V1" s="722"/>
      <c r="W1" s="722"/>
      <c r="X1" s="722"/>
      <c r="Y1" s="722"/>
      <c r="Z1" s="722"/>
      <c r="AA1" s="722"/>
      <c r="AB1" s="722"/>
      <c r="AC1" s="722"/>
      <c r="AD1" s="722"/>
      <c r="AE1" s="722"/>
      <c r="AF1" s="722"/>
      <c r="AG1" s="722"/>
      <c r="AH1" s="722"/>
      <c r="AI1" s="722"/>
      <c r="AJ1" s="722"/>
      <c r="AK1" s="722"/>
      <c r="AL1" s="722"/>
      <c r="AM1" s="722"/>
      <c r="AN1" s="722"/>
      <c r="AO1" s="722"/>
      <c r="AP1" s="722"/>
      <c r="AQ1" s="722"/>
      <c r="AR1" s="722"/>
      <c r="AS1" s="722"/>
      <c r="AT1" s="722"/>
      <c r="AU1" s="722"/>
      <c r="AV1" s="722"/>
      <c r="AW1" s="722"/>
      <c r="AX1" s="722"/>
      <c r="AY1" s="722"/>
      <c r="AZ1" s="722"/>
      <c r="BA1" s="722"/>
      <c r="BB1" s="722"/>
      <c r="BC1" s="722"/>
    </row>
    <row r="2" spans="1:56" ht="18.75">
      <c r="A2" s="723"/>
      <c r="B2" s="724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5"/>
      <c r="P2" s="1421" t="s">
        <v>6</v>
      </c>
      <c r="Q2" s="1422"/>
      <c r="R2" s="1422"/>
      <c r="S2" s="1422"/>
      <c r="T2" s="1422"/>
      <c r="U2" s="1422"/>
      <c r="V2" s="1422"/>
      <c r="W2" s="1422"/>
      <c r="X2" s="1422"/>
      <c r="Y2" s="1422"/>
      <c r="Z2" s="1422"/>
      <c r="AA2" s="1422"/>
      <c r="AB2" s="1422"/>
      <c r="AC2" s="1422"/>
      <c r="AD2" s="1422"/>
      <c r="AE2" s="1422"/>
      <c r="AF2" s="1422"/>
      <c r="AG2" s="1422"/>
      <c r="AH2" s="1422"/>
      <c r="AI2" s="1422"/>
      <c r="AJ2" s="1422"/>
      <c r="AK2" s="1422"/>
      <c r="AL2" s="1422"/>
      <c r="AM2" s="1422"/>
      <c r="AN2" s="1422"/>
      <c r="AO2" s="1423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6"/>
    </row>
    <row r="3" spans="1:56" ht="19.5" thickBot="1">
      <c r="A3" s="723"/>
      <c r="B3" s="724"/>
      <c r="C3" s="724"/>
      <c r="D3" s="724"/>
      <c r="E3" s="724"/>
      <c r="F3" s="724"/>
      <c r="G3" s="724"/>
      <c r="H3" s="724"/>
      <c r="I3" s="724"/>
      <c r="J3" s="724"/>
      <c r="K3" s="724"/>
      <c r="L3" s="724"/>
      <c r="M3" s="724"/>
      <c r="N3" s="724"/>
      <c r="O3" s="725"/>
      <c r="P3" s="1424" t="s">
        <v>326</v>
      </c>
      <c r="Q3" s="1425"/>
      <c r="R3" s="1425"/>
      <c r="S3" s="1425"/>
      <c r="T3" s="1425"/>
      <c r="U3" s="1425"/>
      <c r="V3" s="1425"/>
      <c r="W3" s="1425"/>
      <c r="X3" s="1425"/>
      <c r="Y3" s="1425"/>
      <c r="Z3" s="1425"/>
      <c r="AA3" s="1425"/>
      <c r="AB3" s="1425"/>
      <c r="AC3" s="1425"/>
      <c r="AD3" s="1425"/>
      <c r="AE3" s="1425"/>
      <c r="AF3" s="1425"/>
      <c r="AG3" s="1425"/>
      <c r="AH3" s="1425"/>
      <c r="AI3" s="1425"/>
      <c r="AJ3" s="1425"/>
      <c r="AK3" s="1425"/>
      <c r="AL3" s="1425"/>
      <c r="AM3" s="1425"/>
      <c r="AN3" s="1425"/>
      <c r="AO3" s="1426"/>
      <c r="AP3" s="724"/>
      <c r="AQ3" s="724"/>
      <c r="AR3" s="724"/>
      <c r="AS3" s="724"/>
      <c r="AT3" s="724"/>
      <c r="AU3" s="724"/>
      <c r="AV3" s="724"/>
      <c r="AW3" s="724"/>
      <c r="AX3" s="724"/>
      <c r="AY3" s="724"/>
      <c r="AZ3" s="724"/>
      <c r="BA3" s="724"/>
      <c r="BB3" s="724"/>
      <c r="BC3" s="725"/>
    </row>
    <row r="4" spans="1:56">
      <c r="A4" s="723"/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7"/>
      <c r="P4" s="728" t="s">
        <v>8</v>
      </c>
      <c r="Q4" s="729"/>
      <c r="R4" s="729"/>
      <c r="S4" s="729"/>
      <c r="T4" s="730"/>
      <c r="U4" s="1475">
        <f>Design!U4</f>
        <v>0</v>
      </c>
      <c r="V4" s="1476"/>
      <c r="W4" s="1476"/>
      <c r="X4" s="1476"/>
      <c r="Y4" s="1476"/>
      <c r="Z4" s="1476"/>
      <c r="AA4" s="1476"/>
      <c r="AB4" s="1476"/>
      <c r="AC4" s="1476"/>
      <c r="AD4" s="1476"/>
      <c r="AE4" s="1476"/>
      <c r="AF4" s="1477"/>
      <c r="AG4" s="731" t="s">
        <v>9</v>
      </c>
      <c r="AH4" s="729"/>
      <c r="AI4" s="729"/>
      <c r="AJ4" s="730"/>
      <c r="AK4" s="1478">
        <f>Design!AK4</f>
        <v>0</v>
      </c>
      <c r="AL4" s="1479"/>
      <c r="AM4" s="1479"/>
      <c r="AN4" s="1479"/>
      <c r="AO4" s="1480"/>
      <c r="AP4" s="732"/>
      <c r="AQ4" s="724"/>
      <c r="AR4" s="724"/>
      <c r="AS4" s="724"/>
      <c r="AT4" s="724"/>
      <c r="AU4" s="724"/>
      <c r="AV4" s="724"/>
      <c r="AW4" s="724"/>
      <c r="AX4" s="724"/>
      <c r="AY4" s="724"/>
      <c r="AZ4" s="724"/>
      <c r="BA4" s="724"/>
      <c r="BB4" s="724"/>
      <c r="BC4" s="725"/>
    </row>
    <row r="5" spans="1:56">
      <c r="A5" s="723"/>
      <c r="B5" s="724"/>
      <c r="C5" s="724"/>
      <c r="D5" s="724"/>
      <c r="E5" s="724"/>
      <c r="F5" s="724"/>
      <c r="G5" s="724"/>
      <c r="H5" s="724"/>
      <c r="I5" s="724"/>
      <c r="J5" s="724"/>
      <c r="K5" s="724"/>
      <c r="L5" s="724"/>
      <c r="M5" s="724"/>
      <c r="N5" s="724"/>
      <c r="O5" s="727"/>
      <c r="P5" s="733" t="s">
        <v>10</v>
      </c>
      <c r="Q5" s="734"/>
      <c r="R5" s="734"/>
      <c r="S5" s="734"/>
      <c r="T5" s="735"/>
      <c r="U5" s="1460">
        <f>Design!U5</f>
        <v>0</v>
      </c>
      <c r="V5" s="1461"/>
      <c r="W5" s="1461"/>
      <c r="X5" s="1461"/>
      <c r="Y5" s="1461"/>
      <c r="Z5" s="1461"/>
      <c r="AA5" s="1461"/>
      <c r="AB5" s="1461"/>
      <c r="AC5" s="1461"/>
      <c r="AD5" s="1461"/>
      <c r="AE5" s="1461"/>
      <c r="AF5" s="1462"/>
      <c r="AG5" s="736" t="s">
        <v>11</v>
      </c>
      <c r="AH5" s="734"/>
      <c r="AI5" s="734"/>
      <c r="AJ5" s="735"/>
      <c r="AK5" s="1466">
        <f>Design!AK5</f>
        <v>0</v>
      </c>
      <c r="AL5" s="1467"/>
      <c r="AM5" s="1467"/>
      <c r="AN5" s="1467"/>
      <c r="AO5" s="1468"/>
      <c r="AP5" s="732"/>
      <c r="AQ5" s="724"/>
      <c r="AR5" s="724"/>
      <c r="AS5" s="724"/>
      <c r="AT5" s="724"/>
      <c r="AU5" s="724"/>
      <c r="AV5" s="724"/>
      <c r="AW5" s="724"/>
      <c r="AX5" s="724"/>
      <c r="AY5" s="724"/>
      <c r="AZ5" s="724"/>
      <c r="BA5" s="724"/>
      <c r="BB5" s="724"/>
      <c r="BC5" s="725"/>
    </row>
    <row r="6" spans="1:56">
      <c r="A6" s="723"/>
      <c r="B6" s="724"/>
      <c r="C6" s="724"/>
      <c r="D6" s="724"/>
      <c r="E6" s="724"/>
      <c r="F6" s="724"/>
      <c r="G6" s="724"/>
      <c r="H6" s="724"/>
      <c r="I6" s="724"/>
      <c r="J6" s="724"/>
      <c r="K6" s="724"/>
      <c r="L6" s="724"/>
      <c r="M6" s="724"/>
      <c r="N6" s="724"/>
      <c r="O6" s="727"/>
      <c r="P6" s="733" t="s">
        <v>12</v>
      </c>
      <c r="Q6" s="734"/>
      <c r="R6" s="734"/>
      <c r="S6" s="734"/>
      <c r="T6" s="735"/>
      <c r="U6" s="1460">
        <f>Design!U6</f>
        <v>0</v>
      </c>
      <c r="V6" s="1461"/>
      <c r="W6" s="1461"/>
      <c r="X6" s="1461"/>
      <c r="Y6" s="1461"/>
      <c r="Z6" s="1461"/>
      <c r="AA6" s="1461"/>
      <c r="AB6" s="1461"/>
      <c r="AC6" s="1461"/>
      <c r="AD6" s="1461"/>
      <c r="AE6" s="1461"/>
      <c r="AF6" s="1462"/>
      <c r="AG6" s="736" t="s">
        <v>13</v>
      </c>
      <c r="AH6" s="734"/>
      <c r="AI6" s="734"/>
      <c r="AJ6" s="735"/>
      <c r="AK6" s="1463">
        <f>Design!AK6</f>
        <v>0</v>
      </c>
      <c r="AL6" s="1464"/>
      <c r="AM6" s="1464"/>
      <c r="AN6" s="1464"/>
      <c r="AO6" s="1465"/>
      <c r="AP6" s="732"/>
      <c r="AQ6" s="724"/>
      <c r="AR6" s="724"/>
      <c r="AS6" s="724"/>
      <c r="AT6" s="724"/>
      <c r="AU6" s="724"/>
      <c r="AV6" s="724"/>
      <c r="AW6" s="724"/>
      <c r="AX6" s="724"/>
      <c r="AY6" s="724"/>
      <c r="AZ6" s="724"/>
      <c r="BA6" s="724"/>
      <c r="BB6" s="724"/>
      <c r="BC6" s="725"/>
    </row>
    <row r="7" spans="1:56">
      <c r="A7" s="723"/>
      <c r="B7" s="724"/>
      <c r="C7" s="724"/>
      <c r="D7" s="724"/>
      <c r="E7" s="724"/>
      <c r="F7" s="724"/>
      <c r="G7" s="724"/>
      <c r="H7" s="724"/>
      <c r="I7" s="724"/>
      <c r="J7" s="724"/>
      <c r="K7" s="724"/>
      <c r="L7" s="724"/>
      <c r="M7" s="724"/>
      <c r="N7" s="724"/>
      <c r="O7" s="727"/>
      <c r="P7" s="733" t="s">
        <v>14</v>
      </c>
      <c r="Q7" s="734"/>
      <c r="R7" s="734"/>
      <c r="S7" s="734"/>
      <c r="T7" s="735"/>
      <c r="U7" s="1460">
        <f>Design!U7</f>
        <v>0</v>
      </c>
      <c r="V7" s="1461"/>
      <c r="W7" s="1461"/>
      <c r="X7" s="1461"/>
      <c r="Y7" s="1461"/>
      <c r="Z7" s="1461"/>
      <c r="AA7" s="1461"/>
      <c r="AB7" s="1461"/>
      <c r="AC7" s="1461"/>
      <c r="AD7" s="1461"/>
      <c r="AE7" s="1461"/>
      <c r="AF7" s="1462"/>
      <c r="AG7" s="737" t="s">
        <v>15</v>
      </c>
      <c r="AH7" s="738"/>
      <c r="AI7" s="738"/>
      <c r="AJ7" s="739"/>
      <c r="AK7" s="1466">
        <f>Design!AK7</f>
        <v>0</v>
      </c>
      <c r="AL7" s="1467"/>
      <c r="AM7" s="1467"/>
      <c r="AN7" s="1467"/>
      <c r="AO7" s="1468"/>
      <c r="AP7" s="732"/>
      <c r="AQ7" s="724"/>
      <c r="AR7" s="724"/>
      <c r="AS7" s="724"/>
      <c r="AT7" s="724"/>
      <c r="AU7" s="724"/>
      <c r="AV7" s="724"/>
      <c r="AW7" s="724"/>
      <c r="AX7" s="724"/>
      <c r="AY7" s="724"/>
      <c r="AZ7" s="724"/>
      <c r="BA7" s="724"/>
      <c r="BB7" s="724"/>
      <c r="BC7" s="725"/>
    </row>
    <row r="8" spans="1:56" ht="15.75" thickBot="1">
      <c r="A8" s="723"/>
      <c r="B8" s="740"/>
      <c r="C8" s="741"/>
      <c r="D8" s="741"/>
      <c r="E8" s="741"/>
      <c r="F8" s="741"/>
      <c r="G8" s="741"/>
      <c r="H8" s="741"/>
      <c r="I8" s="741"/>
      <c r="J8" s="741"/>
      <c r="K8" s="741"/>
      <c r="L8" s="741"/>
      <c r="M8" s="741"/>
      <c r="N8" s="741"/>
      <c r="O8" s="742"/>
      <c r="P8" s="743" t="s">
        <v>16</v>
      </c>
      <c r="Q8" s="744"/>
      <c r="R8" s="744"/>
      <c r="S8" s="744"/>
      <c r="T8" s="745"/>
      <c r="U8" s="1469">
        <f>Design!U8</f>
        <v>0</v>
      </c>
      <c r="V8" s="1470"/>
      <c r="W8" s="1470"/>
      <c r="X8" s="1470"/>
      <c r="Y8" s="1470"/>
      <c r="Z8" s="1470"/>
      <c r="AA8" s="1470"/>
      <c r="AB8" s="1470"/>
      <c r="AC8" s="1470"/>
      <c r="AD8" s="1470"/>
      <c r="AE8" s="1470"/>
      <c r="AF8" s="1471"/>
      <c r="AG8" s="746" t="s">
        <v>17</v>
      </c>
      <c r="AH8" s="744"/>
      <c r="AI8" s="744"/>
      <c r="AJ8" s="745"/>
      <c r="AK8" s="1472">
        <v>1</v>
      </c>
      <c r="AL8" s="1473"/>
      <c r="AM8" s="747" t="s">
        <v>18</v>
      </c>
      <c r="AN8" s="1472">
        <v>1</v>
      </c>
      <c r="AO8" s="1474"/>
      <c r="AP8" s="740"/>
      <c r="AQ8" s="741"/>
      <c r="AR8" s="741"/>
      <c r="AS8" s="741"/>
      <c r="AT8" s="741"/>
      <c r="AU8" s="741"/>
      <c r="AV8" s="741"/>
      <c r="AW8" s="741"/>
      <c r="AX8" s="741"/>
      <c r="AY8" s="741"/>
      <c r="AZ8" s="741"/>
      <c r="BA8" s="741"/>
      <c r="BB8" s="741"/>
      <c r="BC8" s="742"/>
    </row>
    <row r="9" spans="1:56" ht="15.75" thickBot="1">
      <c r="A9" s="723"/>
      <c r="B9" s="831">
        <v>1</v>
      </c>
      <c r="C9" s="1457" t="s">
        <v>327</v>
      </c>
      <c r="D9" s="1458"/>
      <c r="E9" s="1458"/>
      <c r="F9" s="1458"/>
      <c r="G9" s="1458"/>
      <c r="H9" s="1458"/>
      <c r="I9" s="1458"/>
      <c r="J9" s="1458"/>
      <c r="K9" s="1458"/>
      <c r="L9" s="1458"/>
      <c r="M9" s="1458"/>
      <c r="N9" s="1458"/>
      <c r="O9" s="1458"/>
      <c r="P9" s="1458"/>
      <c r="Q9" s="1458"/>
      <c r="R9" s="1458"/>
      <c r="S9" s="1458"/>
      <c r="T9" s="1458"/>
      <c r="U9" s="1458"/>
      <c r="V9" s="1458"/>
      <c r="W9" s="1458"/>
      <c r="X9" s="1458"/>
      <c r="Y9" s="1458"/>
      <c r="Z9" s="1458"/>
      <c r="AA9" s="1458"/>
      <c r="AB9" s="1458"/>
      <c r="AC9" s="1457" t="s">
        <v>64</v>
      </c>
      <c r="AD9" s="1458"/>
      <c r="AE9" s="1458"/>
      <c r="AF9" s="1458"/>
      <c r="AG9" s="1458"/>
      <c r="AH9" s="1458"/>
      <c r="AI9" s="1458"/>
      <c r="AJ9" s="1458"/>
      <c r="AK9" s="1458"/>
      <c r="AL9" s="1458"/>
      <c r="AM9" s="1458"/>
      <c r="AN9" s="1458"/>
      <c r="AO9" s="1458"/>
      <c r="AP9" s="1458"/>
      <c r="AQ9" s="1458"/>
      <c r="AR9" s="1458"/>
      <c r="AS9" s="1458"/>
      <c r="AT9" s="1458"/>
      <c r="AU9" s="1458"/>
      <c r="AV9" s="1458"/>
      <c r="AW9" s="1458"/>
      <c r="AX9" s="1458"/>
      <c r="AY9" s="1458"/>
      <c r="AZ9" s="1458"/>
      <c r="BA9" s="1458"/>
      <c r="BB9" s="1458"/>
      <c r="BC9" s="1459"/>
      <c r="BD9" s="751"/>
    </row>
    <row r="10" spans="1:56">
      <c r="A10" s="723"/>
      <c r="B10" s="832">
        <v>2</v>
      </c>
      <c r="C10" s="782" t="s">
        <v>226</v>
      </c>
      <c r="D10" s="754"/>
      <c r="E10" s="754"/>
      <c r="F10" s="754"/>
      <c r="G10" s="754"/>
      <c r="H10" s="754"/>
      <c r="I10" s="754"/>
      <c r="J10" s="779"/>
      <c r="K10" s="778"/>
      <c r="L10" s="792"/>
      <c r="M10" s="1343" t="s">
        <v>227</v>
      </c>
      <c r="N10" s="1344"/>
      <c r="O10" s="1344"/>
      <c r="P10" s="1344"/>
      <c r="Q10" s="1344"/>
      <c r="R10" s="1344"/>
      <c r="S10" s="1344"/>
      <c r="T10" s="1344"/>
      <c r="U10" s="1344"/>
      <c r="V10" s="1344"/>
      <c r="W10" s="1344"/>
      <c r="X10" s="793"/>
      <c r="Y10" s="793"/>
      <c r="Z10" s="793"/>
      <c r="AA10" s="778"/>
      <c r="AB10" s="755"/>
      <c r="AC10" s="754"/>
      <c r="AD10" s="814"/>
      <c r="AE10" s="814"/>
      <c r="AF10" s="754"/>
      <c r="AG10" s="754"/>
      <c r="AH10" s="815" t="s">
        <v>228</v>
      </c>
      <c r="AI10" s="724" t="s">
        <v>99</v>
      </c>
      <c r="AJ10" s="724" t="s">
        <v>229</v>
      </c>
      <c r="AK10" s="724"/>
      <c r="AL10" s="724"/>
      <c r="AM10" s="724"/>
      <c r="AN10" s="724"/>
      <c r="AO10" s="724"/>
      <c r="AP10" s="724"/>
      <c r="AQ10" s="724"/>
      <c r="AR10" s="724"/>
      <c r="AS10" s="724"/>
      <c r="AT10" s="816" t="s">
        <v>99</v>
      </c>
      <c r="AU10" s="1333" t="e">
        <f ca="1">(M23*M16)/(6*M21)</f>
        <v>#DIV/0!</v>
      </c>
      <c r="AV10" s="1333"/>
      <c r="AW10" s="1333"/>
      <c r="AX10" s="754" t="s">
        <v>92</v>
      </c>
      <c r="AY10" s="780"/>
      <c r="AZ10" s="780"/>
      <c r="BA10" s="780"/>
      <c r="BB10" s="781"/>
      <c r="BC10" s="725"/>
    </row>
    <row r="11" spans="1:56">
      <c r="A11" s="723"/>
      <c r="B11" s="832">
        <v>3</v>
      </c>
      <c r="C11" s="756" t="s">
        <v>230</v>
      </c>
      <c r="D11" s="817"/>
      <c r="E11" s="817"/>
      <c r="F11" s="817"/>
      <c r="G11" s="817"/>
      <c r="H11" s="817"/>
      <c r="I11" s="817"/>
      <c r="J11" s="817"/>
      <c r="K11" s="817"/>
      <c r="L11" s="758"/>
      <c r="M11" s="1345" t="e">
        <f>INDEX(List!BT3:BX9,MATCH(M14,List!BT3:BT9,0),MATCH(M10,List!BT3:BX3,0),1)</f>
        <v>#N/A</v>
      </c>
      <c r="N11" s="1327"/>
      <c r="O11" s="1327"/>
      <c r="P11" s="1327"/>
      <c r="Q11" s="1327"/>
      <c r="R11" s="1327"/>
      <c r="S11" s="1327"/>
      <c r="T11" s="1327"/>
      <c r="U11" s="1327"/>
      <c r="V11" s="1327"/>
      <c r="W11" s="1327"/>
      <c r="X11" s="818"/>
      <c r="Y11" s="818"/>
      <c r="Z11" s="818"/>
      <c r="AA11" s="819"/>
      <c r="AB11" s="758"/>
      <c r="AC11" s="757"/>
      <c r="AD11" s="757"/>
      <c r="AE11" s="757"/>
      <c r="AF11" s="757"/>
      <c r="AG11" s="757"/>
      <c r="AH11" s="757" t="s">
        <v>231</v>
      </c>
      <c r="AI11" s="757" t="s">
        <v>99</v>
      </c>
      <c r="AJ11" s="757" t="s">
        <v>232</v>
      </c>
      <c r="AK11" s="757"/>
      <c r="AL11" s="757"/>
      <c r="AM11" s="757"/>
      <c r="AN11" s="757"/>
      <c r="AO11" s="757"/>
      <c r="AP11" s="757"/>
      <c r="AQ11" s="757"/>
      <c r="AR11" s="757"/>
      <c r="AS11" s="757"/>
      <c r="AT11" s="757" t="s">
        <v>99</v>
      </c>
      <c r="AU11" s="1328" t="e">
        <f ca="1">((M17+(M22*M25))*M21)+AU10</f>
        <v>#NAME?</v>
      </c>
      <c r="AV11" s="1328"/>
      <c r="AW11" s="1328"/>
      <c r="AX11" s="820" t="s">
        <v>92</v>
      </c>
      <c r="AY11" s="821"/>
      <c r="AZ11" s="821"/>
      <c r="BA11" s="821"/>
      <c r="BB11" s="822"/>
      <c r="BC11" s="725"/>
    </row>
    <row r="12" spans="1:56">
      <c r="A12" s="723"/>
      <c r="B12" s="833">
        <v>4</v>
      </c>
      <c r="C12" s="756" t="s">
        <v>233</v>
      </c>
      <c r="D12" s="757"/>
      <c r="E12" s="757"/>
      <c r="F12" s="757"/>
      <c r="G12" s="757"/>
      <c r="H12" s="757"/>
      <c r="I12" s="757"/>
      <c r="J12" s="757"/>
      <c r="K12" s="757"/>
      <c r="L12" s="758"/>
      <c r="M12" s="1341">
        <v>30000</v>
      </c>
      <c r="N12" s="1342"/>
      <c r="O12" s="1342"/>
      <c r="P12" s="823" t="s">
        <v>234</v>
      </c>
      <c r="Q12" s="757"/>
      <c r="R12" s="762"/>
      <c r="S12" s="757"/>
      <c r="T12" s="757"/>
      <c r="U12" s="757"/>
      <c r="V12" s="757"/>
      <c r="W12" s="757"/>
      <c r="X12" s="757"/>
      <c r="Y12" s="757"/>
      <c r="Z12" s="757"/>
      <c r="AA12" s="757"/>
      <c r="AB12" s="758"/>
      <c r="AC12" s="757"/>
      <c r="AD12" s="757"/>
      <c r="AE12" s="757"/>
      <c r="AF12" s="757"/>
      <c r="AG12" s="757"/>
      <c r="AH12" s="757"/>
      <c r="AI12" s="757"/>
      <c r="AJ12" s="757"/>
      <c r="AK12" s="757"/>
      <c r="AL12" s="757"/>
      <c r="AM12" s="757"/>
      <c r="AN12" s="757"/>
      <c r="AO12" s="757"/>
      <c r="AP12" s="757"/>
      <c r="AQ12" s="757"/>
      <c r="AR12" s="757"/>
      <c r="AS12" s="757"/>
      <c r="AT12" s="757"/>
      <c r="AU12" s="1331"/>
      <c r="AV12" s="1331"/>
      <c r="AW12" s="1331"/>
      <c r="AX12" s="757"/>
      <c r="AY12" s="757"/>
      <c r="AZ12" s="757"/>
      <c r="BA12" s="757"/>
      <c r="BB12" s="758"/>
      <c r="BC12" s="799"/>
    </row>
    <row r="13" spans="1:56">
      <c r="A13" s="723"/>
      <c r="B13" s="834">
        <v>5</v>
      </c>
      <c r="C13" s="761" t="s">
        <v>237</v>
      </c>
      <c r="D13" s="757"/>
      <c r="E13" s="757"/>
      <c r="F13" s="757"/>
      <c r="G13" s="757"/>
      <c r="H13" s="757"/>
      <c r="I13" s="757"/>
      <c r="J13" s="757"/>
      <c r="K13" s="757"/>
      <c r="L13" s="758"/>
      <c r="M13" s="1341">
        <v>900</v>
      </c>
      <c r="N13" s="1342"/>
      <c r="O13" s="1342"/>
      <c r="P13" s="823" t="s">
        <v>92</v>
      </c>
      <c r="Q13" s="757"/>
      <c r="R13" s="762"/>
      <c r="S13" s="757"/>
      <c r="T13" s="757"/>
      <c r="U13" s="757"/>
      <c r="V13" s="757"/>
      <c r="W13" s="757"/>
      <c r="X13" s="757"/>
      <c r="Y13" s="757"/>
      <c r="Z13" s="757"/>
      <c r="AA13" s="757"/>
      <c r="AB13" s="758"/>
      <c r="AC13" s="757"/>
      <c r="AD13" s="757"/>
      <c r="AE13" s="757"/>
      <c r="AF13" s="757"/>
      <c r="AG13" s="757"/>
      <c r="AH13" s="757"/>
      <c r="AI13" s="757"/>
      <c r="AJ13" s="757"/>
      <c r="AK13" s="757"/>
      <c r="AL13" s="757"/>
      <c r="AM13" s="757"/>
      <c r="AN13" s="757"/>
      <c r="AO13" s="757"/>
      <c r="AP13" s="757"/>
      <c r="AQ13" s="757"/>
      <c r="AR13" s="757"/>
      <c r="AS13" s="757"/>
      <c r="AT13" s="757"/>
      <c r="AU13" s="1331"/>
      <c r="AV13" s="1331"/>
      <c r="AW13" s="1331"/>
      <c r="AX13" s="757"/>
      <c r="AY13" s="757"/>
      <c r="AZ13" s="757"/>
      <c r="BA13" s="757"/>
      <c r="BB13" s="758"/>
      <c r="BC13" s="799"/>
    </row>
    <row r="14" spans="1:56">
      <c r="A14" s="723"/>
      <c r="B14" s="834">
        <v>6</v>
      </c>
      <c r="C14" s="835" t="s">
        <v>51</v>
      </c>
      <c r="D14" s="817"/>
      <c r="E14" s="817"/>
      <c r="F14" s="817"/>
      <c r="G14" s="817"/>
      <c r="H14" s="817"/>
      <c r="I14" s="817"/>
      <c r="J14" s="817"/>
      <c r="K14" s="817"/>
      <c r="L14" s="827"/>
      <c r="M14" s="1345">
        <f>Design!M23</f>
        <v>0</v>
      </c>
      <c r="N14" s="1327"/>
      <c r="O14" s="1327"/>
      <c r="P14" s="836" t="s">
        <v>30</v>
      </c>
      <c r="Q14" s="817"/>
      <c r="R14" s="820"/>
      <c r="S14" s="817"/>
      <c r="T14" s="817"/>
      <c r="U14" s="817"/>
      <c r="V14" s="817"/>
      <c r="W14" s="817"/>
      <c r="X14" s="817"/>
      <c r="Y14" s="817"/>
      <c r="Z14" s="817"/>
      <c r="AA14" s="817"/>
      <c r="AB14" s="758"/>
      <c r="AC14" s="817"/>
      <c r="AD14" s="817"/>
      <c r="AE14" s="817"/>
      <c r="AF14" s="817"/>
      <c r="AG14" s="817"/>
      <c r="AH14" s="817"/>
      <c r="AI14" s="817"/>
      <c r="AJ14" s="817"/>
      <c r="AK14" s="817"/>
      <c r="AL14" s="817"/>
      <c r="AM14" s="817"/>
      <c r="AN14" s="817"/>
      <c r="AO14" s="817"/>
      <c r="AP14" s="757"/>
      <c r="AQ14" s="757"/>
      <c r="AR14" s="757"/>
      <c r="AS14" s="757"/>
      <c r="AT14" s="757"/>
      <c r="AU14" s="1327"/>
      <c r="AV14" s="1327"/>
      <c r="AW14" s="1327"/>
      <c r="AX14" s="757"/>
      <c r="AY14" s="757"/>
      <c r="AZ14" s="757"/>
      <c r="BA14" s="757"/>
      <c r="BB14" s="758"/>
      <c r="BC14" s="799"/>
    </row>
    <row r="15" spans="1:56">
      <c r="A15" s="723"/>
      <c r="B15" s="832">
        <v>7</v>
      </c>
      <c r="C15" s="761" t="s">
        <v>328</v>
      </c>
      <c r="D15" s="757"/>
      <c r="E15" s="757"/>
      <c r="F15" s="757"/>
      <c r="G15" s="757"/>
      <c r="H15" s="757"/>
      <c r="I15" s="757"/>
      <c r="J15" s="757"/>
      <c r="K15" s="757"/>
      <c r="L15" s="758"/>
      <c r="M15" s="1345">
        <f>Design!M21</f>
        <v>0</v>
      </c>
      <c r="N15" s="1327"/>
      <c r="O15" s="1327"/>
      <c r="P15" s="823" t="s">
        <v>47</v>
      </c>
      <c r="Q15" s="757"/>
      <c r="R15" s="762"/>
      <c r="S15" s="757"/>
      <c r="T15" s="757"/>
      <c r="U15" s="757"/>
      <c r="V15" s="757"/>
      <c r="W15" s="757"/>
      <c r="X15" s="757"/>
      <c r="Y15" s="757"/>
      <c r="Z15" s="757"/>
      <c r="AA15" s="757"/>
      <c r="AB15" s="758"/>
      <c r="AC15" s="757"/>
      <c r="AD15" s="757"/>
      <c r="AE15" s="757"/>
      <c r="AF15" s="757"/>
      <c r="AG15" s="757"/>
      <c r="AH15" s="802" t="s">
        <v>243</v>
      </c>
      <c r="AI15" s="757" t="s">
        <v>99</v>
      </c>
      <c r="AJ15" s="757" t="s">
        <v>244</v>
      </c>
      <c r="AK15" s="757"/>
      <c r="AL15" s="757"/>
      <c r="AM15" s="757"/>
      <c r="AN15" s="757"/>
      <c r="AO15" s="757"/>
      <c r="AP15" s="757"/>
      <c r="AQ15" s="757"/>
      <c r="AR15" s="757"/>
      <c r="AS15" s="757"/>
      <c r="AT15" s="757" t="s">
        <v>99</v>
      </c>
      <c r="AU15" s="1338" t="e">
        <f ca="1">AU11/M13</f>
        <v>#NAME?</v>
      </c>
      <c r="AV15" s="1338"/>
      <c r="AW15" s="1338"/>
      <c r="AX15" s="757"/>
      <c r="AY15" s="757"/>
      <c r="AZ15" s="757"/>
      <c r="BA15" s="757"/>
      <c r="BB15" s="758"/>
      <c r="BC15" s="799"/>
    </row>
    <row r="16" spans="1:56">
      <c r="A16" s="723"/>
      <c r="B16" s="832">
        <v>8</v>
      </c>
      <c r="C16" s="761" t="s">
        <v>329</v>
      </c>
      <c r="D16" s="757"/>
      <c r="E16" s="757"/>
      <c r="F16" s="757"/>
      <c r="G16" s="757"/>
      <c r="H16" s="757"/>
      <c r="I16" s="757"/>
      <c r="J16" s="757"/>
      <c r="K16" s="757"/>
      <c r="L16" s="758"/>
      <c r="M16" s="1337" t="e">
        <f ca="1">Design!AU51</f>
        <v>#DIV/0!</v>
      </c>
      <c r="N16" s="1327"/>
      <c r="O16" s="1327"/>
      <c r="P16" s="823" t="s">
        <v>92</v>
      </c>
      <c r="Q16" s="757"/>
      <c r="R16" s="762"/>
      <c r="S16" s="757"/>
      <c r="T16" s="757"/>
      <c r="U16" s="757"/>
      <c r="V16" s="757"/>
      <c r="W16" s="757"/>
      <c r="X16" s="757"/>
      <c r="Y16" s="757"/>
      <c r="Z16" s="757"/>
      <c r="AA16" s="757"/>
      <c r="AB16" s="758"/>
      <c r="AC16" s="757"/>
      <c r="AD16" s="757"/>
      <c r="AE16" s="757"/>
      <c r="AF16" s="757"/>
      <c r="AG16" s="757"/>
      <c r="AH16" s="757" t="s">
        <v>246</v>
      </c>
      <c r="AI16" s="757" t="s">
        <v>99</v>
      </c>
      <c r="AJ16" s="757" t="s">
        <v>247</v>
      </c>
      <c r="AK16" s="757"/>
      <c r="AL16" s="757"/>
      <c r="AM16" s="757"/>
      <c r="AN16" s="757"/>
      <c r="AO16" s="757"/>
      <c r="AP16" s="757"/>
      <c r="AQ16" s="757"/>
      <c r="AR16" s="757"/>
      <c r="AS16" s="757"/>
      <c r="AT16" s="757" t="s">
        <v>99</v>
      </c>
      <c r="AU16" s="1327">
        <v>10</v>
      </c>
      <c r="AV16" s="1327"/>
      <c r="AW16" s="1327"/>
      <c r="AX16" s="757"/>
      <c r="AY16" s="757"/>
      <c r="AZ16" s="757"/>
      <c r="BA16" s="757"/>
      <c r="BB16" s="758"/>
      <c r="BC16" s="799"/>
    </row>
    <row r="17" spans="1:55">
      <c r="A17" s="723"/>
      <c r="B17" s="832">
        <v>9</v>
      </c>
      <c r="C17" s="761" t="s">
        <v>72</v>
      </c>
      <c r="D17" s="757"/>
      <c r="E17" s="757"/>
      <c r="F17" s="757"/>
      <c r="G17" s="757"/>
      <c r="H17" s="757"/>
      <c r="I17" s="757"/>
      <c r="J17" s="757"/>
      <c r="K17" s="757"/>
      <c r="L17" s="758"/>
      <c r="M17" s="1337" t="e">
        <f>Design!M30</f>
        <v>#NAME?</v>
      </c>
      <c r="N17" s="1331"/>
      <c r="O17" s="1331"/>
      <c r="P17" s="823" t="s">
        <v>73</v>
      </c>
      <c r="Q17" s="757"/>
      <c r="R17" s="762"/>
      <c r="S17" s="757"/>
      <c r="T17" s="757"/>
      <c r="U17" s="757"/>
      <c r="V17" s="757"/>
      <c r="W17" s="757"/>
      <c r="X17" s="757"/>
      <c r="Y17" s="757"/>
      <c r="Z17" s="757"/>
      <c r="AA17" s="757"/>
      <c r="AB17" s="758"/>
      <c r="AC17" s="757"/>
      <c r="AD17" s="757"/>
      <c r="AE17" s="757"/>
      <c r="AF17" s="757"/>
      <c r="AG17" s="757"/>
      <c r="AH17" s="802" t="s">
        <v>249</v>
      </c>
      <c r="AI17" s="757" t="s">
        <v>99</v>
      </c>
      <c r="AJ17" s="757" t="s">
        <v>250</v>
      </c>
      <c r="AK17" s="757"/>
      <c r="AL17" s="757"/>
      <c r="AM17" s="757"/>
      <c r="AN17" s="757"/>
      <c r="AO17" s="757"/>
      <c r="AP17" s="817"/>
      <c r="AQ17" s="817"/>
      <c r="AR17" s="817"/>
      <c r="AS17" s="817"/>
      <c r="AT17" s="817" t="s">
        <v>99</v>
      </c>
      <c r="AU17" s="1327">
        <v>10</v>
      </c>
      <c r="AV17" s="1327"/>
      <c r="AW17" s="1327"/>
      <c r="AX17" s="817"/>
      <c r="AY17" s="817"/>
      <c r="AZ17" s="817"/>
      <c r="BA17" s="817"/>
      <c r="BB17" s="827"/>
      <c r="BC17" s="799"/>
    </row>
    <row r="18" spans="1:55">
      <c r="A18" s="723"/>
      <c r="B18" s="832">
        <v>10</v>
      </c>
      <c r="C18" s="761" t="s">
        <v>330</v>
      </c>
      <c r="D18" s="757"/>
      <c r="E18" s="757"/>
      <c r="F18" s="757"/>
      <c r="G18" s="757"/>
      <c r="H18" s="757"/>
      <c r="I18" s="757"/>
      <c r="J18" s="757"/>
      <c r="K18" s="757"/>
      <c r="L18" s="758"/>
      <c r="M18" s="1337">
        <f>Design!M19</f>
        <v>0</v>
      </c>
      <c r="N18" s="1327"/>
      <c r="O18" s="1327"/>
      <c r="P18" s="823" t="s">
        <v>39</v>
      </c>
      <c r="Q18" s="757"/>
      <c r="R18" s="762"/>
      <c r="S18" s="757"/>
      <c r="T18" s="757"/>
      <c r="U18" s="757"/>
      <c r="V18" s="757"/>
      <c r="W18" s="757"/>
      <c r="X18" s="757"/>
      <c r="Y18" s="757"/>
      <c r="Z18" s="757"/>
      <c r="AA18" s="757"/>
      <c r="AB18" s="758"/>
      <c r="AC18" s="817"/>
      <c r="AD18" s="817"/>
      <c r="AE18" s="817"/>
      <c r="AF18" s="817"/>
      <c r="AG18" s="817"/>
      <c r="AH18" s="802" t="s">
        <v>252</v>
      </c>
      <c r="AI18" s="757" t="s">
        <v>99</v>
      </c>
      <c r="AJ18" s="817" t="s">
        <v>253</v>
      </c>
      <c r="AK18" s="817"/>
      <c r="AL18" s="817"/>
      <c r="AM18" s="817"/>
      <c r="AN18" s="817"/>
      <c r="AO18" s="817"/>
      <c r="AP18" s="757"/>
      <c r="AQ18" s="757"/>
      <c r="AR18" s="757"/>
      <c r="AS18" s="757"/>
      <c r="AT18" s="757" t="s">
        <v>99</v>
      </c>
      <c r="AU18" s="1327" t="e">
        <f>VLOOKUP(M19,List!AJ3:AK4,2,FALSE)</f>
        <v>#N/A</v>
      </c>
      <c r="AV18" s="1327"/>
      <c r="AW18" s="1327"/>
      <c r="AX18" s="757"/>
      <c r="AY18" s="757"/>
      <c r="AZ18" s="757"/>
      <c r="BA18" s="757"/>
      <c r="BB18" s="758"/>
      <c r="BC18" s="799"/>
    </row>
    <row r="19" spans="1:55">
      <c r="A19" s="723"/>
      <c r="B19" s="832">
        <v>11</v>
      </c>
      <c r="C19" s="761" t="s">
        <v>331</v>
      </c>
      <c r="D19" s="757"/>
      <c r="E19" s="757"/>
      <c r="F19" s="757"/>
      <c r="G19" s="757"/>
      <c r="H19" s="757"/>
      <c r="I19" s="757"/>
      <c r="J19" s="757"/>
      <c r="K19" s="757"/>
      <c r="L19" s="758"/>
      <c r="M19" s="1337">
        <f>Design!M36</f>
        <v>0</v>
      </c>
      <c r="N19" s="1331"/>
      <c r="O19" s="1331"/>
      <c r="P19" s="823" t="s">
        <v>30</v>
      </c>
      <c r="Q19" s="757"/>
      <c r="R19" s="762"/>
      <c r="S19" s="757"/>
      <c r="T19" s="757"/>
      <c r="U19" s="757"/>
      <c r="V19" s="757"/>
      <c r="W19" s="757"/>
      <c r="X19" s="757"/>
      <c r="Y19" s="757"/>
      <c r="Z19" s="757"/>
      <c r="AA19" s="757"/>
      <c r="AB19" s="758"/>
      <c r="AC19" s="757"/>
      <c r="AD19" s="757"/>
      <c r="AE19" s="757"/>
      <c r="AF19" s="757"/>
      <c r="AG19" s="757"/>
      <c r="AH19" s="802" t="s">
        <v>255</v>
      </c>
      <c r="AI19" s="757" t="s">
        <v>99</v>
      </c>
      <c r="AJ19" s="757" t="s">
        <v>256</v>
      </c>
      <c r="AK19" s="757"/>
      <c r="AL19" s="757"/>
      <c r="AM19" s="757"/>
      <c r="AN19" s="757"/>
      <c r="AO19" s="757"/>
      <c r="AP19" s="757"/>
      <c r="AQ19" s="757"/>
      <c r="AR19" s="757"/>
      <c r="AS19" s="757"/>
      <c r="AT19" s="757" t="s">
        <v>99</v>
      </c>
      <c r="AU19" s="1327" t="e">
        <f>M12*AU16*AU17*AU18</f>
        <v>#N/A</v>
      </c>
      <c r="AV19" s="1327"/>
      <c r="AW19" s="1327"/>
      <c r="AX19" s="757" t="s">
        <v>257</v>
      </c>
      <c r="AY19" s="757"/>
      <c r="AZ19" s="757"/>
      <c r="BA19" s="757"/>
      <c r="BB19" s="758"/>
      <c r="BC19" s="799"/>
    </row>
    <row r="20" spans="1:55">
      <c r="A20" s="723"/>
      <c r="B20" s="832">
        <v>12</v>
      </c>
      <c r="C20" s="824" t="s">
        <v>332</v>
      </c>
      <c r="D20" s="812"/>
      <c r="E20" s="812"/>
      <c r="F20" s="812"/>
      <c r="G20" s="812"/>
      <c r="H20" s="812"/>
      <c r="I20" s="812"/>
      <c r="J20" s="812"/>
      <c r="K20" s="812"/>
      <c r="L20" s="813"/>
      <c r="M20" s="1455">
        <f>Design!M32</f>
        <v>0</v>
      </c>
      <c r="N20" s="1456"/>
      <c r="O20" s="1456"/>
      <c r="P20" s="825" t="s">
        <v>58</v>
      </c>
      <c r="Q20" s="812"/>
      <c r="R20" s="826"/>
      <c r="S20" s="812"/>
      <c r="T20" s="812"/>
      <c r="U20" s="812"/>
      <c r="V20" s="812"/>
      <c r="W20" s="812"/>
      <c r="X20" s="812"/>
      <c r="Y20" s="812"/>
      <c r="Z20" s="812"/>
      <c r="AA20" s="812"/>
      <c r="AB20" s="725"/>
      <c r="AC20" s="757"/>
      <c r="AD20" s="757"/>
      <c r="AE20" s="757"/>
      <c r="AF20" s="757"/>
      <c r="AG20" s="757"/>
      <c r="AH20" s="802" t="s">
        <v>259</v>
      </c>
      <c r="AI20" s="757" t="s">
        <v>99</v>
      </c>
      <c r="AJ20" s="757" t="s">
        <v>260</v>
      </c>
      <c r="AK20" s="757"/>
      <c r="AL20" s="757"/>
      <c r="AM20" s="757"/>
      <c r="AN20" s="757"/>
      <c r="AO20" s="757"/>
      <c r="AP20" s="812"/>
      <c r="AQ20" s="812"/>
      <c r="AR20" s="812"/>
      <c r="AS20" s="812"/>
      <c r="AT20" s="812" t="s">
        <v>99</v>
      </c>
      <c r="AU20" s="1327">
        <v>0.32</v>
      </c>
      <c r="AV20" s="1327"/>
      <c r="AW20" s="1327"/>
      <c r="AX20" s="812"/>
      <c r="AY20" s="812"/>
      <c r="AZ20" s="812"/>
      <c r="BA20" s="812"/>
      <c r="BB20" s="813"/>
      <c r="BC20" s="799"/>
    </row>
    <row r="21" spans="1:55">
      <c r="A21" s="723"/>
      <c r="B21" s="832">
        <v>13</v>
      </c>
      <c r="C21" s="824" t="s">
        <v>245</v>
      </c>
      <c r="D21" s="812"/>
      <c r="E21" s="812"/>
      <c r="F21" s="812"/>
      <c r="G21" s="812"/>
      <c r="H21" s="812"/>
      <c r="I21" s="812"/>
      <c r="J21" s="812"/>
      <c r="K21" s="812"/>
      <c r="L21" s="813"/>
      <c r="M21" s="1453">
        <f>Design!M33</f>
        <v>0</v>
      </c>
      <c r="N21" s="1454"/>
      <c r="O21" s="1454"/>
      <c r="P21" s="825" t="s">
        <v>28</v>
      </c>
      <c r="Q21" s="812"/>
      <c r="R21" s="826"/>
      <c r="S21" s="812"/>
      <c r="T21" s="812"/>
      <c r="U21" s="812"/>
      <c r="V21" s="812"/>
      <c r="W21" s="812"/>
      <c r="X21" s="812"/>
      <c r="Y21" s="812"/>
      <c r="Z21" s="812"/>
      <c r="AA21" s="812"/>
      <c r="AB21" s="813"/>
      <c r="AC21" s="812"/>
      <c r="AD21" s="812"/>
      <c r="AE21" s="812"/>
      <c r="AF21" s="812"/>
      <c r="AG21" s="812"/>
      <c r="AH21" s="802" t="s">
        <v>262</v>
      </c>
      <c r="AI21" s="812" t="s">
        <v>99</v>
      </c>
      <c r="AJ21" s="812" t="s">
        <v>263</v>
      </c>
      <c r="AK21" s="812"/>
      <c r="AL21" s="812"/>
      <c r="AM21" s="812"/>
      <c r="AN21" s="812"/>
      <c r="AO21" s="812"/>
      <c r="AP21" s="812"/>
      <c r="AQ21" s="812"/>
      <c r="AR21" s="812"/>
      <c r="AS21" s="812"/>
      <c r="AT21" s="812" t="s">
        <v>99</v>
      </c>
      <c r="AU21" s="1327">
        <v>0.4</v>
      </c>
      <c r="AV21" s="1327"/>
      <c r="AW21" s="1327"/>
      <c r="AX21" s="812"/>
      <c r="AY21" s="812"/>
      <c r="AZ21" s="812"/>
      <c r="BA21" s="812"/>
      <c r="BB21" s="813"/>
      <c r="BC21" s="799"/>
    </row>
    <row r="22" spans="1:55">
      <c r="A22" s="723"/>
      <c r="B22" s="832">
        <v>14</v>
      </c>
      <c r="C22" s="824" t="s">
        <v>333</v>
      </c>
      <c r="D22" s="812"/>
      <c r="E22" s="812"/>
      <c r="F22" s="812"/>
      <c r="G22" s="812"/>
      <c r="H22" s="812"/>
      <c r="I22" s="812"/>
      <c r="J22" s="812"/>
      <c r="K22" s="812"/>
      <c r="L22" s="813"/>
      <c r="M22" s="1337" t="e">
        <f>Design!P38</f>
        <v>#DIV/0!</v>
      </c>
      <c r="N22" s="1331"/>
      <c r="O22" s="1331"/>
      <c r="P22" s="825" t="s">
        <v>73</v>
      </c>
      <c r="Q22" s="812"/>
      <c r="R22" s="826"/>
      <c r="S22" s="812"/>
      <c r="T22" s="812"/>
      <c r="U22" s="812"/>
      <c r="V22" s="812"/>
      <c r="W22" s="812"/>
      <c r="X22" s="812"/>
      <c r="Y22" s="812"/>
      <c r="Z22" s="812"/>
      <c r="AA22" s="812"/>
      <c r="AB22" s="813"/>
      <c r="AC22" s="812"/>
      <c r="AD22" s="812"/>
      <c r="AE22" s="812"/>
      <c r="AF22" s="812"/>
      <c r="AG22" s="812"/>
      <c r="AH22" s="802" t="s">
        <v>264</v>
      </c>
      <c r="AI22" s="757" t="s">
        <v>99</v>
      </c>
      <c r="AJ22" s="812" t="s">
        <v>265</v>
      </c>
      <c r="AK22" s="812"/>
      <c r="AL22" s="812"/>
      <c r="AM22" s="812"/>
      <c r="AN22" s="812"/>
      <c r="AO22" s="812"/>
      <c r="AP22" s="812"/>
      <c r="AQ22" s="812"/>
      <c r="AR22" s="812"/>
      <c r="AS22" s="812"/>
      <c r="AT22" s="812" t="s">
        <v>99</v>
      </c>
      <c r="AU22" s="1327">
        <v>0.45</v>
      </c>
      <c r="AV22" s="1327"/>
      <c r="AW22" s="1327"/>
      <c r="AX22" s="812"/>
      <c r="AY22" s="812"/>
      <c r="AZ22" s="812"/>
      <c r="BA22" s="812"/>
      <c r="BB22" s="813"/>
      <c r="BC22" s="799"/>
    </row>
    <row r="23" spans="1:55">
      <c r="A23" s="723"/>
      <c r="B23" s="832">
        <v>15</v>
      </c>
      <c r="C23" s="824" t="s">
        <v>240</v>
      </c>
      <c r="D23" s="812"/>
      <c r="E23" s="812"/>
      <c r="F23" s="812"/>
      <c r="G23" s="812"/>
      <c r="H23" s="812"/>
      <c r="I23" s="812"/>
      <c r="J23" s="812"/>
      <c r="K23" s="812"/>
      <c r="L23" s="813"/>
      <c r="M23" s="1337">
        <v>0.25</v>
      </c>
      <c r="N23" s="1331"/>
      <c r="O23" s="1331"/>
      <c r="P23" s="825" t="s">
        <v>30</v>
      </c>
      <c r="Q23" s="812"/>
      <c r="R23" s="826"/>
      <c r="S23" s="812"/>
      <c r="T23" s="812"/>
      <c r="U23" s="812"/>
      <c r="V23" s="812"/>
      <c r="W23" s="812"/>
      <c r="X23" s="812"/>
      <c r="Y23" s="812"/>
      <c r="Z23" s="812"/>
      <c r="AA23" s="812"/>
      <c r="AB23" s="813"/>
      <c r="AC23" s="812"/>
      <c r="AD23" s="812"/>
      <c r="AE23" s="812"/>
      <c r="AF23" s="812"/>
      <c r="AG23" s="812"/>
      <c r="AH23" s="812"/>
      <c r="AI23" s="812"/>
      <c r="AJ23" s="812" t="s">
        <v>266</v>
      </c>
      <c r="AK23" s="812"/>
      <c r="AL23" s="812"/>
      <c r="AM23" s="812"/>
      <c r="AN23" s="812"/>
      <c r="AO23" s="812"/>
      <c r="AP23" s="812"/>
      <c r="AQ23" s="812"/>
      <c r="AR23" s="812"/>
      <c r="AS23" s="812"/>
      <c r="AT23" s="837" t="s">
        <v>99</v>
      </c>
      <c r="AU23" s="1353" t="e">
        <f>AU19*AU22*AU21*AU20</f>
        <v>#N/A</v>
      </c>
      <c r="AV23" s="1353"/>
      <c r="AW23" s="1353"/>
      <c r="AX23" s="812" t="s">
        <v>257</v>
      </c>
      <c r="AY23" s="812"/>
      <c r="AZ23" s="812"/>
      <c r="BA23" s="812"/>
      <c r="BB23" s="813"/>
      <c r="BC23" s="838"/>
    </row>
    <row r="24" spans="1:55">
      <c r="A24" s="723"/>
      <c r="B24" s="832">
        <v>16</v>
      </c>
      <c r="C24" s="824" t="s">
        <v>242</v>
      </c>
      <c r="D24" s="812"/>
      <c r="E24" s="812"/>
      <c r="F24" s="812"/>
      <c r="G24" s="812"/>
      <c r="H24" s="812"/>
      <c r="I24" s="812"/>
      <c r="J24" s="812"/>
      <c r="K24" s="812"/>
      <c r="L24" s="813"/>
      <c r="M24" s="1337" t="e">
        <f>(M15*12)/(PI()*M19)</f>
        <v>#DIV/0!</v>
      </c>
      <c r="N24" s="1331"/>
      <c r="O24" s="1331"/>
      <c r="P24" s="825" t="s">
        <v>172</v>
      </c>
      <c r="Q24" s="812"/>
      <c r="R24" s="826"/>
      <c r="S24" s="812"/>
      <c r="T24" s="812"/>
      <c r="U24" s="812"/>
      <c r="V24" s="812"/>
      <c r="W24" s="812"/>
      <c r="X24" s="812"/>
      <c r="Y24" s="812"/>
      <c r="Z24" s="812"/>
      <c r="AA24" s="812"/>
      <c r="AB24" s="758"/>
      <c r="AC24" s="812"/>
      <c r="AD24" s="812"/>
      <c r="AE24" s="812"/>
      <c r="AF24" s="812"/>
      <c r="AG24" s="812"/>
      <c r="AH24" s="812"/>
      <c r="AI24" s="812"/>
      <c r="AJ24" s="812"/>
      <c r="AK24" s="812"/>
      <c r="AL24" s="812"/>
      <c r="AM24" s="812"/>
      <c r="AN24" s="812"/>
      <c r="AO24" s="812"/>
      <c r="AP24" s="812"/>
      <c r="AQ24" s="812"/>
      <c r="AR24" s="812"/>
      <c r="AS24" s="812"/>
      <c r="AT24" s="812"/>
      <c r="AU24" s="1327"/>
      <c r="AV24" s="1327"/>
      <c r="AW24" s="1327"/>
      <c r="AX24" s="812"/>
      <c r="AY24" s="812"/>
      <c r="AZ24" s="812"/>
      <c r="BA24" s="812"/>
      <c r="BB24" s="813"/>
      <c r="BC24" s="799"/>
    </row>
    <row r="25" spans="1:55">
      <c r="A25" s="723"/>
      <c r="B25" s="832">
        <v>17</v>
      </c>
      <c r="C25" s="824" t="s">
        <v>254</v>
      </c>
      <c r="D25" s="812"/>
      <c r="E25" s="812"/>
      <c r="F25" s="812"/>
      <c r="G25" s="812"/>
      <c r="H25" s="812"/>
      <c r="I25" s="812"/>
      <c r="J25" s="812"/>
      <c r="K25" s="812"/>
      <c r="L25" s="813"/>
      <c r="M25" s="1337">
        <v>1</v>
      </c>
      <c r="N25" s="1331"/>
      <c r="O25" s="1331"/>
      <c r="P25" s="825"/>
      <c r="Q25" s="812"/>
      <c r="R25" s="826"/>
      <c r="S25" s="812"/>
      <c r="T25" s="812"/>
      <c r="U25" s="812"/>
      <c r="V25" s="812"/>
      <c r="W25" s="812"/>
      <c r="X25" s="812"/>
      <c r="Y25" s="812"/>
      <c r="Z25" s="812"/>
      <c r="AA25" s="812"/>
      <c r="AB25" s="725"/>
      <c r="AC25" s="812"/>
      <c r="AD25" s="812"/>
      <c r="AE25" s="812"/>
      <c r="AF25" s="812"/>
      <c r="AG25" s="812"/>
      <c r="AH25" s="812"/>
      <c r="AI25" s="812"/>
      <c r="AJ25" s="812"/>
      <c r="AK25" s="812"/>
      <c r="AL25" s="812"/>
      <c r="AM25" s="812"/>
      <c r="AN25" s="812"/>
      <c r="AO25" s="812"/>
      <c r="AP25" s="812"/>
      <c r="AQ25" s="812"/>
      <c r="AR25" s="812"/>
      <c r="AS25" s="812"/>
      <c r="AT25" s="812"/>
      <c r="AU25" s="1327"/>
      <c r="AV25" s="1327"/>
      <c r="AW25" s="1327"/>
      <c r="AX25" s="812"/>
      <c r="AY25" s="812"/>
      <c r="AZ25" s="812"/>
      <c r="BA25" s="812"/>
      <c r="BB25" s="813"/>
      <c r="BC25" s="799"/>
    </row>
    <row r="26" spans="1:55">
      <c r="A26" s="723"/>
      <c r="B26" s="832">
        <v>18</v>
      </c>
      <c r="C26" s="824"/>
      <c r="D26" s="812"/>
      <c r="E26" s="812"/>
      <c r="F26" s="812"/>
      <c r="G26" s="812"/>
      <c r="H26" s="812"/>
      <c r="I26" s="812"/>
      <c r="J26" s="812"/>
      <c r="K26" s="812"/>
      <c r="L26" s="813"/>
      <c r="M26" s="1337"/>
      <c r="N26" s="1331"/>
      <c r="O26" s="1331"/>
      <c r="P26" s="825"/>
      <c r="Q26" s="812"/>
      <c r="R26" s="826"/>
      <c r="S26" s="812"/>
      <c r="T26" s="812"/>
      <c r="U26" s="812"/>
      <c r="V26" s="812"/>
      <c r="W26" s="812"/>
      <c r="X26" s="812"/>
      <c r="Y26" s="812"/>
      <c r="Z26" s="812"/>
      <c r="AA26" s="812"/>
      <c r="AB26" s="813"/>
      <c r="AC26" s="812"/>
      <c r="AD26" s="812"/>
      <c r="AE26" s="812"/>
      <c r="AF26" s="812"/>
      <c r="AG26" s="812"/>
      <c r="AH26" s="812"/>
      <c r="AI26" s="812"/>
      <c r="AJ26" s="812"/>
      <c r="AK26" s="812"/>
      <c r="AL26" s="812"/>
      <c r="AM26" s="812"/>
      <c r="AN26" s="812"/>
      <c r="AO26" s="812"/>
      <c r="AP26" s="812"/>
      <c r="AQ26" s="812"/>
      <c r="AR26" s="812"/>
      <c r="AS26" s="812"/>
      <c r="AT26" s="812"/>
      <c r="AU26" s="812"/>
      <c r="AV26" s="812"/>
      <c r="AW26" s="812"/>
      <c r="AX26" s="812"/>
      <c r="AY26" s="812"/>
      <c r="AZ26" s="812"/>
      <c r="BA26" s="812"/>
      <c r="BB26" s="813"/>
      <c r="BC26" s="799"/>
    </row>
    <row r="27" spans="1:55" ht="15.75" thickBot="1">
      <c r="A27" s="723"/>
      <c r="B27" s="839">
        <v>19</v>
      </c>
      <c r="C27" s="840"/>
      <c r="D27" s="768"/>
      <c r="E27" s="768"/>
      <c r="F27" s="768"/>
      <c r="G27" s="768"/>
      <c r="H27" s="768"/>
      <c r="I27" s="768"/>
      <c r="J27" s="768"/>
      <c r="K27" s="768"/>
      <c r="L27" s="769"/>
      <c r="M27" s="1452"/>
      <c r="N27" s="1439"/>
      <c r="O27" s="1439"/>
      <c r="P27" s="841"/>
      <c r="Q27" s="768"/>
      <c r="R27" s="829"/>
      <c r="S27" s="768"/>
      <c r="T27" s="768"/>
      <c r="U27" s="768"/>
      <c r="V27" s="768"/>
      <c r="W27" s="768"/>
      <c r="X27" s="768"/>
      <c r="Y27" s="768"/>
      <c r="Z27" s="768"/>
      <c r="AA27" s="768"/>
      <c r="AB27" s="769"/>
      <c r="AC27" s="768"/>
      <c r="AD27" s="768"/>
      <c r="AE27" s="768"/>
      <c r="AF27" s="768"/>
      <c r="AG27" s="768"/>
      <c r="AH27" s="768"/>
      <c r="AI27" s="768"/>
      <c r="AJ27" s="768"/>
      <c r="AK27" s="768"/>
      <c r="AL27" s="768"/>
      <c r="AM27" s="768"/>
      <c r="AN27" s="768"/>
      <c r="AO27" s="768"/>
      <c r="AP27" s="768"/>
      <c r="AQ27" s="768"/>
      <c r="AR27" s="768"/>
      <c r="AS27" s="768"/>
      <c r="AT27" s="768"/>
      <c r="AU27" s="768"/>
      <c r="AV27" s="768"/>
      <c r="AW27" s="768"/>
      <c r="AX27" s="768"/>
      <c r="AY27" s="768"/>
      <c r="AZ27" s="768"/>
      <c r="BA27" s="768"/>
      <c r="BB27" s="769"/>
      <c r="BC27" s="842"/>
    </row>
    <row r="28" spans="1:55">
      <c r="C28" s="843"/>
      <c r="M28" s="803"/>
      <c r="N28" s="803"/>
      <c r="O28" s="803"/>
      <c r="P28" s="844"/>
      <c r="R28" s="845"/>
    </row>
    <row r="29" spans="1:55">
      <c r="C29" s="843"/>
      <c r="M29" s="803"/>
      <c r="N29" s="803"/>
      <c r="O29" s="803"/>
      <c r="P29" s="844"/>
      <c r="R29" s="845"/>
    </row>
  </sheetData>
  <sheetProtection selectLockedCells="1"/>
  <dataConsolidate/>
  <mergeCells count="49">
    <mergeCell ref="P2:AO2"/>
    <mergeCell ref="P3:AO3"/>
    <mergeCell ref="U4:AF4"/>
    <mergeCell ref="AK4:AO4"/>
    <mergeCell ref="U5:AF5"/>
    <mergeCell ref="AK5:AO5"/>
    <mergeCell ref="U6:AF6"/>
    <mergeCell ref="AK6:AO6"/>
    <mergeCell ref="U7:AF7"/>
    <mergeCell ref="AK7:AO7"/>
    <mergeCell ref="U8:AF8"/>
    <mergeCell ref="AK8:AL8"/>
    <mergeCell ref="AN8:AO8"/>
    <mergeCell ref="C9:AB9"/>
    <mergeCell ref="AC9:BC9"/>
    <mergeCell ref="M10:W10"/>
    <mergeCell ref="AU10:AW10"/>
    <mergeCell ref="M11:W11"/>
    <mergeCell ref="AU11:AW11"/>
    <mergeCell ref="M12:O12"/>
    <mergeCell ref="AU12:AW12"/>
    <mergeCell ref="M13:O13"/>
    <mergeCell ref="AU13:AW13"/>
    <mergeCell ref="M14:O14"/>
    <mergeCell ref="AU14:AW14"/>
    <mergeCell ref="M15:O15"/>
    <mergeCell ref="AU15:AW15"/>
    <mergeCell ref="M16:O16"/>
    <mergeCell ref="AU16:AW16"/>
    <mergeCell ref="M17:O17"/>
    <mergeCell ref="AU17:AW17"/>
    <mergeCell ref="M18:O18"/>
    <mergeCell ref="AU18:AW18"/>
    <mergeCell ref="M19:O19"/>
    <mergeCell ref="AU19:AW19"/>
    <mergeCell ref="M20:O20"/>
    <mergeCell ref="AU20:AW20"/>
    <mergeCell ref="M27:O27"/>
    <mergeCell ref="M21:O21"/>
    <mergeCell ref="AU21:AW21"/>
    <mergeCell ref="M22:O22"/>
    <mergeCell ref="AU22:AW22"/>
    <mergeCell ref="M23:O23"/>
    <mergeCell ref="AU23:AW23"/>
    <mergeCell ref="M24:O24"/>
    <mergeCell ref="AU24:AW24"/>
    <mergeCell ref="M25:O25"/>
    <mergeCell ref="AU25:AW25"/>
    <mergeCell ref="M26:O26"/>
  </mergeCells>
  <conditionalFormatting sqref="AU14:AW14">
    <cfRule type="expression" dxfId="193" priority="1">
      <formula>$AU$14="No"</formula>
    </cfRule>
    <cfRule type="expression" dxfId="192" priority="2">
      <formula>$AU$14="Yes"</formula>
    </cfRule>
  </conditionalFormatting>
  <dataValidations count="1">
    <dataValidation type="decimal" allowBlank="1" showInputMessage="1" showErrorMessage="1" errorTitle="Trough Fill" error="Maximum Trough Fill Exceeded" sqref="J10" xr:uid="{D06BB7F9-9CE4-44D7-AE9C-4ABFE0290A77}">
      <formula1>0</formula1>
      <formula2>100</formula2>
    </dataValidation>
  </dataValidations>
  <pageMargins left="0.25" right="0.25" top="0.75" bottom="0.75" header="0.3" footer="0.3"/>
  <pageSetup paperSize="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20F122-F056-4A7D-8164-258BF165D1BC}">
          <x14:formula1>
            <xm:f>List!$BP$14:$BW$14</xm:f>
          </x14:formula1>
          <xm:sqref>M10:W10</xm:sqref>
        </x14:dataValidation>
        <x14:dataValidation type="list" allowBlank="1" showInputMessage="1" showErrorMessage="1" xr:uid="{79A24781-F69A-4D2C-9961-00E793E78493}">
          <x14:formula1>
            <xm:f>List!$B$3:$B$8</xm:f>
          </x14:formula1>
          <xm:sqref>X10:AA10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3113-30A0-4EA2-9BE1-D9EE4839EFA9}">
  <sheetPr codeName="Sheet24">
    <tabColor rgb="FF00B0F0"/>
    <pageSetUpPr fitToPage="1"/>
  </sheetPr>
  <dimension ref="A1:BD47"/>
  <sheetViews>
    <sheetView zoomScaleNormal="100" workbookViewId="0">
      <selection activeCell="AC43" sqref="AC43:AO43"/>
    </sheetView>
  </sheetViews>
  <sheetFormatPr defaultRowHeight="15"/>
  <cols>
    <col min="1" max="56" width="3.7109375" style="716" customWidth="1"/>
    <col min="57" max="16384" width="9.140625" style="716"/>
  </cols>
  <sheetData>
    <row r="1" spans="1:56" ht="15.75" thickBot="1"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  <c r="R1" s="722"/>
      <c r="S1" s="722"/>
      <c r="T1" s="722"/>
      <c r="U1" s="722"/>
      <c r="V1" s="722"/>
      <c r="W1" s="722"/>
      <c r="X1" s="722"/>
      <c r="Y1" s="722"/>
      <c r="Z1" s="722"/>
      <c r="AA1" s="722"/>
      <c r="AB1" s="722"/>
      <c r="AC1" s="722"/>
      <c r="AD1" s="722"/>
      <c r="AE1" s="722"/>
      <c r="AF1" s="722"/>
      <c r="AG1" s="722"/>
      <c r="AH1" s="722"/>
      <c r="AI1" s="722"/>
      <c r="AJ1" s="722"/>
      <c r="AK1" s="722"/>
      <c r="AL1" s="722"/>
      <c r="AM1" s="722"/>
      <c r="AN1" s="722"/>
      <c r="AO1" s="722"/>
      <c r="AP1" s="722"/>
      <c r="AQ1" s="722"/>
      <c r="AR1" s="722"/>
      <c r="AS1" s="722"/>
      <c r="AT1" s="722"/>
      <c r="AU1" s="722"/>
      <c r="AV1" s="722"/>
      <c r="AW1" s="722"/>
      <c r="AX1" s="722"/>
      <c r="AY1" s="722"/>
      <c r="AZ1" s="722"/>
      <c r="BA1" s="722"/>
      <c r="BB1" s="722"/>
      <c r="BC1" s="722"/>
    </row>
    <row r="2" spans="1:56" ht="18.75">
      <c r="A2" s="723"/>
      <c r="B2" s="724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5"/>
      <c r="P2" s="1421" t="s">
        <v>6</v>
      </c>
      <c r="Q2" s="1422"/>
      <c r="R2" s="1422"/>
      <c r="S2" s="1422"/>
      <c r="T2" s="1422"/>
      <c r="U2" s="1422"/>
      <c r="V2" s="1422"/>
      <c r="W2" s="1422"/>
      <c r="X2" s="1422"/>
      <c r="Y2" s="1422"/>
      <c r="Z2" s="1422"/>
      <c r="AA2" s="1422"/>
      <c r="AB2" s="1422"/>
      <c r="AC2" s="1422"/>
      <c r="AD2" s="1422"/>
      <c r="AE2" s="1422"/>
      <c r="AF2" s="1422"/>
      <c r="AG2" s="1422"/>
      <c r="AH2" s="1422"/>
      <c r="AI2" s="1422"/>
      <c r="AJ2" s="1422"/>
      <c r="AK2" s="1422"/>
      <c r="AL2" s="1422"/>
      <c r="AM2" s="1422"/>
      <c r="AN2" s="1422"/>
      <c r="AO2" s="1423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6"/>
    </row>
    <row r="3" spans="1:56" ht="19.5" thickBot="1">
      <c r="A3" s="723"/>
      <c r="B3" s="724"/>
      <c r="C3" s="724"/>
      <c r="D3" s="724"/>
      <c r="E3" s="724"/>
      <c r="F3" s="724"/>
      <c r="G3" s="724"/>
      <c r="H3" s="724"/>
      <c r="I3" s="724"/>
      <c r="J3" s="724"/>
      <c r="K3" s="724"/>
      <c r="L3" s="724"/>
      <c r="M3" s="724"/>
      <c r="N3" s="724"/>
      <c r="O3" s="725"/>
      <c r="P3" s="1424" t="s">
        <v>334</v>
      </c>
      <c r="Q3" s="1425"/>
      <c r="R3" s="1425"/>
      <c r="S3" s="1425"/>
      <c r="T3" s="1425"/>
      <c r="U3" s="1425"/>
      <c r="V3" s="1425"/>
      <c r="W3" s="1425"/>
      <c r="X3" s="1425"/>
      <c r="Y3" s="1425"/>
      <c r="Z3" s="1425"/>
      <c r="AA3" s="1425"/>
      <c r="AB3" s="1425"/>
      <c r="AC3" s="1425"/>
      <c r="AD3" s="1425"/>
      <c r="AE3" s="1425"/>
      <c r="AF3" s="1425"/>
      <c r="AG3" s="1425"/>
      <c r="AH3" s="1425"/>
      <c r="AI3" s="1425"/>
      <c r="AJ3" s="1425"/>
      <c r="AK3" s="1425"/>
      <c r="AL3" s="1425"/>
      <c r="AM3" s="1425"/>
      <c r="AN3" s="1425"/>
      <c r="AO3" s="1426"/>
      <c r="AP3" s="724"/>
      <c r="AQ3" s="724"/>
      <c r="AR3" s="724"/>
      <c r="AS3" s="724"/>
      <c r="AT3" s="724"/>
      <c r="AU3" s="724"/>
      <c r="AV3" s="724"/>
      <c r="AW3" s="724"/>
      <c r="AX3" s="724"/>
      <c r="AY3" s="724"/>
      <c r="AZ3" s="724"/>
      <c r="BA3" s="724"/>
      <c r="BB3" s="724"/>
      <c r="BC3" s="725"/>
    </row>
    <row r="4" spans="1:56">
      <c r="A4" s="723"/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7"/>
      <c r="P4" s="728" t="s">
        <v>8</v>
      </c>
      <c r="Q4" s="729"/>
      <c r="R4" s="729"/>
      <c r="S4" s="729"/>
      <c r="T4" s="730"/>
      <c r="U4" s="1475">
        <f>Design!U4</f>
        <v>0</v>
      </c>
      <c r="V4" s="1476"/>
      <c r="W4" s="1476"/>
      <c r="X4" s="1476"/>
      <c r="Y4" s="1476"/>
      <c r="Z4" s="1476"/>
      <c r="AA4" s="1476"/>
      <c r="AB4" s="1476"/>
      <c r="AC4" s="1476"/>
      <c r="AD4" s="1476"/>
      <c r="AE4" s="1476"/>
      <c r="AF4" s="1477"/>
      <c r="AG4" s="731" t="s">
        <v>9</v>
      </c>
      <c r="AH4" s="729"/>
      <c r="AI4" s="729"/>
      <c r="AJ4" s="730"/>
      <c r="AK4" s="1478">
        <f>Design!AK4</f>
        <v>0</v>
      </c>
      <c r="AL4" s="1479"/>
      <c r="AM4" s="1479"/>
      <c r="AN4" s="1479"/>
      <c r="AO4" s="1480"/>
      <c r="AP4" s="732"/>
      <c r="AQ4" s="724"/>
      <c r="AR4" s="724"/>
      <c r="AS4" s="724"/>
      <c r="AT4" s="724"/>
      <c r="AU4" s="724"/>
      <c r="AV4" s="724"/>
      <c r="AW4" s="724"/>
      <c r="AX4" s="724"/>
      <c r="AY4" s="724"/>
      <c r="AZ4" s="724"/>
      <c r="BA4" s="724"/>
      <c r="BB4" s="724"/>
      <c r="BC4" s="725"/>
    </row>
    <row r="5" spans="1:56">
      <c r="A5" s="723"/>
      <c r="B5" s="724"/>
      <c r="C5" s="724"/>
      <c r="D5" s="724"/>
      <c r="E5" s="724"/>
      <c r="F5" s="724"/>
      <c r="G5" s="724"/>
      <c r="H5" s="724"/>
      <c r="I5" s="724"/>
      <c r="J5" s="724"/>
      <c r="K5" s="724"/>
      <c r="L5" s="724"/>
      <c r="M5" s="724"/>
      <c r="N5" s="724"/>
      <c r="O5" s="727"/>
      <c r="P5" s="733" t="s">
        <v>10</v>
      </c>
      <c r="Q5" s="734"/>
      <c r="R5" s="734"/>
      <c r="S5" s="734"/>
      <c r="T5" s="735"/>
      <c r="U5" s="1460">
        <f>Design!U5</f>
        <v>0</v>
      </c>
      <c r="V5" s="1461"/>
      <c r="W5" s="1461"/>
      <c r="X5" s="1461"/>
      <c r="Y5" s="1461"/>
      <c r="Z5" s="1461"/>
      <c r="AA5" s="1461"/>
      <c r="AB5" s="1461"/>
      <c r="AC5" s="1461"/>
      <c r="AD5" s="1461"/>
      <c r="AE5" s="1461"/>
      <c r="AF5" s="1462"/>
      <c r="AG5" s="736" t="s">
        <v>11</v>
      </c>
      <c r="AH5" s="734"/>
      <c r="AI5" s="734"/>
      <c r="AJ5" s="735"/>
      <c r="AK5" s="1466">
        <f>Design!AK5</f>
        <v>0</v>
      </c>
      <c r="AL5" s="1467"/>
      <c r="AM5" s="1467"/>
      <c r="AN5" s="1467"/>
      <c r="AO5" s="1468"/>
      <c r="AP5" s="732"/>
      <c r="AQ5" s="724"/>
      <c r="AR5" s="724"/>
      <c r="AS5" s="724"/>
      <c r="AT5" s="724"/>
      <c r="AU5" s="724"/>
      <c r="AV5" s="724"/>
      <c r="AW5" s="724"/>
      <c r="AX5" s="724"/>
      <c r="AY5" s="724"/>
      <c r="AZ5" s="724"/>
      <c r="BA5" s="724"/>
      <c r="BB5" s="724"/>
      <c r="BC5" s="725"/>
    </row>
    <row r="6" spans="1:56">
      <c r="A6" s="723"/>
      <c r="B6" s="724"/>
      <c r="C6" s="724"/>
      <c r="D6" s="724"/>
      <c r="E6" s="724"/>
      <c r="F6" s="724"/>
      <c r="G6" s="724"/>
      <c r="H6" s="724"/>
      <c r="I6" s="724"/>
      <c r="J6" s="724"/>
      <c r="K6" s="724"/>
      <c r="L6" s="724"/>
      <c r="M6" s="724"/>
      <c r="N6" s="724"/>
      <c r="O6" s="727"/>
      <c r="P6" s="733" t="s">
        <v>12</v>
      </c>
      <c r="Q6" s="734"/>
      <c r="R6" s="734"/>
      <c r="S6" s="734"/>
      <c r="T6" s="735"/>
      <c r="U6" s="1460">
        <f>Design!U6</f>
        <v>0</v>
      </c>
      <c r="V6" s="1461"/>
      <c r="W6" s="1461"/>
      <c r="X6" s="1461"/>
      <c r="Y6" s="1461"/>
      <c r="Z6" s="1461"/>
      <c r="AA6" s="1461"/>
      <c r="AB6" s="1461"/>
      <c r="AC6" s="1461"/>
      <c r="AD6" s="1461"/>
      <c r="AE6" s="1461"/>
      <c r="AF6" s="1462"/>
      <c r="AG6" s="736" t="s">
        <v>13</v>
      </c>
      <c r="AH6" s="734"/>
      <c r="AI6" s="734"/>
      <c r="AJ6" s="735"/>
      <c r="AK6" s="1463">
        <f>Design!AK6</f>
        <v>0</v>
      </c>
      <c r="AL6" s="1464"/>
      <c r="AM6" s="1464"/>
      <c r="AN6" s="1464"/>
      <c r="AO6" s="1465"/>
      <c r="AP6" s="732"/>
      <c r="AQ6" s="724"/>
      <c r="AR6" s="724"/>
      <c r="AS6" s="724"/>
      <c r="AT6" s="724"/>
      <c r="AU6" s="724"/>
      <c r="AV6" s="724"/>
      <c r="AW6" s="724"/>
      <c r="AX6" s="724"/>
      <c r="AY6" s="724"/>
      <c r="AZ6" s="724"/>
      <c r="BA6" s="724"/>
      <c r="BB6" s="724"/>
      <c r="BC6" s="725"/>
    </row>
    <row r="7" spans="1:56">
      <c r="A7" s="723"/>
      <c r="B7" s="724"/>
      <c r="C7" s="724"/>
      <c r="D7" s="724"/>
      <c r="E7" s="724"/>
      <c r="F7" s="724"/>
      <c r="G7" s="724"/>
      <c r="H7" s="724"/>
      <c r="I7" s="724"/>
      <c r="J7" s="724"/>
      <c r="K7" s="724"/>
      <c r="L7" s="724"/>
      <c r="M7" s="724"/>
      <c r="N7" s="724"/>
      <c r="O7" s="727"/>
      <c r="P7" s="733" t="s">
        <v>14</v>
      </c>
      <c r="Q7" s="734"/>
      <c r="R7" s="734"/>
      <c r="S7" s="734"/>
      <c r="T7" s="735"/>
      <c r="U7" s="1460">
        <f>Design!U7</f>
        <v>0</v>
      </c>
      <c r="V7" s="1461"/>
      <c r="W7" s="1461"/>
      <c r="X7" s="1461"/>
      <c r="Y7" s="1461"/>
      <c r="Z7" s="1461"/>
      <c r="AA7" s="1461"/>
      <c r="AB7" s="1461"/>
      <c r="AC7" s="1461"/>
      <c r="AD7" s="1461"/>
      <c r="AE7" s="1461"/>
      <c r="AF7" s="1462"/>
      <c r="AG7" s="737" t="s">
        <v>15</v>
      </c>
      <c r="AH7" s="738"/>
      <c r="AI7" s="738"/>
      <c r="AJ7" s="739"/>
      <c r="AK7" s="1466">
        <f>Design!AK7</f>
        <v>0</v>
      </c>
      <c r="AL7" s="1467"/>
      <c r="AM7" s="1467"/>
      <c r="AN7" s="1467"/>
      <c r="AO7" s="1468"/>
      <c r="AP7" s="732"/>
      <c r="AQ7" s="724"/>
      <c r="AR7" s="724"/>
      <c r="AS7" s="724"/>
      <c r="AT7" s="724"/>
      <c r="AU7" s="724"/>
      <c r="AV7" s="724"/>
      <c r="AW7" s="724"/>
      <c r="AX7" s="724"/>
      <c r="AY7" s="724"/>
      <c r="AZ7" s="724"/>
      <c r="BA7" s="724"/>
      <c r="BB7" s="724"/>
      <c r="BC7" s="725"/>
    </row>
    <row r="8" spans="1:56" ht="15.75" thickBot="1">
      <c r="A8" s="723"/>
      <c r="B8" s="740"/>
      <c r="C8" s="741"/>
      <c r="D8" s="741"/>
      <c r="E8" s="741"/>
      <c r="F8" s="741"/>
      <c r="G8" s="741"/>
      <c r="H8" s="741"/>
      <c r="I8" s="741"/>
      <c r="J8" s="741"/>
      <c r="K8" s="741"/>
      <c r="L8" s="741"/>
      <c r="M8" s="741"/>
      <c r="N8" s="741"/>
      <c r="O8" s="742"/>
      <c r="P8" s="743" t="s">
        <v>16</v>
      </c>
      <c r="Q8" s="744"/>
      <c r="R8" s="744"/>
      <c r="S8" s="744"/>
      <c r="T8" s="745"/>
      <c r="U8" s="1469">
        <f>Design!U8</f>
        <v>0</v>
      </c>
      <c r="V8" s="1470"/>
      <c r="W8" s="1470"/>
      <c r="X8" s="1470"/>
      <c r="Y8" s="1470"/>
      <c r="Z8" s="1470"/>
      <c r="AA8" s="1470"/>
      <c r="AB8" s="1470"/>
      <c r="AC8" s="1470"/>
      <c r="AD8" s="1470"/>
      <c r="AE8" s="1470"/>
      <c r="AF8" s="1471"/>
      <c r="AG8" s="746" t="s">
        <v>17</v>
      </c>
      <c r="AH8" s="744"/>
      <c r="AI8" s="744"/>
      <c r="AJ8" s="745"/>
      <c r="AK8" s="1472">
        <v>1</v>
      </c>
      <c r="AL8" s="1473"/>
      <c r="AM8" s="747" t="s">
        <v>18</v>
      </c>
      <c r="AN8" s="1472">
        <v>1</v>
      </c>
      <c r="AO8" s="1474"/>
      <c r="AP8" s="740"/>
      <c r="AQ8" s="741"/>
      <c r="AR8" s="741"/>
      <c r="AS8" s="741"/>
      <c r="AT8" s="741"/>
      <c r="AU8" s="741"/>
      <c r="AV8" s="741"/>
      <c r="AW8" s="741"/>
      <c r="AX8" s="741"/>
      <c r="AY8" s="741"/>
      <c r="AZ8" s="741"/>
      <c r="BA8" s="741"/>
      <c r="BB8" s="741"/>
      <c r="BC8" s="742"/>
    </row>
    <row r="9" spans="1:56" ht="15.75" thickBot="1">
      <c r="A9" s="723"/>
      <c r="B9" s="748"/>
      <c r="C9" s="1457" t="s">
        <v>19</v>
      </c>
      <c r="D9" s="1458"/>
      <c r="E9" s="1458"/>
      <c r="F9" s="1458"/>
      <c r="G9" s="1458"/>
      <c r="H9" s="1458"/>
      <c r="I9" s="1458"/>
      <c r="J9" s="1458"/>
      <c r="K9" s="1458"/>
      <c r="L9" s="1458"/>
      <c r="M9" s="1458"/>
      <c r="N9" s="1458"/>
      <c r="O9" s="1458"/>
      <c r="P9" s="1458"/>
      <c r="Q9" s="1458"/>
      <c r="R9" s="1458"/>
      <c r="S9" s="1458"/>
      <c r="T9" s="1458"/>
      <c r="U9" s="1458"/>
      <c r="V9" s="1458"/>
      <c r="W9" s="1458"/>
      <c r="X9" s="1458"/>
      <c r="Y9" s="1458"/>
      <c r="Z9" s="1458"/>
      <c r="AA9" s="1458"/>
      <c r="AB9" s="1458"/>
      <c r="AC9" s="1458"/>
      <c r="AD9" s="1458"/>
      <c r="AE9" s="1458"/>
      <c r="AF9" s="1458"/>
      <c r="AG9" s="1458"/>
      <c r="AH9" s="1458"/>
      <c r="AI9" s="1458"/>
      <c r="AJ9" s="1458"/>
      <c r="AK9" s="1458"/>
      <c r="AL9" s="1458"/>
      <c r="AM9" s="1458"/>
      <c r="AN9" s="1458"/>
      <c r="AO9" s="1458"/>
      <c r="AP9" s="1458"/>
      <c r="AQ9" s="1458"/>
      <c r="AR9" s="1458"/>
      <c r="AS9" s="1458"/>
      <c r="AT9" s="1458"/>
      <c r="AU9" s="1458"/>
      <c r="AV9" s="1458"/>
      <c r="AW9" s="1458"/>
      <c r="AX9" s="1458"/>
      <c r="AY9" s="1458"/>
      <c r="AZ9" s="1458"/>
      <c r="BA9" s="1458"/>
      <c r="BB9" s="1458"/>
      <c r="BC9" s="1459"/>
      <c r="BD9" s="751"/>
    </row>
    <row r="10" spans="1:56" ht="17.25">
      <c r="A10" s="723"/>
      <c r="B10" s="752"/>
      <c r="C10" s="753" t="s">
        <v>20</v>
      </c>
      <c r="D10" s="754"/>
      <c r="E10" s="754"/>
      <c r="F10" s="754"/>
      <c r="G10" s="754"/>
      <c r="H10" s="754"/>
      <c r="I10" s="754"/>
      <c r="J10" s="754"/>
      <c r="K10" s="754"/>
      <c r="L10" s="754"/>
      <c r="M10" s="754"/>
      <c r="N10" s="754"/>
      <c r="O10" s="755"/>
      <c r="P10" s="1504">
        <f>Design!P10</f>
        <v>0</v>
      </c>
      <c r="Q10" s="1366"/>
      <c r="R10" s="1366"/>
      <c r="S10" s="1366"/>
      <c r="T10" s="1366"/>
      <c r="U10" s="1366"/>
      <c r="V10" s="1366"/>
      <c r="W10" s="1366"/>
      <c r="X10" s="1366"/>
      <c r="Y10" s="1366"/>
      <c r="Z10" s="1366"/>
      <c r="AA10" s="1366"/>
      <c r="AB10" s="1505"/>
      <c r="AC10" s="756" t="s">
        <v>21</v>
      </c>
      <c r="AD10" s="757"/>
      <c r="AE10" s="757"/>
      <c r="AF10" s="757"/>
      <c r="AG10" s="757"/>
      <c r="AH10" s="757"/>
      <c r="AI10" s="757"/>
      <c r="AJ10" s="757"/>
      <c r="AK10" s="757"/>
      <c r="AL10" s="757"/>
      <c r="AM10" s="757"/>
      <c r="AN10" s="757"/>
      <c r="AO10" s="758"/>
      <c r="AP10" s="1506">
        <f>Design!AP10</f>
        <v>0</v>
      </c>
      <c r="AQ10" s="1507"/>
      <c r="AR10" s="1507"/>
      <c r="AS10" s="808" t="s">
        <v>22</v>
      </c>
      <c r="AT10" s="808"/>
      <c r="AU10" s="808"/>
      <c r="AV10" s="808"/>
      <c r="AW10" s="808"/>
      <c r="AX10" s="808"/>
      <c r="AY10" s="808"/>
      <c r="AZ10" s="808"/>
      <c r="BA10" s="808"/>
      <c r="BB10" s="809"/>
      <c r="BC10" s="725"/>
    </row>
    <row r="11" spans="1:56">
      <c r="A11" s="723"/>
      <c r="B11" s="752"/>
      <c r="C11" s="761" t="s">
        <v>16</v>
      </c>
      <c r="D11" s="757"/>
      <c r="E11" s="757"/>
      <c r="F11" s="757"/>
      <c r="G11" s="757"/>
      <c r="H11" s="757"/>
      <c r="I11" s="757"/>
      <c r="J11" s="757"/>
      <c r="K11" s="757"/>
      <c r="L11" s="757"/>
      <c r="M11" s="757"/>
      <c r="N11" s="757"/>
      <c r="O11" s="758"/>
      <c r="P11" s="846" t="str">
        <f>Design!P11</f>
        <v xml:space="preserve"> " x 0 ' Conveyor</v>
      </c>
      <c r="Q11" s="808"/>
      <c r="R11" s="808"/>
      <c r="S11" s="808"/>
      <c r="T11" s="808"/>
      <c r="U11" s="808"/>
      <c r="V11" s="808"/>
      <c r="W11" s="808"/>
      <c r="X11" s="808"/>
      <c r="Y11" s="808"/>
      <c r="Z11" s="808"/>
      <c r="AA11" s="808"/>
      <c r="AB11" s="809"/>
      <c r="AC11" s="756" t="s">
        <v>23</v>
      </c>
      <c r="AD11" s="757"/>
      <c r="AE11" s="757"/>
      <c r="AF11" s="757"/>
      <c r="AG11" s="757"/>
      <c r="AH11" s="757"/>
      <c r="AI11" s="757"/>
      <c r="AJ11" s="757"/>
      <c r="AK11" s="757"/>
      <c r="AL11" s="757"/>
      <c r="AM11" s="757"/>
      <c r="AN11" s="757"/>
      <c r="AO11" s="758"/>
      <c r="AP11" s="1360">
        <f>Design!AP11</f>
        <v>0</v>
      </c>
      <c r="AQ11" s="1361"/>
      <c r="AR11" s="1361"/>
      <c r="AS11" s="808" t="s">
        <v>24</v>
      </c>
      <c r="AT11" s="808"/>
      <c r="AU11" s="808"/>
      <c r="AV11" s="808"/>
      <c r="AW11" s="808"/>
      <c r="AX11" s="808"/>
      <c r="AY11" s="808"/>
      <c r="AZ11" s="808"/>
      <c r="BA11" s="808"/>
      <c r="BB11" s="809"/>
      <c r="BC11" s="725"/>
    </row>
    <row r="12" spans="1:56">
      <c r="A12" s="723"/>
      <c r="B12" s="847"/>
      <c r="C12" s="756" t="s">
        <v>25</v>
      </c>
      <c r="D12" s="757"/>
      <c r="E12" s="757"/>
      <c r="F12" s="757"/>
      <c r="G12" s="757"/>
      <c r="H12" s="757"/>
      <c r="I12" s="757"/>
      <c r="J12" s="757"/>
      <c r="K12" s="757"/>
      <c r="L12" s="757"/>
      <c r="M12" s="757"/>
      <c r="N12" s="757"/>
      <c r="O12" s="758"/>
      <c r="P12" s="1508" t="s">
        <v>335</v>
      </c>
      <c r="Q12" s="1509"/>
      <c r="R12" s="1509"/>
      <c r="S12" s="1509"/>
      <c r="T12" s="1509"/>
      <c r="U12" s="1509"/>
      <c r="V12" s="1509"/>
      <c r="W12" s="1509"/>
      <c r="X12" s="1509"/>
      <c r="Y12" s="1509"/>
      <c r="Z12" s="1509"/>
      <c r="AA12" s="1509"/>
      <c r="AB12" s="1510"/>
      <c r="AC12" s="1390" t="s">
        <v>26</v>
      </c>
      <c r="AD12" s="1391"/>
      <c r="AE12" s="1391"/>
      <c r="AF12" s="1391"/>
      <c r="AG12" s="1391"/>
      <c r="AH12" s="1391"/>
      <c r="AI12" s="1391"/>
      <c r="AJ12" s="1391"/>
      <c r="AK12" s="1391"/>
      <c r="AL12" s="1391"/>
      <c r="AM12" s="1391"/>
      <c r="AN12" s="1391"/>
      <c r="AO12" s="1392"/>
      <c r="AP12" s="1511">
        <f>Design!AP12</f>
        <v>0</v>
      </c>
      <c r="AQ12" s="1512"/>
      <c r="AR12" s="1512"/>
      <c r="AS12" s="1512"/>
      <c r="AT12" s="1512"/>
      <c r="AU12" s="1512"/>
      <c r="AV12" s="1512"/>
      <c r="AW12" s="1512"/>
      <c r="AX12" s="1512"/>
      <c r="AY12" s="1512"/>
      <c r="AZ12" s="1512"/>
      <c r="BA12" s="1512"/>
      <c r="BB12" s="1513"/>
      <c r="BC12" s="799"/>
    </row>
    <row r="13" spans="1:56">
      <c r="A13" s="723"/>
      <c r="B13" s="848"/>
      <c r="C13" s="761" t="s">
        <v>27</v>
      </c>
      <c r="D13" s="757"/>
      <c r="E13" s="757"/>
      <c r="F13" s="757"/>
      <c r="G13" s="757"/>
      <c r="H13" s="757"/>
      <c r="I13" s="757"/>
      <c r="J13" s="757"/>
      <c r="K13" s="757"/>
      <c r="L13" s="757"/>
      <c r="M13" s="757"/>
      <c r="N13" s="757"/>
      <c r="O13" s="758"/>
      <c r="P13" s="846">
        <f>Design!P13</f>
        <v>0</v>
      </c>
      <c r="Q13" s="808"/>
      <c r="R13" s="808"/>
      <c r="S13" s="808" t="s">
        <v>28</v>
      </c>
      <c r="T13" s="808" t="s">
        <v>29</v>
      </c>
      <c r="U13" s="808">
        <f>P13*12</f>
        <v>0</v>
      </c>
      <c r="V13" s="808"/>
      <c r="W13" s="808"/>
      <c r="X13" s="808" t="s">
        <v>30</v>
      </c>
      <c r="Y13" s="808" t="s">
        <v>31</v>
      </c>
      <c r="Z13" s="808"/>
      <c r="AA13" s="808"/>
      <c r="AB13" s="809"/>
      <c r="AC13" s="1393"/>
      <c r="AD13" s="1394"/>
      <c r="AE13" s="1394"/>
      <c r="AF13" s="1394"/>
      <c r="AG13" s="1394"/>
      <c r="AH13" s="1394"/>
      <c r="AI13" s="1394"/>
      <c r="AJ13" s="1394"/>
      <c r="AK13" s="1394"/>
      <c r="AL13" s="1394"/>
      <c r="AM13" s="1394"/>
      <c r="AN13" s="1394"/>
      <c r="AO13" s="1395"/>
      <c r="AP13" s="1514"/>
      <c r="AQ13" s="1515"/>
      <c r="AR13" s="1515"/>
      <c r="AS13" s="1515"/>
      <c r="AT13" s="1515"/>
      <c r="AU13" s="1515"/>
      <c r="AV13" s="1515"/>
      <c r="AW13" s="1515"/>
      <c r="AX13" s="1515"/>
      <c r="AY13" s="1515"/>
      <c r="AZ13" s="1515"/>
      <c r="BA13" s="1515"/>
      <c r="BB13" s="1516"/>
      <c r="BC13" s="799"/>
    </row>
    <row r="14" spans="1:56">
      <c r="A14" s="723"/>
      <c r="B14" s="848"/>
      <c r="C14" s="761" t="s">
        <v>32</v>
      </c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8"/>
      <c r="P14" s="1508">
        <f>Design!P14</f>
        <v>0</v>
      </c>
      <c r="Q14" s="1509"/>
      <c r="R14" s="1509"/>
      <c r="S14" s="1509"/>
      <c r="T14" s="1509"/>
      <c r="U14" s="1509"/>
      <c r="V14" s="1509"/>
      <c r="W14" s="1509"/>
      <c r="X14" s="1509"/>
      <c r="Y14" s="1509"/>
      <c r="Z14" s="1509"/>
      <c r="AA14" s="1509"/>
      <c r="AB14" s="1510"/>
      <c r="AC14" s="1396"/>
      <c r="AD14" s="1397"/>
      <c r="AE14" s="1397"/>
      <c r="AF14" s="1397"/>
      <c r="AG14" s="1397"/>
      <c r="AH14" s="1397"/>
      <c r="AI14" s="1397"/>
      <c r="AJ14" s="1397"/>
      <c r="AK14" s="1397"/>
      <c r="AL14" s="1397"/>
      <c r="AM14" s="1397"/>
      <c r="AN14" s="1397"/>
      <c r="AO14" s="1398"/>
      <c r="AP14" s="1517"/>
      <c r="AQ14" s="1518"/>
      <c r="AR14" s="1518"/>
      <c r="AS14" s="1518"/>
      <c r="AT14" s="1518"/>
      <c r="AU14" s="1518"/>
      <c r="AV14" s="1518"/>
      <c r="AW14" s="1518"/>
      <c r="AX14" s="1518"/>
      <c r="AY14" s="1518"/>
      <c r="AZ14" s="1518"/>
      <c r="BA14" s="1518"/>
      <c r="BB14" s="1519"/>
      <c r="BC14" s="799"/>
    </row>
    <row r="15" spans="1:56">
      <c r="A15" s="723"/>
      <c r="B15" s="848"/>
      <c r="C15" s="761" t="s">
        <v>33</v>
      </c>
      <c r="D15" s="757"/>
      <c r="E15" s="757"/>
      <c r="F15" s="757"/>
      <c r="G15" s="757"/>
      <c r="H15" s="757"/>
      <c r="I15" s="757"/>
      <c r="J15" s="757"/>
      <c r="K15" s="757"/>
      <c r="L15" s="757"/>
      <c r="M15" s="757"/>
      <c r="N15" s="757"/>
      <c r="O15" s="758"/>
      <c r="P15" s="1508">
        <f>Design!P15</f>
        <v>0</v>
      </c>
      <c r="Q15" s="1509"/>
      <c r="R15" s="1509"/>
      <c r="S15" s="1509"/>
      <c r="T15" s="1509"/>
      <c r="U15" s="1509"/>
      <c r="V15" s="1509"/>
      <c r="W15" s="1509"/>
      <c r="X15" s="1509"/>
      <c r="Y15" s="1509"/>
      <c r="Z15" s="1509"/>
      <c r="AA15" s="1509"/>
      <c r="AB15" s="1510"/>
      <c r="AC15" s="756"/>
      <c r="AD15" s="757"/>
      <c r="AE15" s="757"/>
      <c r="AF15" s="757"/>
      <c r="AG15" s="757"/>
      <c r="AH15" s="757"/>
      <c r="AI15" s="757"/>
      <c r="AJ15" s="757"/>
      <c r="AK15" s="757"/>
      <c r="AL15" s="757"/>
      <c r="AM15" s="757"/>
      <c r="AN15" s="757"/>
      <c r="AO15" s="758"/>
      <c r="AP15" s="1520"/>
      <c r="AQ15" s="1521"/>
      <c r="AR15" s="1521"/>
      <c r="AS15" s="762"/>
      <c r="AT15" s="763"/>
      <c r="AU15" s="764"/>
      <c r="AV15" s="762"/>
      <c r="AW15" s="1521"/>
      <c r="AX15" s="1521"/>
      <c r="AY15" s="1521"/>
      <c r="AZ15" s="762"/>
      <c r="BA15" s="762"/>
      <c r="BB15" s="765"/>
      <c r="BC15" s="799"/>
    </row>
    <row r="16" spans="1:56">
      <c r="A16" s="723"/>
      <c r="B16" s="848"/>
      <c r="C16" s="756" t="s">
        <v>34</v>
      </c>
      <c r="D16" s="757"/>
      <c r="E16" s="757"/>
      <c r="F16" s="757"/>
      <c r="G16" s="757"/>
      <c r="H16" s="757"/>
      <c r="I16" s="757"/>
      <c r="J16" s="757"/>
      <c r="K16" s="757"/>
      <c r="L16" s="757"/>
      <c r="M16" s="757"/>
      <c r="N16" s="757"/>
      <c r="O16" s="758"/>
      <c r="P16" s="1360" t="s">
        <v>336</v>
      </c>
      <c r="Q16" s="1361"/>
      <c r="R16" s="1361"/>
      <c r="S16" s="1361"/>
      <c r="T16" s="1361"/>
      <c r="U16" s="1361"/>
      <c r="V16" s="1361"/>
      <c r="W16" s="1361"/>
      <c r="X16" s="1361"/>
      <c r="Y16" s="1361"/>
      <c r="Z16" s="1361"/>
      <c r="AA16" s="1361"/>
      <c r="AB16" s="1522"/>
      <c r="AC16" s="756"/>
      <c r="AD16" s="757"/>
      <c r="AE16" s="757"/>
      <c r="AF16" s="757"/>
      <c r="AG16" s="757"/>
      <c r="AH16" s="757"/>
      <c r="AI16" s="757"/>
      <c r="AJ16" s="757"/>
      <c r="AK16" s="757"/>
      <c r="AL16" s="757"/>
      <c r="AM16" s="757"/>
      <c r="AN16" s="757"/>
      <c r="AO16" s="758"/>
      <c r="AP16" s="1523"/>
      <c r="AQ16" s="1524"/>
      <c r="AR16" s="1524"/>
      <c r="AS16" s="1524"/>
      <c r="AT16" s="1524"/>
      <c r="AU16" s="1524"/>
      <c r="AV16" s="1524"/>
      <c r="AW16" s="1524"/>
      <c r="AX16" s="1524"/>
      <c r="AY16" s="1524"/>
      <c r="AZ16" s="1524"/>
      <c r="BA16" s="1524"/>
      <c r="BB16" s="1525"/>
      <c r="BC16" s="799"/>
    </row>
    <row r="17" spans="1:55" ht="15.75" thickBot="1">
      <c r="A17" s="723"/>
      <c r="B17" s="848"/>
      <c r="C17" s="767" t="s">
        <v>35</v>
      </c>
      <c r="D17" s="768"/>
      <c r="E17" s="768"/>
      <c r="F17" s="768"/>
      <c r="G17" s="768"/>
      <c r="H17" s="768"/>
      <c r="I17" s="768"/>
      <c r="J17" s="768"/>
      <c r="K17" s="768"/>
      <c r="L17" s="768"/>
      <c r="M17" s="768"/>
      <c r="N17" s="768"/>
      <c r="O17" s="769"/>
      <c r="P17" s="1501">
        <f>Design!P17</f>
        <v>0</v>
      </c>
      <c r="Q17" s="1502"/>
      <c r="R17" s="1502"/>
      <c r="S17" s="1502"/>
      <c r="T17" s="1502"/>
      <c r="U17" s="1502"/>
      <c r="V17" s="1502"/>
      <c r="W17" s="1502"/>
      <c r="X17" s="1502"/>
      <c r="Y17" s="1502"/>
      <c r="Z17" s="1502"/>
      <c r="AA17" s="1502"/>
      <c r="AB17" s="1503"/>
      <c r="AC17" s="767"/>
      <c r="AD17" s="768"/>
      <c r="AE17" s="768"/>
      <c r="AF17" s="768"/>
      <c r="AG17" s="768"/>
      <c r="AH17" s="768"/>
      <c r="AI17" s="768"/>
      <c r="AJ17" s="768"/>
      <c r="AK17" s="768"/>
      <c r="AL17" s="768"/>
      <c r="AM17" s="768"/>
      <c r="AN17" s="768"/>
      <c r="AO17" s="769"/>
      <c r="AP17" s="770"/>
      <c r="AQ17" s="771"/>
      <c r="AR17" s="771"/>
      <c r="AS17" s="771"/>
      <c r="AT17" s="771"/>
      <c r="AU17" s="771"/>
      <c r="AV17" s="771"/>
      <c r="AW17" s="771"/>
      <c r="AX17" s="771"/>
      <c r="AY17" s="771"/>
      <c r="AZ17" s="771"/>
      <c r="BA17" s="771"/>
      <c r="BB17" s="772"/>
      <c r="BC17" s="799"/>
    </row>
    <row r="18" spans="1:55" ht="15.75" thickBot="1">
      <c r="A18" s="723"/>
      <c r="B18" s="848"/>
      <c r="C18" s="773" t="s">
        <v>36</v>
      </c>
      <c r="D18" s="774"/>
      <c r="E18" s="774"/>
      <c r="F18" s="774"/>
      <c r="G18" s="774"/>
      <c r="H18" s="774"/>
      <c r="I18" s="774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4"/>
      <c r="X18" s="774"/>
      <c r="Y18" s="774"/>
      <c r="Z18" s="774"/>
      <c r="AA18" s="774"/>
      <c r="AB18" s="775"/>
      <c r="AC18" s="749" t="s">
        <v>37</v>
      </c>
      <c r="AD18" s="750"/>
      <c r="AE18" s="750"/>
      <c r="AF18" s="750"/>
      <c r="AG18" s="750"/>
      <c r="AH18" s="750"/>
      <c r="AI18" s="750"/>
      <c r="AJ18" s="750"/>
      <c r="AK18" s="750"/>
      <c r="AL18" s="750"/>
      <c r="AM18" s="750"/>
      <c r="AN18" s="750"/>
      <c r="AO18" s="750"/>
      <c r="AP18" s="750"/>
      <c r="AQ18" s="750"/>
      <c r="AR18" s="750"/>
      <c r="AS18" s="750"/>
      <c r="AT18" s="750"/>
      <c r="AU18" s="750"/>
      <c r="AV18" s="750"/>
      <c r="AW18" s="750"/>
      <c r="AX18" s="750"/>
      <c r="AY18" s="750"/>
      <c r="AZ18" s="750"/>
      <c r="BA18" s="750"/>
      <c r="BB18" s="776"/>
      <c r="BC18" s="799"/>
    </row>
    <row r="19" spans="1:55">
      <c r="A19" s="723"/>
      <c r="B19" s="848"/>
      <c r="C19" s="777" t="s">
        <v>38</v>
      </c>
      <c r="D19" s="754"/>
      <c r="E19" s="754"/>
      <c r="F19" s="778"/>
      <c r="G19" s="754"/>
      <c r="H19" s="754"/>
      <c r="I19" s="754"/>
      <c r="J19" s="779"/>
      <c r="K19" s="780"/>
      <c r="L19" s="781"/>
      <c r="M19" s="1499">
        <f>Design!M19</f>
        <v>0</v>
      </c>
      <c r="N19" s="1500"/>
      <c r="O19" s="1500"/>
      <c r="P19" s="754" t="s">
        <v>39</v>
      </c>
      <c r="Q19" s="754"/>
      <c r="R19" s="780"/>
      <c r="S19" s="780"/>
      <c r="T19" s="780"/>
      <c r="U19" s="754"/>
      <c r="V19" s="754"/>
      <c r="W19" s="754"/>
      <c r="X19" s="754"/>
      <c r="Y19" s="754"/>
      <c r="Z19" s="754"/>
      <c r="AA19" s="754"/>
      <c r="AB19" s="755"/>
      <c r="AC19" s="782" t="s">
        <v>40</v>
      </c>
      <c r="AD19" s="754"/>
      <c r="AE19" s="754"/>
      <c r="AF19" s="754"/>
      <c r="AG19" s="754"/>
      <c r="AH19" s="754"/>
      <c r="AI19" s="754"/>
      <c r="AJ19" s="754"/>
      <c r="AK19" s="754"/>
      <c r="AL19" s="755"/>
      <c r="AM19" s="1343">
        <f>Design!AM19</f>
        <v>0</v>
      </c>
      <c r="AN19" s="1344"/>
      <c r="AO19" s="1344"/>
      <c r="AP19" s="757" t="s">
        <v>28</v>
      </c>
      <c r="AQ19" s="754"/>
      <c r="AR19" s="754"/>
      <c r="AS19" s="754"/>
      <c r="AT19" s="754"/>
      <c r="AU19" s="754"/>
      <c r="AV19" s="754"/>
      <c r="AW19" s="754"/>
      <c r="AX19" s="754"/>
      <c r="AY19" s="754"/>
      <c r="AZ19" s="754"/>
      <c r="BA19" s="754"/>
      <c r="BB19" s="755"/>
      <c r="BC19" s="799"/>
    </row>
    <row r="20" spans="1:55" ht="17.25">
      <c r="A20" s="723"/>
      <c r="B20" s="848"/>
      <c r="C20" s="783" t="s">
        <v>42</v>
      </c>
      <c r="D20" s="757"/>
      <c r="E20" s="757"/>
      <c r="F20" s="757"/>
      <c r="G20" s="757"/>
      <c r="H20" s="757"/>
      <c r="I20" s="757"/>
      <c r="J20" s="784"/>
      <c r="K20" s="759"/>
      <c r="L20" s="760"/>
      <c r="M20" s="1384">
        <f>Design!M20</f>
        <v>0</v>
      </c>
      <c r="N20" s="1385"/>
      <c r="O20" s="1385"/>
      <c r="P20" s="757" t="s">
        <v>43</v>
      </c>
      <c r="Q20" s="757"/>
      <c r="R20" s="757"/>
      <c r="S20" s="757"/>
      <c r="T20" s="757"/>
      <c r="U20" s="757"/>
      <c r="V20" s="757"/>
      <c r="W20" s="757"/>
      <c r="X20" s="757"/>
      <c r="Y20" s="757"/>
      <c r="Z20" s="757"/>
      <c r="AA20" s="757"/>
      <c r="AB20" s="758"/>
      <c r="AC20" s="756" t="s">
        <v>48</v>
      </c>
      <c r="AD20" s="757"/>
      <c r="AE20" s="757"/>
      <c r="AF20" s="757"/>
      <c r="AG20" s="757"/>
      <c r="AH20" s="757"/>
      <c r="AI20" s="757"/>
      <c r="AJ20" s="757"/>
      <c r="AK20" s="757"/>
      <c r="AL20" s="758"/>
      <c r="AM20" s="1384">
        <f>Design!AM21</f>
        <v>0</v>
      </c>
      <c r="AN20" s="1385"/>
      <c r="AO20" s="1385"/>
      <c r="AP20" s="757"/>
      <c r="AQ20" s="817"/>
      <c r="AR20" s="817"/>
      <c r="AS20" s="817"/>
      <c r="AT20" s="817"/>
      <c r="AU20" s="757"/>
      <c r="AV20" s="757"/>
      <c r="AW20" s="817"/>
      <c r="AX20" s="817"/>
      <c r="AY20" s="817"/>
      <c r="AZ20" s="817"/>
      <c r="BA20" s="812"/>
      <c r="BB20" s="813"/>
      <c r="BC20" s="799"/>
    </row>
    <row r="21" spans="1:55" ht="15.75" thickBot="1">
      <c r="A21" s="723"/>
      <c r="B21" s="848"/>
      <c r="C21" s="785" t="s">
        <v>46</v>
      </c>
      <c r="D21" s="768"/>
      <c r="E21" s="768"/>
      <c r="F21" s="768"/>
      <c r="G21" s="768"/>
      <c r="H21" s="768"/>
      <c r="I21" s="768"/>
      <c r="J21" s="786"/>
      <c r="K21" s="787"/>
      <c r="L21" s="788"/>
      <c r="M21" s="1494">
        <f>Design!M21</f>
        <v>0</v>
      </c>
      <c r="N21" s="1495"/>
      <c r="O21" s="1495"/>
      <c r="P21" s="768" t="s">
        <v>47</v>
      </c>
      <c r="Q21" s="768"/>
      <c r="R21" s="768"/>
      <c r="S21" s="768"/>
      <c r="T21" s="768"/>
      <c r="U21" s="768"/>
      <c r="V21" s="768"/>
      <c r="W21" s="768"/>
      <c r="X21" s="768"/>
      <c r="Y21" s="768"/>
      <c r="Z21" s="768"/>
      <c r="AA21" s="768"/>
      <c r="AB21" s="769"/>
      <c r="AC21" s="756" t="s">
        <v>50</v>
      </c>
      <c r="AD21" s="757"/>
      <c r="AE21" s="757"/>
      <c r="AF21" s="757"/>
      <c r="AG21" s="757"/>
      <c r="AH21" s="757"/>
      <c r="AI21" s="757"/>
      <c r="AJ21" s="757"/>
      <c r="AK21" s="757"/>
      <c r="AL21" s="758"/>
      <c r="AM21" s="1384">
        <f>Design!AM22</f>
        <v>0</v>
      </c>
      <c r="AN21" s="1385"/>
      <c r="AO21" s="1385"/>
      <c r="AP21" s="757"/>
      <c r="AQ21" s="817"/>
      <c r="AR21" s="817"/>
      <c r="AS21" s="817"/>
      <c r="AT21" s="817"/>
      <c r="AU21" s="757"/>
      <c r="AV21" s="757"/>
      <c r="AW21" s="817"/>
      <c r="AX21" s="817"/>
      <c r="AY21" s="817"/>
      <c r="AZ21" s="817"/>
      <c r="BA21" s="812"/>
      <c r="BB21" s="813"/>
      <c r="BC21" s="799"/>
    </row>
    <row r="22" spans="1:55" ht="15.75" thickBot="1">
      <c r="A22" s="723"/>
      <c r="B22" s="848"/>
      <c r="C22" s="789" t="s">
        <v>49</v>
      </c>
      <c r="D22" s="790"/>
      <c r="E22" s="790"/>
      <c r="F22" s="790"/>
      <c r="G22" s="790"/>
      <c r="H22" s="790"/>
      <c r="I22" s="790"/>
      <c r="J22" s="790"/>
      <c r="K22" s="790"/>
      <c r="L22" s="790"/>
      <c r="M22" s="790"/>
      <c r="N22" s="790"/>
      <c r="O22" s="790"/>
      <c r="P22" s="790"/>
      <c r="Q22" s="790"/>
      <c r="R22" s="790"/>
      <c r="S22" s="790"/>
      <c r="T22" s="790"/>
      <c r="U22" s="790"/>
      <c r="V22" s="790"/>
      <c r="W22" s="790"/>
      <c r="X22" s="790"/>
      <c r="Y22" s="790"/>
      <c r="Z22" s="790"/>
      <c r="AA22" s="790"/>
      <c r="AB22" s="791"/>
      <c r="AC22" s="756" t="s">
        <v>52</v>
      </c>
      <c r="AD22" s="757"/>
      <c r="AE22" s="757"/>
      <c r="AF22" s="757"/>
      <c r="AG22" s="757"/>
      <c r="AH22" s="757"/>
      <c r="AI22" s="757"/>
      <c r="AJ22" s="757"/>
      <c r="AK22" s="757"/>
      <c r="AL22" s="758"/>
      <c r="AM22" s="1384">
        <f>Design!AM23</f>
        <v>0</v>
      </c>
      <c r="AN22" s="1385"/>
      <c r="AO22" s="1385"/>
      <c r="AP22" s="757"/>
      <c r="AQ22" s="817"/>
      <c r="AR22" s="817"/>
      <c r="AS22" s="817"/>
      <c r="AT22" s="817"/>
      <c r="AU22" s="757"/>
      <c r="AV22" s="757"/>
      <c r="AW22" s="817"/>
      <c r="AX22" s="817"/>
      <c r="AY22" s="817"/>
      <c r="AZ22" s="817"/>
      <c r="BA22" s="812"/>
      <c r="BB22" s="813"/>
      <c r="BC22" s="799"/>
    </row>
    <row r="23" spans="1:55">
      <c r="A23" s="723"/>
      <c r="B23" s="848"/>
      <c r="C23" s="782" t="s">
        <v>51</v>
      </c>
      <c r="D23" s="754"/>
      <c r="E23" s="754"/>
      <c r="F23" s="754"/>
      <c r="G23" s="754"/>
      <c r="H23" s="754"/>
      <c r="I23" s="754"/>
      <c r="J23" s="779"/>
      <c r="K23" s="778"/>
      <c r="L23" s="792"/>
      <c r="M23" s="1344">
        <f>Design!M23</f>
        <v>0</v>
      </c>
      <c r="N23" s="1344"/>
      <c r="O23" s="1344"/>
      <c r="P23" s="724" t="s">
        <v>30</v>
      </c>
      <c r="Q23" s="793"/>
      <c r="R23" s="793"/>
      <c r="S23" s="793"/>
      <c r="T23" s="793"/>
      <c r="U23" s="793"/>
      <c r="V23" s="793"/>
      <c r="W23" s="793"/>
      <c r="X23" s="793"/>
      <c r="Y23" s="793"/>
      <c r="Z23" s="793"/>
      <c r="AA23" s="793"/>
      <c r="AB23" s="794"/>
      <c r="AC23" s="756" t="s">
        <v>54</v>
      </c>
      <c r="AD23" s="757"/>
      <c r="AE23" s="757"/>
      <c r="AF23" s="757"/>
      <c r="AG23" s="757"/>
      <c r="AH23" s="757"/>
      <c r="AI23" s="757"/>
      <c r="AJ23" s="757"/>
      <c r="AK23" s="757"/>
      <c r="AL23" s="758"/>
      <c r="AM23" s="1384">
        <f>Design!AM24</f>
        <v>0</v>
      </c>
      <c r="AN23" s="1385"/>
      <c r="AO23" s="1385"/>
      <c r="AP23" s="757"/>
      <c r="AQ23" s="817"/>
      <c r="AR23" s="817"/>
      <c r="AS23" s="817"/>
      <c r="AT23" s="817"/>
      <c r="AU23" s="757"/>
      <c r="AV23" s="757"/>
      <c r="AW23" s="817"/>
      <c r="AX23" s="817"/>
      <c r="AY23" s="817"/>
      <c r="AZ23" s="817"/>
      <c r="BA23" s="812"/>
      <c r="BB23" s="813"/>
      <c r="BC23" s="799"/>
    </row>
    <row r="24" spans="1:55">
      <c r="A24" s="723"/>
      <c r="B24" s="848"/>
      <c r="C24" s="756" t="s">
        <v>53</v>
      </c>
      <c r="D24" s="757"/>
      <c r="E24" s="757"/>
      <c r="F24" s="757"/>
      <c r="G24" s="757"/>
      <c r="H24" s="757"/>
      <c r="I24" s="757"/>
      <c r="J24" s="784"/>
      <c r="K24" s="759"/>
      <c r="L24" s="760"/>
      <c r="M24" s="1384">
        <f>Design!M24</f>
        <v>0</v>
      </c>
      <c r="N24" s="1385"/>
      <c r="O24" s="1385"/>
      <c r="P24" s="757" t="s">
        <v>28</v>
      </c>
      <c r="Q24" s="757"/>
      <c r="R24" s="757"/>
      <c r="S24" s="757"/>
      <c r="T24" s="757"/>
      <c r="U24" s="757"/>
      <c r="V24" s="757"/>
      <c r="W24" s="757"/>
      <c r="X24" s="757"/>
      <c r="Y24" s="757"/>
      <c r="Z24" s="757"/>
      <c r="AA24" s="757"/>
      <c r="AB24" s="758"/>
      <c r="AC24" s="756" t="s">
        <v>67</v>
      </c>
      <c r="AD24" s="757"/>
      <c r="AE24" s="757"/>
      <c r="AF24" s="757"/>
      <c r="AG24" s="757"/>
      <c r="AH24" s="757"/>
      <c r="AI24" s="757"/>
      <c r="AJ24" s="757"/>
      <c r="AK24" s="757"/>
      <c r="AL24" s="758"/>
      <c r="AM24" s="1384">
        <f>Design!AM28</f>
        <v>0</v>
      </c>
      <c r="AN24" s="1385"/>
      <c r="AO24" s="1385"/>
      <c r="AP24" s="757"/>
      <c r="AQ24" s="817"/>
      <c r="AR24" s="817"/>
      <c r="AS24" s="817"/>
      <c r="AT24" s="817"/>
      <c r="AU24" s="757"/>
      <c r="AV24" s="757"/>
      <c r="AW24" s="817"/>
      <c r="AX24" s="817"/>
      <c r="AY24" s="817"/>
      <c r="AZ24" s="817"/>
      <c r="BA24" s="812"/>
      <c r="BB24" s="813"/>
      <c r="BC24" s="799"/>
    </row>
    <row r="25" spans="1:55">
      <c r="A25" s="723"/>
      <c r="B25" s="848"/>
      <c r="C25" s="756" t="s">
        <v>55</v>
      </c>
      <c r="D25" s="757"/>
      <c r="E25" s="757"/>
      <c r="F25" s="757"/>
      <c r="G25" s="757"/>
      <c r="H25" s="757"/>
      <c r="I25" s="757"/>
      <c r="J25" s="795"/>
      <c r="K25" s="796"/>
      <c r="L25" s="797"/>
      <c r="M25" s="1384">
        <f>Design!M25</f>
        <v>0</v>
      </c>
      <c r="N25" s="1385"/>
      <c r="O25" s="1385"/>
      <c r="P25" s="757" t="s">
        <v>28</v>
      </c>
      <c r="Q25" s="757"/>
      <c r="R25" s="757"/>
      <c r="S25" s="757"/>
      <c r="T25" s="757"/>
      <c r="U25" s="757"/>
      <c r="V25" s="757"/>
      <c r="W25" s="757"/>
      <c r="X25" s="757"/>
      <c r="Y25" s="757"/>
      <c r="Z25" s="757"/>
      <c r="AA25" s="757"/>
      <c r="AB25" s="758"/>
      <c r="AC25" s="756" t="s">
        <v>337</v>
      </c>
      <c r="AD25" s="757"/>
      <c r="AE25" s="757"/>
      <c r="AF25" s="757"/>
      <c r="AG25" s="757"/>
      <c r="AH25" s="757"/>
      <c r="AI25" s="757"/>
      <c r="AJ25" s="757"/>
      <c r="AK25" s="757"/>
      <c r="AL25" s="758"/>
      <c r="AM25" s="1384">
        <f>Design!AM29</f>
        <v>0</v>
      </c>
      <c r="AN25" s="1385"/>
      <c r="AO25" s="1385"/>
      <c r="AP25" s="757"/>
      <c r="AQ25" s="817"/>
      <c r="AR25" s="817"/>
      <c r="AS25" s="817"/>
      <c r="AT25" s="817"/>
      <c r="AU25" s="757"/>
      <c r="AV25" s="757"/>
      <c r="AW25" s="817"/>
      <c r="AX25" s="817"/>
      <c r="AY25" s="817"/>
      <c r="AZ25" s="817"/>
      <c r="BA25" s="812"/>
      <c r="BB25" s="813"/>
      <c r="BC25" s="799"/>
    </row>
    <row r="26" spans="1:55">
      <c r="A26" s="723"/>
      <c r="B26" s="848"/>
      <c r="C26" s="756" t="s">
        <v>57</v>
      </c>
      <c r="D26" s="757"/>
      <c r="E26" s="757"/>
      <c r="F26" s="757"/>
      <c r="G26" s="757"/>
      <c r="H26" s="757"/>
      <c r="I26" s="757"/>
      <c r="J26" s="795"/>
      <c r="K26" s="796"/>
      <c r="L26" s="797"/>
      <c r="M26" s="1384">
        <f>Design!M26</f>
        <v>0</v>
      </c>
      <c r="N26" s="1385"/>
      <c r="O26" s="1385"/>
      <c r="P26" s="757" t="s">
        <v>58</v>
      </c>
      <c r="Q26" s="757"/>
      <c r="R26" s="757"/>
      <c r="S26" s="757"/>
      <c r="T26" s="757"/>
      <c r="U26" s="757"/>
      <c r="V26" s="757"/>
      <c r="W26" s="757"/>
      <c r="X26" s="757"/>
      <c r="Y26" s="757"/>
      <c r="Z26" s="757"/>
      <c r="AA26" s="757"/>
      <c r="AB26" s="758"/>
      <c r="AC26" s="756" t="s">
        <v>75</v>
      </c>
      <c r="AD26" s="757"/>
      <c r="AE26" s="757"/>
      <c r="AF26" s="757"/>
      <c r="AG26" s="757"/>
      <c r="AH26" s="757"/>
      <c r="AI26" s="757"/>
      <c r="AJ26" s="757"/>
      <c r="AK26" s="757"/>
      <c r="AL26" s="758"/>
      <c r="AM26" s="1384">
        <f>Design!AM30</f>
        <v>0</v>
      </c>
      <c r="AN26" s="1385"/>
      <c r="AO26" s="1385"/>
      <c r="AP26" s="757" t="s">
        <v>30</v>
      </c>
      <c r="AQ26" s="817"/>
      <c r="AR26" s="817"/>
      <c r="AS26" s="817"/>
      <c r="AT26" s="817"/>
      <c r="AU26" s="757"/>
      <c r="AV26" s="757"/>
      <c r="AW26" s="817"/>
      <c r="AX26" s="817"/>
      <c r="AY26" s="817"/>
      <c r="AZ26" s="817"/>
      <c r="BA26" s="812"/>
      <c r="BB26" s="813"/>
      <c r="BC26" s="799"/>
    </row>
    <row r="27" spans="1:55">
      <c r="A27" s="723"/>
      <c r="B27" s="752"/>
      <c r="C27" s="756" t="s">
        <v>61</v>
      </c>
      <c r="D27" s="757"/>
      <c r="E27" s="757"/>
      <c r="F27" s="757"/>
      <c r="G27" s="757"/>
      <c r="H27" s="757"/>
      <c r="I27" s="757"/>
      <c r="J27" s="757"/>
      <c r="K27" s="796"/>
      <c r="L27" s="797"/>
      <c r="M27" s="1384">
        <f>Design!M27</f>
        <v>0</v>
      </c>
      <c r="N27" s="1385"/>
      <c r="O27" s="1385"/>
      <c r="P27" s="757" t="s">
        <v>338</v>
      </c>
      <c r="Q27" s="757"/>
      <c r="R27" s="757"/>
      <c r="S27" s="757"/>
      <c r="T27" s="757"/>
      <c r="U27" s="757"/>
      <c r="V27" s="757"/>
      <c r="W27" s="757"/>
      <c r="X27" s="757"/>
      <c r="Y27" s="757"/>
      <c r="Z27" s="757"/>
      <c r="AA27" s="757"/>
      <c r="AB27" s="758"/>
      <c r="AC27" s="756" t="s">
        <v>78</v>
      </c>
      <c r="AD27" s="757"/>
      <c r="AE27" s="757"/>
      <c r="AF27" s="757"/>
      <c r="AG27" s="757"/>
      <c r="AH27" s="757"/>
      <c r="AI27" s="757"/>
      <c r="AJ27" s="757"/>
      <c r="AK27" s="757"/>
      <c r="AL27" s="758"/>
      <c r="AM27" s="1384">
        <f>Design!AM31</f>
        <v>0</v>
      </c>
      <c r="AN27" s="1385"/>
      <c r="AO27" s="1385"/>
      <c r="AP27" s="757" t="s">
        <v>30</v>
      </c>
      <c r="AQ27" s="817"/>
      <c r="AR27" s="817"/>
      <c r="AS27" s="817"/>
      <c r="AT27" s="817"/>
      <c r="AU27" s="757"/>
      <c r="AV27" s="757"/>
      <c r="AW27" s="817"/>
      <c r="AX27" s="817"/>
      <c r="AY27" s="817"/>
      <c r="AZ27" s="817"/>
      <c r="BA27" s="812"/>
      <c r="BB27" s="813"/>
      <c r="BC27" s="799"/>
    </row>
    <row r="28" spans="1:55">
      <c r="A28" s="723"/>
      <c r="B28" s="847"/>
      <c r="C28" s="756" t="s">
        <v>65</v>
      </c>
      <c r="D28" s="757"/>
      <c r="E28" s="757"/>
      <c r="F28" s="757"/>
      <c r="G28" s="757"/>
      <c r="H28" s="757"/>
      <c r="I28" s="757"/>
      <c r="J28" s="757"/>
      <c r="K28" s="796"/>
      <c r="L28" s="797"/>
      <c r="M28" s="1384">
        <f>Design!M28</f>
        <v>0</v>
      </c>
      <c r="N28" s="1385"/>
      <c r="O28" s="1385"/>
      <c r="P28" s="757" t="s">
        <v>30</v>
      </c>
      <c r="Q28" s="757"/>
      <c r="R28" s="757"/>
      <c r="S28" s="757"/>
      <c r="T28" s="757"/>
      <c r="U28" s="757"/>
      <c r="V28" s="757"/>
      <c r="W28" s="757"/>
      <c r="X28" s="757"/>
      <c r="Y28" s="757"/>
      <c r="Z28" s="757"/>
      <c r="AA28" s="757"/>
      <c r="AB28" s="758"/>
      <c r="AC28" s="756" t="s">
        <v>81</v>
      </c>
      <c r="AD28" s="757"/>
      <c r="AE28" s="757"/>
      <c r="AF28" s="757"/>
      <c r="AG28" s="757"/>
      <c r="AH28" s="757"/>
      <c r="AI28" s="757"/>
      <c r="AJ28" s="757"/>
      <c r="AK28" s="757"/>
      <c r="AL28" s="758"/>
      <c r="AM28" s="1384">
        <f>Design!AM32</f>
        <v>0</v>
      </c>
      <c r="AN28" s="1385"/>
      <c r="AO28" s="1385"/>
      <c r="AP28" s="757" t="s">
        <v>30</v>
      </c>
      <c r="AQ28" s="817"/>
      <c r="AR28" s="817"/>
      <c r="AS28" s="817"/>
      <c r="AT28" s="817"/>
      <c r="AU28" s="757"/>
      <c r="AV28" s="757"/>
      <c r="AW28" s="817"/>
      <c r="AX28" s="817"/>
      <c r="AY28" s="817"/>
      <c r="AZ28" s="817"/>
      <c r="BA28" s="812"/>
      <c r="BB28" s="813"/>
      <c r="BC28" s="799"/>
    </row>
    <row r="29" spans="1:55" ht="15.75" thickBot="1">
      <c r="A29" s="723"/>
      <c r="B29" s="848"/>
      <c r="C29" s="761" t="s">
        <v>69</v>
      </c>
      <c r="D29" s="757"/>
      <c r="E29" s="757"/>
      <c r="F29" s="757"/>
      <c r="G29" s="757"/>
      <c r="H29" s="757"/>
      <c r="I29" s="757"/>
      <c r="J29" s="757"/>
      <c r="K29" s="796"/>
      <c r="L29" s="797"/>
      <c r="M29" s="1384">
        <f>Design!M29</f>
        <v>0</v>
      </c>
      <c r="N29" s="1385"/>
      <c r="O29" s="1385"/>
      <c r="P29" s="757"/>
      <c r="Q29" s="757"/>
      <c r="R29" s="757"/>
      <c r="S29" s="757"/>
      <c r="T29" s="757"/>
      <c r="U29" s="757"/>
      <c r="V29" s="757"/>
      <c r="W29" s="757"/>
      <c r="X29" s="757"/>
      <c r="Y29" s="757"/>
      <c r="Z29" s="757"/>
      <c r="AA29" s="757"/>
      <c r="AB29" s="758"/>
      <c r="AC29" s="756" t="s">
        <v>84</v>
      </c>
      <c r="AD29" s="757"/>
      <c r="AE29" s="757"/>
      <c r="AF29" s="757"/>
      <c r="AG29" s="757"/>
      <c r="AH29" s="757"/>
      <c r="AI29" s="757"/>
      <c r="AJ29" s="757"/>
      <c r="AK29" s="757"/>
      <c r="AL29" s="758"/>
      <c r="AM29" s="1384">
        <f>Design!AM33</f>
        <v>0</v>
      </c>
      <c r="AN29" s="1385"/>
      <c r="AO29" s="1385"/>
      <c r="AP29" s="757"/>
      <c r="AQ29" s="817"/>
      <c r="AR29" s="817"/>
      <c r="AS29" s="817"/>
      <c r="AT29" s="817"/>
      <c r="AU29" s="757"/>
      <c r="AV29" s="757"/>
      <c r="AW29" s="817"/>
      <c r="AX29" s="817"/>
      <c r="AY29" s="817"/>
      <c r="AZ29" s="817"/>
      <c r="BA29" s="812"/>
      <c r="BB29" s="813"/>
      <c r="BC29" s="799"/>
    </row>
    <row r="30" spans="1:55" ht="15.75" thickBot="1">
      <c r="A30" s="723"/>
      <c r="B30" s="848"/>
      <c r="C30" s="761" t="s">
        <v>72</v>
      </c>
      <c r="D30" s="757"/>
      <c r="E30" s="757"/>
      <c r="F30" s="757"/>
      <c r="G30" s="757"/>
      <c r="H30" s="757"/>
      <c r="I30" s="757"/>
      <c r="J30" s="757"/>
      <c r="K30" s="796"/>
      <c r="L30" s="797"/>
      <c r="M30" s="1384" t="e">
        <f>Design!M30</f>
        <v>#NAME?</v>
      </c>
      <c r="N30" s="1385"/>
      <c r="O30" s="1385"/>
      <c r="P30" s="757" t="s">
        <v>73</v>
      </c>
      <c r="Q30" s="757"/>
      <c r="R30" s="757"/>
      <c r="S30" s="757"/>
      <c r="T30" s="757"/>
      <c r="U30" s="757"/>
      <c r="V30" s="757"/>
      <c r="W30" s="757"/>
      <c r="X30" s="757"/>
      <c r="Y30" s="757"/>
      <c r="Z30" s="757"/>
      <c r="AA30" s="757"/>
      <c r="AB30" s="758"/>
      <c r="AC30" s="749" t="s">
        <v>339</v>
      </c>
      <c r="AD30" s="750"/>
      <c r="AE30" s="750"/>
      <c r="AF30" s="750"/>
      <c r="AG30" s="750"/>
      <c r="AH30" s="750"/>
      <c r="AI30" s="750"/>
      <c r="AJ30" s="750"/>
      <c r="AK30" s="750"/>
      <c r="AL30" s="750"/>
      <c r="AM30" s="750"/>
      <c r="AN30" s="750"/>
      <c r="AO30" s="750"/>
      <c r="AP30" s="750"/>
      <c r="AQ30" s="750"/>
      <c r="AR30" s="750"/>
      <c r="AS30" s="750"/>
      <c r="AT30" s="750"/>
      <c r="AU30" s="750"/>
      <c r="AV30" s="750"/>
      <c r="AW30" s="750"/>
      <c r="AX30" s="750"/>
      <c r="AY30" s="750"/>
      <c r="AZ30" s="750"/>
      <c r="BA30" s="750"/>
      <c r="BB30" s="776"/>
      <c r="BC30" s="799"/>
    </row>
    <row r="31" spans="1:55">
      <c r="A31" s="723"/>
      <c r="B31" s="848"/>
      <c r="C31" s="761" t="s">
        <v>77</v>
      </c>
      <c r="D31" s="757"/>
      <c r="E31" s="757"/>
      <c r="F31" s="757"/>
      <c r="G31" s="757"/>
      <c r="H31" s="757"/>
      <c r="I31" s="757"/>
      <c r="J31" s="757"/>
      <c r="K31" s="793"/>
      <c r="L31" s="794"/>
      <c r="M31" s="1384">
        <f>Design!M31</f>
        <v>0</v>
      </c>
      <c r="N31" s="1385"/>
      <c r="O31" s="1385"/>
      <c r="P31" s="757"/>
      <c r="Q31" s="757"/>
      <c r="R31" s="757"/>
      <c r="S31" s="757"/>
      <c r="T31" s="757"/>
      <c r="U31" s="757"/>
      <c r="V31" s="757"/>
      <c r="W31" s="757"/>
      <c r="X31" s="757"/>
      <c r="Y31" s="757"/>
      <c r="Z31" s="757"/>
      <c r="AA31" s="757"/>
      <c r="AB31" s="758"/>
      <c r="AC31" s="849" t="s">
        <v>340</v>
      </c>
      <c r="AD31" s="724"/>
      <c r="AE31" s="724"/>
      <c r="AF31" s="724"/>
      <c r="AG31" s="724"/>
      <c r="AH31" s="724"/>
      <c r="AI31" s="724"/>
      <c r="AJ31" s="724"/>
      <c r="AK31" s="724"/>
      <c r="AL31" s="726"/>
      <c r="AM31" s="1372" t="str">
        <f>Design!M73</f>
        <v/>
      </c>
      <c r="AN31" s="1372"/>
      <c r="AO31" s="1372"/>
      <c r="AP31" s="1372"/>
      <c r="AQ31" s="1372"/>
      <c r="AR31" s="1372"/>
      <c r="AS31" s="1372"/>
      <c r="AT31" s="1372"/>
      <c r="AU31" s="1372"/>
      <c r="AV31" s="1372"/>
      <c r="AW31" s="1372"/>
      <c r="AX31" s="1372"/>
      <c r="AY31" s="754"/>
      <c r="AZ31" s="754"/>
      <c r="BA31" s="724"/>
      <c r="BB31" s="726"/>
      <c r="BC31" s="799"/>
    </row>
    <row r="32" spans="1:55">
      <c r="A32" s="723"/>
      <c r="B32" s="847"/>
      <c r="C32" s="756" t="s">
        <v>79</v>
      </c>
      <c r="D32" s="757"/>
      <c r="E32" s="757"/>
      <c r="F32" s="757"/>
      <c r="G32" s="757"/>
      <c r="H32" s="757"/>
      <c r="I32" s="758"/>
      <c r="J32" s="757"/>
      <c r="K32" s="757"/>
      <c r="L32" s="758"/>
      <c r="M32" s="1384">
        <f>Design!M32</f>
        <v>0</v>
      </c>
      <c r="N32" s="1385"/>
      <c r="O32" s="1385"/>
      <c r="P32" s="757" t="s">
        <v>58</v>
      </c>
      <c r="Q32" s="757"/>
      <c r="R32" s="757"/>
      <c r="S32" s="757"/>
      <c r="T32" s="757"/>
      <c r="U32" s="757"/>
      <c r="V32" s="757"/>
      <c r="W32" s="757"/>
      <c r="X32" s="757"/>
      <c r="Y32" s="757"/>
      <c r="Z32" s="757"/>
      <c r="AA32" s="757"/>
      <c r="AB32" s="758"/>
      <c r="AC32" s="756" t="s">
        <v>341</v>
      </c>
      <c r="AD32" s="757"/>
      <c r="AE32" s="757"/>
      <c r="AF32" s="757"/>
      <c r="AG32" s="757"/>
      <c r="AH32" s="757"/>
      <c r="AI32" s="757"/>
      <c r="AJ32" s="757"/>
      <c r="AK32" s="757"/>
      <c r="AL32" s="758"/>
      <c r="AM32" s="1497" t="e">
        <f>Design!M74</f>
        <v>#N/A</v>
      </c>
      <c r="AN32" s="1498"/>
      <c r="AO32" s="1498"/>
      <c r="AP32" s="1498"/>
      <c r="AQ32" s="1498"/>
      <c r="AR32" s="1498"/>
      <c r="AS32" s="1498"/>
      <c r="AT32" s="1498"/>
      <c r="AU32" s="1498"/>
      <c r="AV32" s="1498"/>
      <c r="AW32" s="1498"/>
      <c r="AX32" s="1498"/>
      <c r="AY32" s="817"/>
      <c r="AZ32" s="817"/>
      <c r="BA32" s="812"/>
      <c r="BB32" s="813"/>
      <c r="BC32" s="799"/>
    </row>
    <row r="33" spans="1:55">
      <c r="A33" s="723"/>
      <c r="B33" s="847"/>
      <c r="C33" s="756" t="s">
        <v>342</v>
      </c>
      <c r="D33" s="757"/>
      <c r="E33" s="757"/>
      <c r="F33" s="757"/>
      <c r="G33" s="757"/>
      <c r="H33" s="757"/>
      <c r="I33" s="757"/>
      <c r="J33" s="757"/>
      <c r="K33" s="757"/>
      <c r="L33" s="758"/>
      <c r="M33" s="1384">
        <f>Design!M33</f>
        <v>0</v>
      </c>
      <c r="N33" s="1385"/>
      <c r="O33" s="1385"/>
      <c r="P33" s="757" t="s">
        <v>28</v>
      </c>
      <c r="Q33" s="757"/>
      <c r="R33" s="757"/>
      <c r="S33" s="757"/>
      <c r="T33" s="757"/>
      <c r="U33" s="757"/>
      <c r="V33" s="757"/>
      <c r="W33" s="757"/>
      <c r="X33" s="757"/>
      <c r="Y33" s="757"/>
      <c r="Z33" s="757"/>
      <c r="AA33" s="757"/>
      <c r="AB33" s="758"/>
      <c r="AC33" s="756" t="s">
        <v>343</v>
      </c>
      <c r="AD33" s="757"/>
      <c r="AE33" s="757"/>
      <c r="AF33" s="757"/>
      <c r="AG33" s="757"/>
      <c r="AH33" s="757"/>
      <c r="AI33" s="757"/>
      <c r="AJ33" s="757"/>
      <c r="AK33" s="757"/>
      <c r="AL33" s="758"/>
      <c r="AM33" s="1384" t="str">
        <f>AM31</f>
        <v/>
      </c>
      <c r="AN33" s="1385"/>
      <c r="AO33" s="1385"/>
      <c r="AP33" s="1385"/>
      <c r="AQ33" s="1385"/>
      <c r="AR33" s="1385"/>
      <c r="AS33" s="1385"/>
      <c r="AT33" s="1385"/>
      <c r="AU33" s="1385"/>
      <c r="AV33" s="1385"/>
      <c r="AW33" s="1385"/>
      <c r="AX33" s="1385"/>
      <c r="AY33" s="817"/>
      <c r="AZ33" s="817"/>
      <c r="BA33" s="812"/>
      <c r="BB33" s="813"/>
      <c r="BC33" s="799"/>
    </row>
    <row r="34" spans="1:55">
      <c r="A34" s="723"/>
      <c r="B34" s="847"/>
      <c r="C34" s="756" t="s">
        <v>344</v>
      </c>
      <c r="D34" s="757"/>
      <c r="E34" s="757"/>
      <c r="F34" s="757"/>
      <c r="G34" s="757"/>
      <c r="H34" s="757"/>
      <c r="I34" s="757"/>
      <c r="J34" s="757"/>
      <c r="K34" s="757"/>
      <c r="L34" s="758"/>
      <c r="M34" s="1384">
        <f>Design!M34</f>
        <v>0</v>
      </c>
      <c r="N34" s="1385"/>
      <c r="O34" s="1385"/>
      <c r="P34" s="757" t="s">
        <v>28</v>
      </c>
      <c r="Q34" s="757"/>
      <c r="R34" s="757"/>
      <c r="S34" s="757"/>
      <c r="T34" s="757"/>
      <c r="U34" s="757"/>
      <c r="V34" s="757"/>
      <c r="W34" s="757"/>
      <c r="X34" s="757"/>
      <c r="Y34" s="757"/>
      <c r="Z34" s="757"/>
      <c r="AA34" s="757"/>
      <c r="AB34" s="758"/>
      <c r="AC34" s="756" t="s">
        <v>345</v>
      </c>
      <c r="AD34" s="757"/>
      <c r="AE34" s="757"/>
      <c r="AF34" s="757"/>
      <c r="AG34" s="757"/>
      <c r="AH34" s="757"/>
      <c r="AI34" s="757"/>
      <c r="AJ34" s="757"/>
      <c r="AK34" s="757"/>
      <c r="AL34" s="758"/>
      <c r="AM34" s="1384" t="e">
        <f>AM32</f>
        <v>#N/A</v>
      </c>
      <c r="AN34" s="1385"/>
      <c r="AO34" s="1385"/>
      <c r="AP34" s="1385"/>
      <c r="AQ34" s="1385"/>
      <c r="AR34" s="1385"/>
      <c r="AS34" s="1385"/>
      <c r="AT34" s="1385"/>
      <c r="AU34" s="1385"/>
      <c r="AV34" s="1385"/>
      <c r="AW34" s="1385"/>
      <c r="AX34" s="1385"/>
      <c r="AY34" s="817"/>
      <c r="AZ34" s="817"/>
      <c r="BA34" s="812"/>
      <c r="BB34" s="813"/>
      <c r="BC34" s="799"/>
    </row>
    <row r="35" spans="1:55">
      <c r="A35" s="723"/>
      <c r="B35" s="847"/>
      <c r="C35" s="756" t="s">
        <v>90</v>
      </c>
      <c r="D35" s="757"/>
      <c r="E35" s="757"/>
      <c r="F35" s="757"/>
      <c r="G35" s="757"/>
      <c r="H35" s="757"/>
      <c r="I35" s="757"/>
      <c r="J35" s="757"/>
      <c r="K35" s="757"/>
      <c r="L35" s="758"/>
      <c r="M35" s="1384">
        <f>Design!M35</f>
        <v>0</v>
      </c>
      <c r="N35" s="1385"/>
      <c r="O35" s="1385"/>
      <c r="P35" s="757" t="s">
        <v>30</v>
      </c>
      <c r="Q35" s="757"/>
      <c r="R35" s="757"/>
      <c r="S35" s="757"/>
      <c r="T35" s="757"/>
      <c r="U35" s="757"/>
      <c r="V35" s="757"/>
      <c r="W35" s="757"/>
      <c r="X35" s="757"/>
      <c r="Y35" s="757"/>
      <c r="Z35" s="757"/>
      <c r="AA35" s="757"/>
      <c r="AB35" s="758"/>
      <c r="AC35" s="756" t="s">
        <v>346</v>
      </c>
      <c r="AD35" s="757"/>
      <c r="AE35" s="757"/>
      <c r="AF35" s="757"/>
      <c r="AG35" s="757"/>
      <c r="AH35" s="757"/>
      <c r="AI35" s="757"/>
      <c r="AJ35" s="757"/>
      <c r="AK35" s="757"/>
      <c r="AL35" s="758"/>
      <c r="AM35" s="1384" t="str">
        <f>List!BY3</f>
        <v xml:space="preserve">Superior 5" Return </v>
      </c>
      <c r="AN35" s="1385"/>
      <c r="AO35" s="1385"/>
      <c r="AP35" s="1385"/>
      <c r="AQ35" s="1385"/>
      <c r="AR35" s="1385"/>
      <c r="AS35" s="1385"/>
      <c r="AT35" s="1385"/>
      <c r="AU35" s="1385"/>
      <c r="AV35" s="1385"/>
      <c r="AW35" s="1385"/>
      <c r="AX35" s="1385"/>
      <c r="AY35" s="817"/>
      <c r="AZ35" s="817"/>
      <c r="BA35" s="812"/>
      <c r="BB35" s="813"/>
      <c r="BC35" s="725"/>
    </row>
    <row r="36" spans="1:55" ht="15.75" thickBot="1">
      <c r="A36" s="723"/>
      <c r="B36" s="847"/>
      <c r="C36" s="767" t="s">
        <v>94</v>
      </c>
      <c r="D36" s="768"/>
      <c r="E36" s="768"/>
      <c r="F36" s="768"/>
      <c r="G36" s="768"/>
      <c r="H36" s="768"/>
      <c r="I36" s="768"/>
      <c r="J36" s="768"/>
      <c r="K36" s="768"/>
      <c r="L36" s="769"/>
      <c r="M36" s="1494">
        <f>Design!M36</f>
        <v>0</v>
      </c>
      <c r="N36" s="1495"/>
      <c r="O36" s="1495"/>
      <c r="P36" s="768" t="s">
        <v>30</v>
      </c>
      <c r="Q36" s="768"/>
      <c r="R36" s="768"/>
      <c r="S36" s="768"/>
      <c r="T36" s="768"/>
      <c r="U36" s="768"/>
      <c r="V36" s="768"/>
      <c r="W36" s="768"/>
      <c r="X36" s="768"/>
      <c r="Y36" s="768"/>
      <c r="Z36" s="768"/>
      <c r="AA36" s="768"/>
      <c r="AB36" s="769"/>
      <c r="AC36" s="756" t="s">
        <v>347</v>
      </c>
      <c r="AD36" s="757"/>
      <c r="AE36" s="757"/>
      <c r="AF36" s="757"/>
      <c r="AG36" s="757"/>
      <c r="AH36" s="757"/>
      <c r="AI36" s="757"/>
      <c r="AJ36" s="757"/>
      <c r="AK36" s="757"/>
      <c r="AL36" s="758"/>
      <c r="AM36" s="1384" t="e">
        <f>INDEX(List!BT3:BY9,MATCH(M23,List!BT3:BT9,0),MATCH(AM35,List!BT3:BY3,0),1)</f>
        <v>#N/A</v>
      </c>
      <c r="AN36" s="1385"/>
      <c r="AO36" s="1385"/>
      <c r="AP36" s="1385"/>
      <c r="AQ36" s="1385"/>
      <c r="AR36" s="1385"/>
      <c r="AS36" s="1385"/>
      <c r="AT36" s="1385"/>
      <c r="AU36" s="1385"/>
      <c r="AV36" s="1385"/>
      <c r="AW36" s="1385"/>
      <c r="AX36" s="1385"/>
      <c r="AY36" s="817"/>
      <c r="AZ36" s="817"/>
      <c r="BA36" s="812"/>
      <c r="BB36" s="813"/>
      <c r="BC36" s="725"/>
    </row>
    <row r="37" spans="1:55" ht="15.75" thickBot="1">
      <c r="A37" s="723"/>
      <c r="B37" s="752"/>
      <c r="C37" s="749" t="s">
        <v>348</v>
      </c>
      <c r="D37" s="750"/>
      <c r="E37" s="750"/>
      <c r="F37" s="750"/>
      <c r="G37" s="750"/>
      <c r="H37" s="750"/>
      <c r="I37" s="750"/>
      <c r="J37" s="750"/>
      <c r="K37" s="750"/>
      <c r="L37" s="750"/>
      <c r="M37" s="750"/>
      <c r="N37" s="750"/>
      <c r="O37" s="750"/>
      <c r="P37" s="750"/>
      <c r="Q37" s="750"/>
      <c r="R37" s="750"/>
      <c r="S37" s="750"/>
      <c r="T37" s="750"/>
      <c r="U37" s="750"/>
      <c r="V37" s="750"/>
      <c r="W37" s="750"/>
      <c r="X37" s="750"/>
      <c r="Y37" s="750"/>
      <c r="Z37" s="750"/>
      <c r="AA37" s="750"/>
      <c r="AB37" s="776"/>
      <c r="AC37" s="749" t="s">
        <v>349</v>
      </c>
      <c r="AD37" s="750"/>
      <c r="AE37" s="750"/>
      <c r="AF37" s="750"/>
      <c r="AG37" s="750"/>
      <c r="AH37" s="750"/>
      <c r="AI37" s="750"/>
      <c r="AJ37" s="750"/>
      <c r="AK37" s="750"/>
      <c r="AL37" s="750"/>
      <c r="AM37" s="750"/>
      <c r="AN37" s="750"/>
      <c r="AO37" s="750"/>
      <c r="AP37" s="750"/>
      <c r="AQ37" s="750"/>
      <c r="AR37" s="750"/>
      <c r="AS37" s="750"/>
      <c r="AT37" s="750"/>
      <c r="AU37" s="750"/>
      <c r="AV37" s="750"/>
      <c r="AW37" s="750"/>
      <c r="AX37" s="750"/>
      <c r="AY37" s="750"/>
      <c r="AZ37" s="750"/>
      <c r="BA37" s="750"/>
      <c r="BB37" s="776"/>
      <c r="BC37" s="725"/>
    </row>
    <row r="38" spans="1:55">
      <c r="A38" s="723"/>
      <c r="B38" s="752"/>
      <c r="C38" s="804" t="s">
        <v>188</v>
      </c>
      <c r="D38" s="754"/>
      <c r="E38" s="754"/>
      <c r="F38" s="754"/>
      <c r="G38" s="754"/>
      <c r="H38" s="754"/>
      <c r="I38" s="755"/>
      <c r="J38" s="1496">
        <f>Design!J61</f>
        <v>0</v>
      </c>
      <c r="K38" s="1372"/>
      <c r="L38" s="1372"/>
      <c r="M38" s="1372"/>
      <c r="N38" s="1372"/>
      <c r="O38" s="1372"/>
      <c r="P38" s="754"/>
      <c r="Q38" s="1372">
        <f>Design!Q61</f>
        <v>0</v>
      </c>
      <c r="R38" s="1372"/>
      <c r="S38" s="1372"/>
      <c r="T38" s="1372"/>
      <c r="U38" s="1372"/>
      <c r="V38" s="1372"/>
      <c r="W38" s="754"/>
      <c r="X38" s="754"/>
      <c r="Y38" s="754"/>
      <c r="Z38" s="754"/>
      <c r="AA38" s="754"/>
      <c r="AB38" s="755"/>
      <c r="AC38" s="756" t="s">
        <v>350</v>
      </c>
      <c r="AD38" s="757"/>
      <c r="AE38" s="757"/>
      <c r="AF38" s="757"/>
      <c r="AG38" s="757"/>
      <c r="AH38" s="757"/>
      <c r="AI38" s="757"/>
      <c r="AJ38" s="757"/>
      <c r="AK38" s="757"/>
      <c r="AL38" s="758"/>
      <c r="AM38" s="1343">
        <f>Design!AM31</f>
        <v>0</v>
      </c>
      <c r="AN38" s="1344"/>
      <c r="AO38" s="1344"/>
      <c r="AP38" s="757" t="s">
        <v>30</v>
      </c>
      <c r="AQ38" s="817"/>
      <c r="AR38" s="817"/>
      <c r="AS38" s="817"/>
      <c r="AT38" s="817"/>
      <c r="AU38" s="757"/>
      <c r="AV38" s="757"/>
      <c r="AW38" s="817"/>
      <c r="AX38" s="817"/>
      <c r="AY38" s="817"/>
      <c r="AZ38" s="817"/>
      <c r="BA38" s="812"/>
      <c r="BB38" s="813"/>
      <c r="BC38" s="725"/>
    </row>
    <row r="39" spans="1:55">
      <c r="A39" s="723"/>
      <c r="B39" s="752"/>
      <c r="C39" s="805" t="s">
        <v>192</v>
      </c>
      <c r="D39" s="757"/>
      <c r="E39" s="757"/>
      <c r="F39" s="757"/>
      <c r="G39" s="757"/>
      <c r="H39" s="757"/>
      <c r="I39" s="758"/>
      <c r="J39" s="1345">
        <f>Design!J62</f>
        <v>0</v>
      </c>
      <c r="K39" s="1327"/>
      <c r="L39" s="1327"/>
      <c r="M39" s="1327"/>
      <c r="N39" s="1327"/>
      <c r="O39" s="1327"/>
      <c r="P39" s="757" t="s">
        <v>193</v>
      </c>
      <c r="Q39" s="807"/>
      <c r="R39" s="807"/>
      <c r="S39" s="807"/>
      <c r="T39" s="807"/>
      <c r="U39" s="807"/>
      <c r="V39" s="807"/>
      <c r="W39" s="759"/>
      <c r="X39" s="759"/>
      <c r="Y39" s="759"/>
      <c r="Z39" s="759"/>
      <c r="AA39" s="759"/>
      <c r="AB39" s="760"/>
      <c r="AC39" s="756" t="s">
        <v>351</v>
      </c>
      <c r="AD39" s="757"/>
      <c r="AE39" s="757"/>
      <c r="AF39" s="757"/>
      <c r="AG39" s="757"/>
      <c r="AH39" s="757"/>
      <c r="AI39" s="757"/>
      <c r="AJ39" s="757"/>
      <c r="AK39" s="757"/>
      <c r="AL39" s="758"/>
      <c r="AM39" s="851" t="e">
        <f>Design!M89</f>
        <v>#N/A</v>
      </c>
      <c r="AN39" s="793"/>
      <c r="AO39" s="793"/>
      <c r="AP39" s="757"/>
      <c r="AQ39" s="757"/>
      <c r="AR39" s="757"/>
      <c r="AS39" s="757"/>
      <c r="AT39" s="757"/>
      <c r="AU39" s="757"/>
      <c r="AV39" s="757"/>
      <c r="AW39" s="757"/>
      <c r="AX39" s="757"/>
      <c r="AY39" s="757"/>
      <c r="AZ39" s="757"/>
      <c r="BA39" s="757"/>
      <c r="BB39" s="758"/>
      <c r="BC39" s="725"/>
    </row>
    <row r="40" spans="1:55">
      <c r="A40" s="723"/>
      <c r="B40" s="752"/>
      <c r="C40" s="805" t="s">
        <v>196</v>
      </c>
      <c r="D40" s="757"/>
      <c r="E40" s="757"/>
      <c r="F40" s="757"/>
      <c r="G40" s="757"/>
      <c r="H40" s="757"/>
      <c r="I40" s="758"/>
      <c r="J40" s="1345">
        <f>Design!J63</f>
        <v>0</v>
      </c>
      <c r="K40" s="1327"/>
      <c r="L40" s="1327"/>
      <c r="M40" s="1327"/>
      <c r="N40" s="1327"/>
      <c r="O40" s="1327"/>
      <c r="P40" s="757"/>
      <c r="Q40" s="1338">
        <f>Design!Q63</f>
        <v>0</v>
      </c>
      <c r="R40" s="1338"/>
      <c r="S40" s="1338"/>
      <c r="T40" s="1338"/>
      <c r="U40" s="1338"/>
      <c r="V40" s="1338"/>
      <c r="W40" s="759" t="s">
        <v>197</v>
      </c>
      <c r="X40" s="759"/>
      <c r="Y40" s="759"/>
      <c r="Z40" s="759"/>
      <c r="AA40" s="759"/>
      <c r="AB40" s="760"/>
      <c r="AC40" s="756" t="s">
        <v>352</v>
      </c>
      <c r="AD40" s="757"/>
      <c r="AE40" s="757"/>
      <c r="AF40" s="757"/>
      <c r="AG40" s="757"/>
      <c r="AH40" s="757"/>
      <c r="AI40" s="757"/>
      <c r="AJ40" s="757"/>
      <c r="AK40" s="757"/>
      <c r="AL40" s="758"/>
      <c r="AM40" s="1327">
        <f>Design!AM32</f>
        <v>0</v>
      </c>
      <c r="AN40" s="1327"/>
      <c r="AO40" s="1327"/>
      <c r="AP40" s="757" t="s">
        <v>30</v>
      </c>
      <c r="AQ40" s="757"/>
      <c r="AR40" s="757"/>
      <c r="AS40" s="757"/>
      <c r="AT40" s="757"/>
      <c r="AU40" s="757"/>
      <c r="AV40" s="757"/>
      <c r="AW40" s="757"/>
      <c r="AX40" s="757"/>
      <c r="AY40" s="757"/>
      <c r="AZ40" s="757"/>
      <c r="BA40" s="757"/>
      <c r="BB40" s="758"/>
      <c r="BC40" s="799"/>
    </row>
    <row r="41" spans="1:55" ht="15.75" thickBot="1">
      <c r="A41" s="723"/>
      <c r="B41" s="848"/>
      <c r="C41" s="805" t="s">
        <v>200</v>
      </c>
      <c r="D41" s="757"/>
      <c r="E41" s="757"/>
      <c r="F41" s="757"/>
      <c r="G41" s="757"/>
      <c r="H41" s="757"/>
      <c r="I41" s="758"/>
      <c r="J41" s="1345">
        <f>Design!J64</f>
        <v>0</v>
      </c>
      <c r="K41" s="1327"/>
      <c r="L41" s="1327"/>
      <c r="M41" s="1327"/>
      <c r="N41" s="1327"/>
      <c r="O41" s="1327"/>
      <c r="P41" s="757"/>
      <c r="Q41" s="1327">
        <f>Design!Q64</f>
        <v>0</v>
      </c>
      <c r="R41" s="1327"/>
      <c r="S41" s="1327"/>
      <c r="T41" s="1327"/>
      <c r="U41" s="1327"/>
      <c r="V41" s="1327"/>
      <c r="W41" s="759" t="s">
        <v>201</v>
      </c>
      <c r="X41" s="759"/>
      <c r="Y41" s="759"/>
      <c r="Z41" s="759"/>
      <c r="AA41" s="759"/>
      <c r="AB41" s="760"/>
      <c r="AC41" s="756" t="s">
        <v>353</v>
      </c>
      <c r="AD41" s="724"/>
      <c r="AE41" s="724"/>
      <c r="AF41" s="724"/>
      <c r="AG41" s="724"/>
      <c r="AH41" s="724"/>
      <c r="AI41" s="724"/>
      <c r="AJ41" s="724"/>
      <c r="AK41" s="724"/>
      <c r="AL41" s="742"/>
      <c r="AM41" s="724" t="e">
        <f>Design!M89</f>
        <v>#N/A</v>
      </c>
      <c r="AN41" s="724"/>
      <c r="AO41" s="724"/>
      <c r="AP41" s="724"/>
      <c r="AQ41" s="724"/>
      <c r="AR41" s="724"/>
      <c r="AS41" s="724"/>
      <c r="AT41" s="724"/>
      <c r="AU41" s="724"/>
      <c r="AV41" s="724"/>
      <c r="AW41" s="724"/>
      <c r="AX41" s="724"/>
      <c r="AY41" s="724"/>
      <c r="AZ41" s="724"/>
      <c r="BA41" s="724"/>
      <c r="BB41" s="724"/>
      <c r="BC41" s="799"/>
    </row>
    <row r="42" spans="1:55" ht="15.75" thickBot="1">
      <c r="A42" s="723"/>
      <c r="B42" s="848"/>
      <c r="C42" s="805" t="s">
        <v>205</v>
      </c>
      <c r="D42" s="757"/>
      <c r="E42" s="757"/>
      <c r="F42" s="757"/>
      <c r="G42" s="757"/>
      <c r="H42" s="757"/>
      <c r="I42" s="758"/>
      <c r="J42" s="1345">
        <f>Design!J65</f>
        <v>0</v>
      </c>
      <c r="K42" s="1327"/>
      <c r="L42" s="1327"/>
      <c r="M42" s="1327"/>
      <c r="N42" s="1327"/>
      <c r="O42" s="1327"/>
      <c r="P42" s="757"/>
      <c r="Q42" s="1327">
        <f>Design!Q65</f>
        <v>0</v>
      </c>
      <c r="R42" s="1327"/>
      <c r="S42" s="1327"/>
      <c r="T42" s="1327"/>
      <c r="U42" s="1327"/>
      <c r="V42" s="1327"/>
      <c r="W42" s="757"/>
      <c r="X42" s="757"/>
      <c r="Y42" s="757"/>
      <c r="Z42" s="757"/>
      <c r="AA42" s="757"/>
      <c r="AB42" s="758"/>
      <c r="AC42" s="1457" t="s">
        <v>354</v>
      </c>
      <c r="AD42" s="1458"/>
      <c r="AE42" s="1458"/>
      <c r="AF42" s="1458"/>
      <c r="AG42" s="1458"/>
      <c r="AH42" s="1458"/>
      <c r="AI42" s="1458"/>
      <c r="AJ42" s="1458"/>
      <c r="AK42" s="1458"/>
      <c r="AL42" s="1458"/>
      <c r="AM42" s="1458"/>
      <c r="AN42" s="1458"/>
      <c r="AO42" s="1459"/>
      <c r="AP42" s="1457" t="s">
        <v>355</v>
      </c>
      <c r="AQ42" s="1458"/>
      <c r="AR42" s="1458"/>
      <c r="AS42" s="1458"/>
      <c r="AT42" s="1458"/>
      <c r="AU42" s="1458"/>
      <c r="AV42" s="1458"/>
      <c r="AW42" s="1458"/>
      <c r="AX42" s="1458"/>
      <c r="AY42" s="1458"/>
      <c r="AZ42" s="1458"/>
      <c r="BA42" s="1458"/>
      <c r="BB42" s="1459"/>
      <c r="BC42" s="799"/>
    </row>
    <row r="43" spans="1:55" ht="15.75" thickBot="1">
      <c r="A43" s="723"/>
      <c r="B43" s="848"/>
      <c r="C43" s="805" t="s">
        <v>208</v>
      </c>
      <c r="D43" s="757"/>
      <c r="E43" s="757"/>
      <c r="F43" s="757"/>
      <c r="G43" s="757"/>
      <c r="H43" s="757"/>
      <c r="I43" s="758"/>
      <c r="J43" s="1345">
        <f>Design!J66</f>
        <v>0</v>
      </c>
      <c r="K43" s="1327"/>
      <c r="L43" s="1327"/>
      <c r="M43" s="1327"/>
      <c r="N43" s="1327"/>
      <c r="O43" s="1327"/>
      <c r="P43" s="810"/>
      <c r="Q43" s="762" t="s">
        <v>170</v>
      </c>
      <c r="R43" s="762"/>
      <c r="S43" s="762"/>
      <c r="T43" s="762"/>
      <c r="U43" s="762"/>
      <c r="V43" s="762"/>
      <c r="W43" s="762"/>
      <c r="X43" s="762"/>
      <c r="Y43" s="762"/>
      <c r="Z43" s="762"/>
      <c r="AA43" s="762"/>
      <c r="AB43" s="765"/>
      <c r="AC43" s="1491">
        <f>Design!K100</f>
        <v>0</v>
      </c>
      <c r="AD43" s="1492"/>
      <c r="AE43" s="1492"/>
      <c r="AF43" s="1492"/>
      <c r="AG43" s="1492"/>
      <c r="AH43" s="1492"/>
      <c r="AI43" s="1492"/>
      <c r="AJ43" s="1492"/>
      <c r="AK43" s="1492"/>
      <c r="AL43" s="1492"/>
      <c r="AM43" s="1492"/>
      <c r="AN43" s="1492"/>
      <c r="AO43" s="1493"/>
      <c r="AP43" s="1491">
        <f>Design!K102</f>
        <v>0</v>
      </c>
      <c r="AQ43" s="1492"/>
      <c r="AR43" s="1492"/>
      <c r="AS43" s="1492"/>
      <c r="AT43" s="1492"/>
      <c r="AU43" s="1492"/>
      <c r="AV43" s="1492"/>
      <c r="AW43" s="1492"/>
      <c r="AX43" s="1492"/>
      <c r="AY43" s="1492"/>
      <c r="AZ43" s="1492"/>
      <c r="BA43" s="1492"/>
      <c r="BB43" s="1493"/>
      <c r="BC43" s="799"/>
    </row>
    <row r="44" spans="1:55" ht="15.75" thickBot="1">
      <c r="A44" s="723"/>
      <c r="B44" s="847"/>
      <c r="C44" s="805" t="s">
        <v>212</v>
      </c>
      <c r="D44" s="757"/>
      <c r="E44" s="757"/>
      <c r="F44" s="757"/>
      <c r="G44" s="757"/>
      <c r="H44" s="757"/>
      <c r="I44" s="758"/>
      <c r="J44" s="1345">
        <f>Design!J67</f>
        <v>0</v>
      </c>
      <c r="K44" s="1327"/>
      <c r="L44" s="1327"/>
      <c r="M44" s="1327"/>
      <c r="N44" s="1327"/>
      <c r="O44" s="1327"/>
      <c r="P44" s="1327"/>
      <c r="Q44" s="1327"/>
      <c r="R44" s="1327"/>
      <c r="S44" s="1327"/>
      <c r="T44" s="1327"/>
      <c r="U44" s="1327"/>
      <c r="V44" s="1327"/>
      <c r="W44" s="1327"/>
      <c r="X44" s="1327"/>
      <c r="Y44" s="1327"/>
      <c r="Z44" s="1327"/>
      <c r="AA44" s="1327"/>
      <c r="AB44" s="1481"/>
      <c r="AC44" s="1457" t="s">
        <v>356</v>
      </c>
      <c r="AD44" s="1458"/>
      <c r="AE44" s="1458"/>
      <c r="AF44" s="1458"/>
      <c r="AG44" s="1458"/>
      <c r="AH44" s="1458"/>
      <c r="AI44" s="1458"/>
      <c r="AJ44" s="1458"/>
      <c r="AK44" s="1458"/>
      <c r="AL44" s="1458"/>
      <c r="AM44" s="1458"/>
      <c r="AN44" s="1458"/>
      <c r="AO44" s="1459"/>
      <c r="AP44" s="1457" t="s">
        <v>357</v>
      </c>
      <c r="AQ44" s="1458"/>
      <c r="AR44" s="1458"/>
      <c r="AS44" s="1458"/>
      <c r="AT44" s="1458"/>
      <c r="AU44" s="1458"/>
      <c r="AV44" s="1458"/>
      <c r="AW44" s="1458"/>
      <c r="AX44" s="1458"/>
      <c r="AY44" s="1458"/>
      <c r="AZ44" s="1458"/>
      <c r="BA44" s="1458"/>
      <c r="BB44" s="1459"/>
      <c r="BC44" s="725"/>
    </row>
    <row r="45" spans="1:55">
      <c r="A45" s="723"/>
      <c r="B45" s="847"/>
      <c r="C45" s="805" t="s">
        <v>215</v>
      </c>
      <c r="D45" s="757"/>
      <c r="E45" s="757"/>
      <c r="F45" s="757"/>
      <c r="G45" s="757"/>
      <c r="H45" s="757"/>
      <c r="I45" s="758"/>
      <c r="J45" s="1345">
        <f>Design!J68</f>
        <v>0</v>
      </c>
      <c r="K45" s="1327"/>
      <c r="L45" s="1327"/>
      <c r="M45" s="1327"/>
      <c r="N45" s="1327"/>
      <c r="O45" s="1327"/>
      <c r="P45" s="1327"/>
      <c r="Q45" s="1327"/>
      <c r="R45" s="1327"/>
      <c r="S45" s="1327"/>
      <c r="T45" s="1327"/>
      <c r="U45" s="1327"/>
      <c r="V45" s="1327"/>
      <c r="W45" s="1327"/>
      <c r="X45" s="1327"/>
      <c r="Y45" s="1327"/>
      <c r="Z45" s="1327"/>
      <c r="AA45" s="1327"/>
      <c r="AB45" s="1481"/>
      <c r="AC45" s="1482">
        <f>Design!K101</f>
        <v>0</v>
      </c>
      <c r="AD45" s="1483"/>
      <c r="AE45" s="1483"/>
      <c r="AF45" s="1483"/>
      <c r="AG45" s="1483"/>
      <c r="AH45" s="1483"/>
      <c r="AI45" s="1483"/>
      <c r="AJ45" s="1483"/>
      <c r="AK45" s="1483"/>
      <c r="AL45" s="1483"/>
      <c r="AM45" s="1483"/>
      <c r="AN45" s="1483"/>
      <c r="AO45" s="1484"/>
      <c r="AP45" s="1482">
        <f>Design!AP91</f>
        <v>0</v>
      </c>
      <c r="AQ45" s="1483"/>
      <c r="AR45" s="1483"/>
      <c r="AS45" s="1483"/>
      <c r="AT45" s="1483"/>
      <c r="AU45" s="1483"/>
      <c r="AV45" s="1483"/>
      <c r="AW45" s="1483"/>
      <c r="AX45" s="1483"/>
      <c r="AY45" s="1483"/>
      <c r="AZ45" s="1483"/>
      <c r="BA45" s="1483"/>
      <c r="BB45" s="1484"/>
      <c r="BC45" s="725"/>
    </row>
    <row r="46" spans="1:55">
      <c r="A46" s="723"/>
      <c r="B46" s="752"/>
      <c r="C46" s="811" t="s">
        <v>218</v>
      </c>
      <c r="D46" s="812"/>
      <c r="E46" s="812"/>
      <c r="F46" s="812"/>
      <c r="G46" s="812"/>
      <c r="H46" s="812"/>
      <c r="I46" s="813"/>
      <c r="J46" s="1485">
        <f>Design!J69</f>
        <v>0</v>
      </c>
      <c r="K46" s="1486"/>
      <c r="L46" s="1486"/>
      <c r="M46" s="1486"/>
      <c r="N46" s="1486"/>
      <c r="O46" s="1486"/>
      <c r="P46" s="1486"/>
      <c r="Q46" s="1486"/>
      <c r="R46" s="1486"/>
      <c r="S46" s="1486"/>
      <c r="T46" s="1486"/>
      <c r="U46" s="1486"/>
      <c r="V46" s="1486"/>
      <c r="W46" s="1486"/>
      <c r="X46" s="1486"/>
      <c r="Y46" s="1486"/>
      <c r="Z46" s="1486"/>
      <c r="AA46" s="1486"/>
      <c r="AB46" s="1487"/>
      <c r="AC46" s="800"/>
      <c r="AD46" s="757"/>
      <c r="AE46" s="757"/>
      <c r="AF46" s="757"/>
      <c r="AG46" s="757"/>
      <c r="AH46" s="757"/>
      <c r="AI46" s="757"/>
      <c r="AJ46" s="757"/>
      <c r="AK46" s="757"/>
      <c r="AL46" s="757"/>
      <c r="AM46" s="817"/>
      <c r="AN46" s="817"/>
      <c r="AO46" s="827"/>
      <c r="AP46" s="817"/>
      <c r="AQ46" s="817"/>
      <c r="AR46" s="817"/>
      <c r="AS46" s="817"/>
      <c r="AT46" s="817"/>
      <c r="AU46" s="817"/>
      <c r="AV46" s="817"/>
      <c r="AW46" s="817"/>
      <c r="AX46" s="817"/>
      <c r="AY46" s="817"/>
      <c r="AZ46" s="817"/>
      <c r="BA46" s="817"/>
      <c r="BB46" s="827"/>
      <c r="BC46" s="725"/>
    </row>
    <row r="47" spans="1:55" ht="15.75" thickBot="1">
      <c r="A47" s="723"/>
      <c r="B47" s="852"/>
      <c r="C47" s="741"/>
      <c r="D47" s="741"/>
      <c r="E47" s="741"/>
      <c r="F47" s="741"/>
      <c r="G47" s="741"/>
      <c r="H47" s="741"/>
      <c r="I47" s="742"/>
      <c r="J47" s="1488"/>
      <c r="K47" s="1489"/>
      <c r="L47" s="1489"/>
      <c r="M47" s="1489"/>
      <c r="N47" s="1489"/>
      <c r="O47" s="1489"/>
      <c r="P47" s="1489"/>
      <c r="Q47" s="1489"/>
      <c r="R47" s="1489"/>
      <c r="S47" s="1489"/>
      <c r="T47" s="1489"/>
      <c r="U47" s="1489"/>
      <c r="V47" s="1489"/>
      <c r="W47" s="1489"/>
      <c r="X47" s="1489"/>
      <c r="Y47" s="1489"/>
      <c r="Z47" s="1489"/>
      <c r="AA47" s="1489"/>
      <c r="AB47" s="1490"/>
      <c r="AC47" s="741"/>
      <c r="AD47" s="741"/>
      <c r="AE47" s="741"/>
      <c r="AF47" s="741"/>
      <c r="AG47" s="741"/>
      <c r="AH47" s="741"/>
      <c r="AI47" s="741"/>
      <c r="AJ47" s="741"/>
      <c r="AK47" s="741"/>
      <c r="AL47" s="741"/>
      <c r="AM47" s="741"/>
      <c r="AN47" s="741"/>
      <c r="AO47" s="742"/>
      <c r="AP47" s="741"/>
      <c r="AQ47" s="741"/>
      <c r="AR47" s="741"/>
      <c r="AS47" s="741"/>
      <c r="AT47" s="741"/>
      <c r="AU47" s="741"/>
      <c r="AV47" s="741"/>
      <c r="AW47" s="741"/>
      <c r="AX47" s="741"/>
      <c r="AY47" s="741"/>
      <c r="AZ47" s="741"/>
      <c r="BA47" s="741"/>
      <c r="BB47" s="742"/>
      <c r="BC47" s="742"/>
    </row>
  </sheetData>
  <sheetProtection sheet="1" selectLockedCells="1"/>
  <dataConsolidate/>
  <mergeCells count="84">
    <mergeCell ref="P2:AO2"/>
    <mergeCell ref="P3:AO3"/>
    <mergeCell ref="U4:AF4"/>
    <mergeCell ref="AK4:AO4"/>
    <mergeCell ref="U5:AF5"/>
    <mergeCell ref="AK5:AO5"/>
    <mergeCell ref="U6:AF6"/>
    <mergeCell ref="AK6:AO6"/>
    <mergeCell ref="U7:AF7"/>
    <mergeCell ref="AK7:AO7"/>
    <mergeCell ref="U8:AF8"/>
    <mergeCell ref="AK8:AL8"/>
    <mergeCell ref="AN8:AO8"/>
    <mergeCell ref="P17:AB17"/>
    <mergeCell ref="C9:BC9"/>
    <mergeCell ref="P10:AB10"/>
    <mergeCell ref="AP10:AR10"/>
    <mergeCell ref="AP11:AR11"/>
    <mergeCell ref="P12:AB12"/>
    <mergeCell ref="AC12:AO14"/>
    <mergeCell ref="AP12:BB14"/>
    <mergeCell ref="P14:AB14"/>
    <mergeCell ref="P15:AB15"/>
    <mergeCell ref="AP15:AR15"/>
    <mergeCell ref="AW15:AY15"/>
    <mergeCell ref="P16:AB16"/>
    <mergeCell ref="AP16:BB16"/>
    <mergeCell ref="M25:O25"/>
    <mergeCell ref="AM25:AO25"/>
    <mergeCell ref="M19:O19"/>
    <mergeCell ref="AM19:AO19"/>
    <mergeCell ref="M20:O20"/>
    <mergeCell ref="AM20:AO20"/>
    <mergeCell ref="M21:O21"/>
    <mergeCell ref="AM21:AO21"/>
    <mergeCell ref="AM22:AO22"/>
    <mergeCell ref="M23:O23"/>
    <mergeCell ref="AM23:AO23"/>
    <mergeCell ref="M24:O24"/>
    <mergeCell ref="AM24:AO24"/>
    <mergeCell ref="M32:O32"/>
    <mergeCell ref="AM32:AX32"/>
    <mergeCell ref="M26:O26"/>
    <mergeCell ref="AM26:AO26"/>
    <mergeCell ref="M27:O27"/>
    <mergeCell ref="AM27:AO27"/>
    <mergeCell ref="M28:O28"/>
    <mergeCell ref="AM28:AO28"/>
    <mergeCell ref="M29:O29"/>
    <mergeCell ref="AM29:AO29"/>
    <mergeCell ref="M30:O30"/>
    <mergeCell ref="M31:O31"/>
    <mergeCell ref="AM31:AX31"/>
    <mergeCell ref="J39:O39"/>
    <mergeCell ref="M33:O33"/>
    <mergeCell ref="AM33:AX33"/>
    <mergeCell ref="M34:O34"/>
    <mergeCell ref="AM34:AX34"/>
    <mergeCell ref="M35:O35"/>
    <mergeCell ref="AM35:AX35"/>
    <mergeCell ref="M36:O36"/>
    <mergeCell ref="AM36:AX36"/>
    <mergeCell ref="J38:O38"/>
    <mergeCell ref="Q38:V38"/>
    <mergeCell ref="AM38:AO38"/>
    <mergeCell ref="J40:O40"/>
    <mergeCell ref="Q40:V40"/>
    <mergeCell ref="AM40:AO40"/>
    <mergeCell ref="J41:O41"/>
    <mergeCell ref="Q41:V41"/>
    <mergeCell ref="J45:AB45"/>
    <mergeCell ref="AC45:AO45"/>
    <mergeCell ref="AP45:BB45"/>
    <mergeCell ref="J46:AB47"/>
    <mergeCell ref="AP42:BB42"/>
    <mergeCell ref="J43:O43"/>
    <mergeCell ref="AC43:AO43"/>
    <mergeCell ref="AP43:BB43"/>
    <mergeCell ref="J44:AB44"/>
    <mergeCell ref="AC44:AO44"/>
    <mergeCell ref="AP44:BB44"/>
    <mergeCell ref="J42:O42"/>
    <mergeCell ref="Q42:V42"/>
    <mergeCell ref="AC42:AO42"/>
  </mergeCells>
  <dataValidations disablePrompts="1" count="5">
    <dataValidation type="decimal" allowBlank="1" showInputMessage="1" showErrorMessage="1" errorTitle="Trough Fill" error="Maximum Trough Fill Exceeded" sqref="J20:J21 M21 J23:J26 M28 M24:M26 M33:M34 AM19:AM23 AM26" xr:uid="{E75D230D-14F0-40CF-8FA7-71A7D2733CC8}">
      <formula1>0</formula1>
      <formula2>100</formula2>
    </dataValidation>
    <dataValidation allowBlank="1" showInputMessage="1" showErrorMessage="1" errorTitle="Trough Fill" error="Maximum Trough Fill Exceeded" sqref="M20:O20 M27:O27 M29:O30 M32:O32" xr:uid="{C5E76954-8CA0-4E3A-8454-20B33BFB35C3}"/>
    <dataValidation allowBlank="1" showInputMessage="1" showErrorMessage="1" promptTitle="Other" prompt="For project reference only." sqref="AP11" xr:uid="{A44973B3-AC6C-4BFA-A292-ED5DBC72EEA9}"/>
    <dataValidation allowBlank="1" showInputMessage="1" showErrorMessage="1" promptTitle="Temperature" prompt="Effects thermal expansion calculation." sqref="AP15" xr:uid="{E796C538-80B7-4645-B94E-11E187C58E86}"/>
    <dataValidation allowBlank="1" showInputMessage="1" showErrorMessage="1" promptTitle="Material Density" prompt="When this value is unknown, use 65 lb/ft3 for sludge and 75 lb/ft3 for grit." sqref="AP10" xr:uid="{DED56222-B31E-4A1E-8534-F237BBC2032A}"/>
  </dataValidations>
  <pageMargins left="0.25" right="0.25" top="0.75" bottom="0.75" header="0.3" footer="0.3"/>
  <pageSetup scale="49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FAD7940-78BD-44B1-9D21-02BCCA990824}">
          <x14:formula1>
            <xm:f>List!$B$3:$B$4</xm:f>
          </x14:formula1>
          <xm:sqref>K31:L31</xm:sqref>
        </x14:dataValidation>
        <x14:dataValidation type="list" allowBlank="1" showInputMessage="1" showErrorMessage="1" xr:uid="{001603C1-7392-4EF0-8C85-257F38EC3B3B}">
          <x14:formula1>
            <xm:f>List!$AY$3:$AY$7</xm:f>
          </x14:formula1>
          <xm:sqref>J45:AB45</xm:sqref>
        </x14:dataValidation>
        <x14:dataValidation type="list" allowBlank="1" showInputMessage="1" showErrorMessage="1" xr:uid="{39B8EA9D-6D83-404C-9C0D-690901885E6D}">
          <x14:formula1>
            <xm:f>List!$AZ$3:$AZ$6</xm:f>
          </x14:formula1>
          <xm:sqref>J44:AB44</xm:sqref>
        </x14:dataValidation>
        <x14:dataValidation type="list" allowBlank="1" showInputMessage="1" showErrorMessage="1" xr:uid="{F24833A9-1D43-4348-80D4-F35C6A685299}">
          <x14:formula1>
            <xm:f>List!$AV$3:$AV$8</xm:f>
          </x14:formula1>
          <xm:sqref>Q41:V41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00342-9B99-416E-992C-BAE9F8549886}">
  <sheetPr codeName="Sheet25">
    <tabColor theme="4" tint="0.79998168889431442"/>
    <pageSetUpPr fitToPage="1"/>
  </sheetPr>
  <dimension ref="A1:BD19"/>
  <sheetViews>
    <sheetView topLeftCell="A10" zoomScaleNormal="100" workbookViewId="0">
      <selection activeCell="W24" sqref="W24"/>
    </sheetView>
  </sheetViews>
  <sheetFormatPr defaultRowHeight="15"/>
  <cols>
    <col min="1" max="56" width="3.7109375" style="716" customWidth="1"/>
    <col min="57" max="16384" width="9.140625" style="716"/>
  </cols>
  <sheetData>
    <row r="1" spans="1:56" ht="15.75" thickBot="1"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  <c r="R1" s="722"/>
      <c r="S1" s="722"/>
      <c r="T1" s="722"/>
      <c r="U1" s="722"/>
      <c r="V1" s="722"/>
      <c r="W1" s="722"/>
      <c r="X1" s="722"/>
      <c r="Y1" s="722"/>
      <c r="Z1" s="722"/>
      <c r="AA1" s="722"/>
      <c r="AB1" s="722"/>
      <c r="AC1" s="722"/>
      <c r="AD1" s="722"/>
      <c r="AE1" s="722"/>
      <c r="AF1" s="722"/>
      <c r="AG1" s="722"/>
      <c r="AH1" s="722"/>
      <c r="AI1" s="722"/>
      <c r="AJ1" s="722"/>
      <c r="AK1" s="722"/>
      <c r="AL1" s="722"/>
      <c r="AM1" s="722"/>
      <c r="AN1" s="722"/>
      <c r="AO1" s="722"/>
      <c r="AP1" s="722"/>
      <c r="AQ1" s="722"/>
      <c r="AR1" s="722"/>
      <c r="AS1" s="722"/>
      <c r="AT1" s="722"/>
      <c r="AU1" s="722"/>
      <c r="AV1" s="722"/>
      <c r="AW1" s="722"/>
      <c r="AX1" s="722"/>
      <c r="AY1" s="722"/>
      <c r="AZ1" s="722"/>
      <c r="BA1" s="722"/>
      <c r="BB1" s="722"/>
      <c r="BC1" s="722"/>
    </row>
    <row r="2" spans="1:56" ht="18.75">
      <c r="A2" s="723"/>
      <c r="O2" s="723"/>
      <c r="P2" s="1421" t="s">
        <v>6</v>
      </c>
      <c r="Q2" s="1422"/>
      <c r="R2" s="1422"/>
      <c r="S2" s="1422"/>
      <c r="T2" s="1422"/>
      <c r="U2" s="1422"/>
      <c r="V2" s="1422"/>
      <c r="W2" s="1422"/>
      <c r="X2" s="1422"/>
      <c r="Y2" s="1422"/>
      <c r="Z2" s="1422"/>
      <c r="AA2" s="1422"/>
      <c r="AB2" s="1422"/>
      <c r="AC2" s="1422"/>
      <c r="AD2" s="1422"/>
      <c r="AE2" s="1422"/>
      <c r="AF2" s="1422"/>
      <c r="AG2" s="1422"/>
      <c r="AH2" s="1422"/>
      <c r="AI2" s="1422"/>
      <c r="AJ2" s="1422"/>
      <c r="AK2" s="1422"/>
      <c r="AL2" s="1422"/>
      <c r="AM2" s="1422"/>
      <c r="AN2" s="1422"/>
      <c r="AO2" s="1423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6"/>
    </row>
    <row r="3" spans="1:56" ht="19.5" thickBot="1">
      <c r="A3" s="723"/>
      <c r="O3" s="723"/>
      <c r="P3" s="1424" t="s">
        <v>358</v>
      </c>
      <c r="Q3" s="1425"/>
      <c r="R3" s="1425"/>
      <c r="S3" s="1425"/>
      <c r="T3" s="1425"/>
      <c r="U3" s="1425"/>
      <c r="V3" s="1425"/>
      <c r="W3" s="1425"/>
      <c r="X3" s="1425"/>
      <c r="Y3" s="1425"/>
      <c r="Z3" s="1425"/>
      <c r="AA3" s="1425"/>
      <c r="AB3" s="1425"/>
      <c r="AC3" s="1425"/>
      <c r="AD3" s="1425"/>
      <c r="AE3" s="1425"/>
      <c r="AF3" s="1425"/>
      <c r="AG3" s="1425"/>
      <c r="AH3" s="1425"/>
      <c r="AI3" s="1425"/>
      <c r="AJ3" s="1425"/>
      <c r="AK3" s="1425"/>
      <c r="AL3" s="1425"/>
      <c r="AM3" s="1425"/>
      <c r="AN3" s="1425"/>
      <c r="AO3" s="1426"/>
      <c r="AP3" s="724"/>
      <c r="AQ3" s="724"/>
      <c r="AR3" s="724"/>
      <c r="AS3" s="724"/>
      <c r="AT3" s="724"/>
      <c r="AU3" s="724"/>
      <c r="AV3" s="724"/>
      <c r="AW3" s="724"/>
      <c r="AX3" s="724"/>
      <c r="AY3" s="724"/>
      <c r="AZ3" s="724"/>
      <c r="BA3" s="724"/>
      <c r="BB3" s="724"/>
      <c r="BC3" s="725"/>
    </row>
    <row r="4" spans="1:56">
      <c r="A4" s="723"/>
      <c r="O4" s="853"/>
      <c r="P4" s="728" t="s">
        <v>8</v>
      </c>
      <c r="Q4" s="729"/>
      <c r="R4" s="729"/>
      <c r="S4" s="729"/>
      <c r="T4" s="730"/>
      <c r="U4" s="1546">
        <f>Design!U4</f>
        <v>0</v>
      </c>
      <c r="V4" s="1547"/>
      <c r="W4" s="1547"/>
      <c r="X4" s="1547"/>
      <c r="Y4" s="1547"/>
      <c r="Z4" s="1547"/>
      <c r="AA4" s="1547"/>
      <c r="AB4" s="1547"/>
      <c r="AC4" s="1547"/>
      <c r="AD4" s="1547"/>
      <c r="AE4" s="1547"/>
      <c r="AF4" s="1548"/>
      <c r="AG4" s="731" t="s">
        <v>9</v>
      </c>
      <c r="AH4" s="729"/>
      <c r="AI4" s="729"/>
      <c r="AJ4" s="730"/>
      <c r="AK4" s="1549">
        <f>Design!AK4</f>
        <v>0</v>
      </c>
      <c r="AL4" s="1550"/>
      <c r="AM4" s="1550"/>
      <c r="AN4" s="1550"/>
      <c r="AO4" s="1551"/>
      <c r="AP4" s="732"/>
      <c r="AQ4" s="724"/>
      <c r="AR4" s="724"/>
      <c r="AS4" s="724"/>
      <c r="AT4" s="724"/>
      <c r="AU4" s="724"/>
      <c r="AV4" s="724"/>
      <c r="AW4" s="724"/>
      <c r="AX4" s="724"/>
      <c r="AY4" s="724"/>
      <c r="AZ4" s="724"/>
      <c r="BA4" s="724"/>
      <c r="BB4" s="724"/>
      <c r="BC4" s="725"/>
    </row>
    <row r="5" spans="1:56">
      <c r="A5" s="723"/>
      <c r="O5" s="853"/>
      <c r="P5" s="733" t="s">
        <v>10</v>
      </c>
      <c r="Q5" s="734"/>
      <c r="R5" s="734"/>
      <c r="S5" s="734"/>
      <c r="T5" s="735"/>
      <c r="U5" s="1531">
        <f>Design!U5</f>
        <v>0</v>
      </c>
      <c r="V5" s="1532"/>
      <c r="W5" s="1532"/>
      <c r="X5" s="1532"/>
      <c r="Y5" s="1532"/>
      <c r="Z5" s="1532"/>
      <c r="AA5" s="1532"/>
      <c r="AB5" s="1532"/>
      <c r="AC5" s="1532"/>
      <c r="AD5" s="1532"/>
      <c r="AE5" s="1532"/>
      <c r="AF5" s="1533"/>
      <c r="AG5" s="736" t="s">
        <v>11</v>
      </c>
      <c r="AH5" s="734"/>
      <c r="AI5" s="734"/>
      <c r="AJ5" s="735"/>
      <c r="AK5" s="1537">
        <f>Design!AK5</f>
        <v>0</v>
      </c>
      <c r="AL5" s="1538"/>
      <c r="AM5" s="1538"/>
      <c r="AN5" s="1538"/>
      <c r="AO5" s="1539"/>
      <c r="AP5" s="732"/>
      <c r="AQ5" s="724"/>
      <c r="AR5" s="724"/>
      <c r="AS5" s="724"/>
      <c r="AT5" s="724"/>
      <c r="AU5" s="724"/>
      <c r="AV5" s="724"/>
      <c r="AW5" s="724"/>
      <c r="AX5" s="724"/>
      <c r="AY5" s="724"/>
      <c r="AZ5" s="724"/>
      <c r="BA5" s="724"/>
      <c r="BB5" s="724"/>
      <c r="BC5" s="725"/>
    </row>
    <row r="6" spans="1:56">
      <c r="A6" s="723"/>
      <c r="O6" s="853"/>
      <c r="P6" s="733" t="s">
        <v>12</v>
      </c>
      <c r="Q6" s="734"/>
      <c r="R6" s="734"/>
      <c r="S6" s="734"/>
      <c r="T6" s="735"/>
      <c r="U6" s="1531">
        <f>Design!U6</f>
        <v>0</v>
      </c>
      <c r="V6" s="1532"/>
      <c r="W6" s="1532"/>
      <c r="X6" s="1532"/>
      <c r="Y6" s="1532"/>
      <c r="Z6" s="1532"/>
      <c r="AA6" s="1532"/>
      <c r="AB6" s="1532"/>
      <c r="AC6" s="1532"/>
      <c r="AD6" s="1532"/>
      <c r="AE6" s="1532"/>
      <c r="AF6" s="1533"/>
      <c r="AG6" s="736" t="s">
        <v>13</v>
      </c>
      <c r="AH6" s="734"/>
      <c r="AI6" s="734"/>
      <c r="AJ6" s="735"/>
      <c r="AK6" s="1534">
        <f>Design!AK6</f>
        <v>0</v>
      </c>
      <c r="AL6" s="1535"/>
      <c r="AM6" s="1535"/>
      <c r="AN6" s="1535"/>
      <c r="AO6" s="1536"/>
      <c r="AP6" s="732"/>
      <c r="AQ6" s="724"/>
      <c r="AR6" s="724"/>
      <c r="AS6" s="724"/>
      <c r="AT6" s="724"/>
      <c r="AU6" s="724"/>
      <c r="AV6" s="724"/>
      <c r="AW6" s="724"/>
      <c r="AX6" s="724"/>
      <c r="AY6" s="724"/>
      <c r="AZ6" s="724"/>
      <c r="BA6" s="724"/>
      <c r="BB6" s="724"/>
      <c r="BC6" s="725"/>
    </row>
    <row r="7" spans="1:56">
      <c r="A7" s="723"/>
      <c r="O7" s="853"/>
      <c r="P7" s="733" t="s">
        <v>14</v>
      </c>
      <c r="Q7" s="734"/>
      <c r="R7" s="734"/>
      <c r="S7" s="734"/>
      <c r="T7" s="735"/>
      <c r="U7" s="1531">
        <f>Design!U7</f>
        <v>0</v>
      </c>
      <c r="V7" s="1532"/>
      <c r="W7" s="1532"/>
      <c r="X7" s="1532"/>
      <c r="Y7" s="1532"/>
      <c r="Z7" s="1532"/>
      <c r="AA7" s="1532"/>
      <c r="AB7" s="1532"/>
      <c r="AC7" s="1532"/>
      <c r="AD7" s="1532"/>
      <c r="AE7" s="1532"/>
      <c r="AF7" s="1533"/>
      <c r="AG7" s="737" t="s">
        <v>15</v>
      </c>
      <c r="AH7" s="738"/>
      <c r="AI7" s="738"/>
      <c r="AJ7" s="739"/>
      <c r="AK7" s="1537">
        <f>Design!AK7</f>
        <v>0</v>
      </c>
      <c r="AL7" s="1538"/>
      <c r="AM7" s="1538"/>
      <c r="AN7" s="1538"/>
      <c r="AO7" s="1539"/>
      <c r="AP7" s="732"/>
      <c r="AQ7" s="724"/>
      <c r="AR7" s="724"/>
      <c r="AS7" s="724"/>
      <c r="AT7" s="724"/>
      <c r="AU7" s="724"/>
      <c r="AV7" s="724"/>
      <c r="AW7" s="724"/>
      <c r="AX7" s="724"/>
      <c r="AY7" s="724"/>
      <c r="AZ7" s="724"/>
      <c r="BA7" s="724"/>
      <c r="BB7" s="724"/>
      <c r="BC7" s="725"/>
    </row>
    <row r="8" spans="1:56" ht="15.75" thickBot="1">
      <c r="A8" s="723"/>
      <c r="B8" s="854"/>
      <c r="C8" s="722"/>
      <c r="D8" s="722"/>
      <c r="E8" s="722"/>
      <c r="F8" s="722"/>
      <c r="G8" s="722"/>
      <c r="H8" s="722"/>
      <c r="I8" s="722"/>
      <c r="J8" s="722"/>
      <c r="K8" s="722"/>
      <c r="L8" s="722"/>
      <c r="M8" s="722"/>
      <c r="N8" s="722"/>
      <c r="O8" s="855"/>
      <c r="P8" s="743" t="s">
        <v>16</v>
      </c>
      <c r="Q8" s="744"/>
      <c r="R8" s="744"/>
      <c r="S8" s="744"/>
      <c r="T8" s="745"/>
      <c r="U8" s="1540">
        <f>Design!U8</f>
        <v>0</v>
      </c>
      <c r="V8" s="1541"/>
      <c r="W8" s="1541"/>
      <c r="X8" s="1541"/>
      <c r="Y8" s="1541"/>
      <c r="Z8" s="1541"/>
      <c r="AA8" s="1541"/>
      <c r="AB8" s="1541"/>
      <c r="AC8" s="1541"/>
      <c r="AD8" s="1541"/>
      <c r="AE8" s="1541"/>
      <c r="AF8" s="1542"/>
      <c r="AG8" s="746" t="s">
        <v>17</v>
      </c>
      <c r="AH8" s="744"/>
      <c r="AI8" s="744"/>
      <c r="AJ8" s="745"/>
      <c r="AK8" s="1543">
        <v>1</v>
      </c>
      <c r="AL8" s="1544"/>
      <c r="AM8" s="747" t="s">
        <v>18</v>
      </c>
      <c r="AN8" s="1543">
        <v>1</v>
      </c>
      <c r="AO8" s="1545"/>
      <c r="AP8" s="740"/>
      <c r="AQ8" s="741"/>
      <c r="AR8" s="741"/>
      <c r="AS8" s="741"/>
      <c r="AT8" s="741"/>
      <c r="AU8" s="741"/>
      <c r="AV8" s="741"/>
      <c r="AW8" s="741"/>
      <c r="AX8" s="741"/>
      <c r="AY8" s="741"/>
      <c r="AZ8" s="741"/>
      <c r="BA8" s="741"/>
      <c r="BB8" s="741"/>
      <c r="BC8" s="742"/>
    </row>
    <row r="9" spans="1:56" ht="15.75" thickBot="1">
      <c r="A9" s="723"/>
      <c r="B9" s="856">
        <v>1</v>
      </c>
      <c r="C9" s="1457" t="s">
        <v>359</v>
      </c>
      <c r="D9" s="1458"/>
      <c r="E9" s="1458"/>
      <c r="F9" s="1458"/>
      <c r="G9" s="1458"/>
      <c r="H9" s="1458"/>
      <c r="I9" s="1458"/>
      <c r="J9" s="1458"/>
      <c r="K9" s="1458"/>
      <c r="L9" s="1458"/>
      <c r="M9" s="1458"/>
      <c r="N9" s="1458"/>
      <c r="O9" s="1458"/>
      <c r="P9" s="1458"/>
      <c r="Q9" s="1458"/>
      <c r="R9" s="1458"/>
      <c r="S9" s="1458"/>
      <c r="T9" s="1458"/>
      <c r="U9" s="1458"/>
      <c r="V9" s="1458"/>
      <c r="W9" s="1458"/>
      <c r="X9" s="1458"/>
      <c r="Y9" s="1458"/>
      <c r="Z9" s="1458"/>
      <c r="AA9" s="1458"/>
      <c r="AB9" s="1458"/>
      <c r="AC9" s="1457" t="s">
        <v>64</v>
      </c>
      <c r="AD9" s="1458"/>
      <c r="AE9" s="1458"/>
      <c r="AF9" s="1458"/>
      <c r="AG9" s="1458"/>
      <c r="AH9" s="1458"/>
      <c r="AI9" s="1458"/>
      <c r="AJ9" s="1458"/>
      <c r="AK9" s="1458"/>
      <c r="AL9" s="1458"/>
      <c r="AM9" s="1458"/>
      <c r="AN9" s="1458"/>
      <c r="AO9" s="1458"/>
      <c r="AP9" s="1458"/>
      <c r="AQ9" s="1458"/>
      <c r="AR9" s="1458"/>
      <c r="AS9" s="1458"/>
      <c r="AT9" s="1458"/>
      <c r="AU9" s="1458"/>
      <c r="AV9" s="1458"/>
      <c r="AW9" s="1458"/>
      <c r="AX9" s="1458"/>
      <c r="AY9" s="1458"/>
      <c r="AZ9" s="1458"/>
      <c r="BA9" s="1458"/>
      <c r="BB9" s="1458"/>
      <c r="BC9" s="1459"/>
      <c r="BD9" s="751"/>
    </row>
    <row r="10" spans="1:56" ht="18">
      <c r="A10" s="723"/>
      <c r="B10" s="832">
        <v>2</v>
      </c>
      <c r="C10" s="782" t="s">
        <v>360</v>
      </c>
      <c r="D10" s="754"/>
      <c r="E10" s="754"/>
      <c r="F10" s="754" t="s">
        <v>99</v>
      </c>
      <c r="G10" s="754" t="s">
        <v>361</v>
      </c>
      <c r="H10" s="754"/>
      <c r="I10" s="754"/>
      <c r="J10" s="857"/>
      <c r="K10" s="858"/>
      <c r="L10" s="858"/>
      <c r="M10" s="858"/>
      <c r="N10" s="858"/>
      <c r="O10" s="858"/>
      <c r="P10" s="858"/>
      <c r="Q10" s="858"/>
      <c r="R10" s="859" t="s">
        <v>99</v>
      </c>
      <c r="S10" s="1527" t="e">
        <f ca="1">Design!AU53</f>
        <v>#DIV/0!</v>
      </c>
      <c r="T10" s="1528"/>
      <c r="U10" s="1528"/>
      <c r="V10" s="858" t="s">
        <v>92</v>
      </c>
      <c r="W10" s="858"/>
      <c r="X10" s="860"/>
      <c r="Y10" s="860"/>
      <c r="Z10" s="860"/>
      <c r="AA10" s="858"/>
      <c r="AB10" s="861"/>
      <c r="AC10" s="754" t="s">
        <v>362</v>
      </c>
      <c r="AD10" s="814"/>
      <c r="AE10" s="814"/>
      <c r="AF10" s="754" t="s">
        <v>99</v>
      </c>
      <c r="AG10" s="754" t="s">
        <v>363</v>
      </c>
      <c r="AH10" s="815"/>
      <c r="AI10" s="724"/>
      <c r="AJ10" s="724"/>
      <c r="AK10" s="724"/>
      <c r="AL10" s="724"/>
      <c r="AM10" s="724"/>
      <c r="AN10" s="724"/>
      <c r="AO10" s="724"/>
      <c r="AP10" s="724"/>
      <c r="AQ10" s="724" t="s">
        <v>99</v>
      </c>
      <c r="AR10" s="1367" t="e">
        <f ca="1">(1.11*S15)/S11</f>
        <v>#DIV/0!</v>
      </c>
      <c r="AS10" s="1367"/>
      <c r="AT10" s="1367"/>
      <c r="AU10" s="798" t="s">
        <v>28</v>
      </c>
      <c r="AV10" s="798"/>
      <c r="AW10" s="798"/>
      <c r="AX10" s="754"/>
      <c r="AY10" s="780"/>
      <c r="AZ10" s="780"/>
      <c r="BA10" s="780"/>
      <c r="BB10" s="781"/>
      <c r="BC10" s="725"/>
    </row>
    <row r="11" spans="1:56" ht="18">
      <c r="A11" s="723"/>
      <c r="B11" s="832">
        <v>3</v>
      </c>
      <c r="C11" s="756" t="s">
        <v>364</v>
      </c>
      <c r="D11" s="817"/>
      <c r="E11" s="817"/>
      <c r="F11" s="817" t="s">
        <v>99</v>
      </c>
      <c r="G11" s="817" t="s">
        <v>365</v>
      </c>
      <c r="H11" s="817"/>
      <c r="I11" s="817"/>
      <c r="J11" s="817"/>
      <c r="K11" s="817"/>
      <c r="L11" s="757"/>
      <c r="M11" s="757"/>
      <c r="N11" s="757"/>
      <c r="O11" s="757"/>
      <c r="P11" s="757"/>
      <c r="Q11" s="757"/>
      <c r="R11" s="762" t="s">
        <v>99</v>
      </c>
      <c r="S11" s="1331" t="e">
        <f>Design!M30</f>
        <v>#NAME?</v>
      </c>
      <c r="T11" s="1331"/>
      <c r="U11" s="1331"/>
      <c r="V11" s="757" t="str">
        <f>Design!P30</f>
        <v>LBS/FT</v>
      </c>
      <c r="W11" s="757"/>
      <c r="X11" s="796"/>
      <c r="Y11" s="796"/>
      <c r="Z11" s="796"/>
      <c r="AA11" s="796"/>
      <c r="AB11" s="862"/>
      <c r="AC11" s="757" t="s">
        <v>366</v>
      </c>
      <c r="AD11" s="757"/>
      <c r="AE11" s="757"/>
      <c r="AF11" s="757" t="s">
        <v>99</v>
      </c>
      <c r="AG11" s="757" t="s">
        <v>367</v>
      </c>
      <c r="AH11" s="802"/>
      <c r="AI11" s="757"/>
      <c r="AJ11" s="757"/>
      <c r="AK11" s="757"/>
      <c r="AL11" s="757"/>
      <c r="AM11" s="757"/>
      <c r="AN11" s="757"/>
      <c r="AO11" s="757"/>
      <c r="AP11" s="757"/>
      <c r="AQ11" s="757" t="s">
        <v>99</v>
      </c>
      <c r="AR11" s="1529" t="e">
        <f>(S16*S11)/1.11</f>
        <v>#NAME?</v>
      </c>
      <c r="AS11" s="1529"/>
      <c r="AT11" s="1529"/>
      <c r="AU11" s="863" t="s">
        <v>92</v>
      </c>
      <c r="AV11" s="863"/>
      <c r="AW11" s="863"/>
      <c r="AX11" s="820"/>
      <c r="AY11" s="821"/>
      <c r="AZ11" s="821"/>
      <c r="BA11" s="821"/>
      <c r="BB11" s="822"/>
      <c r="BC11" s="725"/>
    </row>
    <row r="12" spans="1:56" ht="18">
      <c r="A12" s="723"/>
      <c r="B12" s="833">
        <v>4</v>
      </c>
      <c r="C12" s="756" t="s">
        <v>368</v>
      </c>
      <c r="D12" s="817"/>
      <c r="E12" s="817"/>
      <c r="F12" s="820" t="s">
        <v>99</v>
      </c>
      <c r="G12" s="817" t="s">
        <v>369</v>
      </c>
      <c r="H12" s="817"/>
      <c r="I12" s="817"/>
      <c r="J12" s="817"/>
      <c r="K12" s="817"/>
      <c r="L12" s="757"/>
      <c r="M12" s="757"/>
      <c r="N12" s="757"/>
      <c r="O12" s="757"/>
      <c r="P12" s="762"/>
      <c r="Q12" s="796"/>
      <c r="R12" s="762" t="s">
        <v>99</v>
      </c>
      <c r="S12" s="1526">
        <v>165</v>
      </c>
      <c r="T12" s="1526"/>
      <c r="U12" s="1526"/>
      <c r="V12" s="796" t="s">
        <v>28</v>
      </c>
      <c r="W12" s="796"/>
      <c r="X12" s="819"/>
      <c r="Y12" s="819"/>
      <c r="Z12" s="819"/>
      <c r="AA12" s="819"/>
      <c r="AB12" s="758"/>
      <c r="AC12" s="757"/>
      <c r="AD12" s="757"/>
      <c r="AE12" s="757"/>
      <c r="AF12" s="757"/>
      <c r="AG12" s="757" t="s">
        <v>370</v>
      </c>
      <c r="AH12" s="802"/>
      <c r="AI12" s="757"/>
      <c r="AJ12" s="757"/>
      <c r="AK12" s="757"/>
      <c r="AL12" s="757"/>
      <c r="AM12" s="757"/>
      <c r="AN12" s="757"/>
      <c r="AO12" s="757"/>
      <c r="AP12" s="757"/>
      <c r="AQ12" s="757"/>
      <c r="AR12" s="1361" t="e">
        <f ca="1">IF(AR11&gt;S15,"Yes","No")</f>
        <v>#NAME?</v>
      </c>
      <c r="AS12" s="1361"/>
      <c r="AT12" s="1361"/>
      <c r="AU12" s="863" t="e">
        <f ca="1">IF(AR12="No","Increase Radius","")</f>
        <v>#NAME?</v>
      </c>
      <c r="AV12" s="863"/>
      <c r="AW12" s="863"/>
      <c r="AX12" s="820"/>
      <c r="AY12" s="821"/>
      <c r="AZ12" s="821"/>
      <c r="BA12" s="821"/>
      <c r="BB12" s="822"/>
      <c r="BC12" s="725"/>
    </row>
    <row r="13" spans="1:56" ht="18">
      <c r="A13" s="723"/>
      <c r="B13" s="833">
        <v>5</v>
      </c>
      <c r="C13" s="756" t="s">
        <v>371</v>
      </c>
      <c r="D13" s="817"/>
      <c r="E13" s="817"/>
      <c r="F13" s="820" t="s">
        <v>99</v>
      </c>
      <c r="G13" s="817" t="s">
        <v>372</v>
      </c>
      <c r="H13" s="817"/>
      <c r="I13" s="817"/>
      <c r="J13" s="817"/>
      <c r="K13" s="817"/>
      <c r="L13" s="757"/>
      <c r="M13" s="757"/>
      <c r="N13" s="757"/>
      <c r="O13" s="757"/>
      <c r="P13" s="762"/>
      <c r="Q13" s="796"/>
      <c r="R13" s="762" t="s">
        <v>99</v>
      </c>
      <c r="S13" s="1361">
        <f>Design!P13</f>
        <v>0</v>
      </c>
      <c r="T13" s="1361"/>
      <c r="U13" s="1361"/>
      <c r="V13" s="796" t="s">
        <v>28</v>
      </c>
      <c r="W13" s="796"/>
      <c r="X13" s="818"/>
      <c r="Y13" s="819"/>
      <c r="Z13" s="819"/>
      <c r="AA13" s="819"/>
      <c r="AB13" s="758"/>
      <c r="AC13" s="757"/>
      <c r="AD13" s="757"/>
      <c r="AE13" s="757"/>
      <c r="AF13" s="757"/>
      <c r="AG13" s="757"/>
      <c r="AH13" s="802"/>
      <c r="AI13" s="757"/>
      <c r="AJ13" s="757"/>
      <c r="AK13" s="757"/>
      <c r="AL13" s="757"/>
      <c r="AM13" s="757"/>
      <c r="AN13" s="757"/>
      <c r="AO13" s="757"/>
      <c r="AP13" s="757"/>
      <c r="AQ13" s="757"/>
      <c r="AR13" s="806"/>
      <c r="AS13" s="757"/>
      <c r="AT13" s="757"/>
      <c r="AU13" s="863"/>
      <c r="AV13" s="863"/>
      <c r="AW13" s="863"/>
      <c r="AX13" s="820"/>
      <c r="AY13" s="821"/>
      <c r="AZ13" s="821"/>
      <c r="BA13" s="821"/>
      <c r="BB13" s="822"/>
      <c r="BC13" s="725"/>
    </row>
    <row r="14" spans="1:56" ht="18">
      <c r="A14" s="723"/>
      <c r="B14" s="833">
        <v>6</v>
      </c>
      <c r="C14" s="756" t="s">
        <v>373</v>
      </c>
      <c r="D14" s="817"/>
      <c r="E14" s="817"/>
      <c r="F14" s="820" t="s">
        <v>99</v>
      </c>
      <c r="G14" s="817" t="s">
        <v>374</v>
      </c>
      <c r="H14" s="817"/>
      <c r="I14" s="817"/>
      <c r="J14" s="817"/>
      <c r="K14" s="817"/>
      <c r="L14" s="757"/>
      <c r="M14" s="757"/>
      <c r="N14" s="757"/>
      <c r="O14" s="757"/>
      <c r="P14" s="762"/>
      <c r="Q14" s="796"/>
      <c r="R14" s="762" t="s">
        <v>99</v>
      </c>
      <c r="S14" s="1530" t="e">
        <f>S12/S13</f>
        <v>#DIV/0!</v>
      </c>
      <c r="T14" s="1530"/>
      <c r="U14" s="1530"/>
      <c r="V14" s="864"/>
      <c r="W14" s="796"/>
      <c r="X14" s="796"/>
      <c r="Y14" s="819"/>
      <c r="Z14" s="819"/>
      <c r="AA14" s="819"/>
      <c r="AB14" s="758"/>
      <c r="AC14" s="757"/>
      <c r="AD14" s="757"/>
      <c r="AE14" s="757"/>
      <c r="AF14" s="757"/>
      <c r="AG14" s="757"/>
      <c r="AH14" s="802"/>
      <c r="AI14" s="757"/>
      <c r="AJ14" s="757"/>
      <c r="AK14" s="757"/>
      <c r="AL14" s="757"/>
      <c r="AM14" s="757"/>
      <c r="AN14" s="757"/>
      <c r="AO14" s="757"/>
      <c r="AP14" s="757"/>
      <c r="AQ14" s="757"/>
      <c r="AR14" s="806"/>
      <c r="AS14" s="757"/>
      <c r="AT14" s="757"/>
      <c r="AU14" s="863"/>
      <c r="AV14" s="863"/>
      <c r="AW14" s="863"/>
      <c r="AX14" s="820"/>
      <c r="AY14" s="821"/>
      <c r="AZ14" s="821"/>
      <c r="BA14" s="821"/>
      <c r="BB14" s="822"/>
      <c r="BC14" s="725"/>
    </row>
    <row r="15" spans="1:56" ht="18">
      <c r="A15" s="723"/>
      <c r="B15" s="833">
        <v>7</v>
      </c>
      <c r="C15" s="756" t="s">
        <v>375</v>
      </c>
      <c r="D15" s="817"/>
      <c r="E15" s="817"/>
      <c r="F15" s="820" t="s">
        <v>99</v>
      </c>
      <c r="G15" s="817" t="s">
        <v>376</v>
      </c>
      <c r="H15" s="817"/>
      <c r="I15" s="817"/>
      <c r="J15" s="817"/>
      <c r="K15" s="817"/>
      <c r="L15" s="757"/>
      <c r="M15" s="757"/>
      <c r="N15" s="757"/>
      <c r="O15" s="757"/>
      <c r="P15" s="762"/>
      <c r="Q15" s="796"/>
      <c r="R15" s="762" t="s">
        <v>99</v>
      </c>
      <c r="S15" s="1529" t="e">
        <f ca="1">Design!AU51*S14</f>
        <v>#DIV/0!</v>
      </c>
      <c r="T15" s="1361"/>
      <c r="U15" s="1361"/>
      <c r="V15" s="796" t="s">
        <v>92</v>
      </c>
      <c r="W15" s="796"/>
      <c r="X15" s="796"/>
      <c r="Y15" s="796"/>
      <c r="Z15" s="796"/>
      <c r="AA15" s="819"/>
      <c r="AB15" s="758"/>
      <c r="AC15" s="757"/>
      <c r="AD15" s="757"/>
      <c r="AE15" s="757"/>
      <c r="AF15" s="757"/>
      <c r="AG15" s="757"/>
      <c r="AH15" s="802"/>
      <c r="AI15" s="757"/>
      <c r="AJ15" s="757"/>
      <c r="AK15" s="757"/>
      <c r="AL15" s="757"/>
      <c r="AM15" s="757"/>
      <c r="AN15" s="757"/>
      <c r="AO15" s="757"/>
      <c r="AP15" s="757"/>
      <c r="AQ15" s="757"/>
      <c r="AR15" s="806"/>
      <c r="AS15" s="757"/>
      <c r="AT15" s="757"/>
      <c r="AU15" s="863"/>
      <c r="AV15" s="863"/>
      <c r="AW15" s="863"/>
      <c r="AX15" s="820"/>
      <c r="AY15" s="821"/>
      <c r="AZ15" s="821"/>
      <c r="BA15" s="821"/>
      <c r="BB15" s="822"/>
      <c r="BC15" s="725"/>
    </row>
    <row r="16" spans="1:56" ht="18">
      <c r="A16" s="723"/>
      <c r="B16" s="833">
        <v>8</v>
      </c>
      <c r="C16" s="756" t="s">
        <v>377</v>
      </c>
      <c r="D16" s="817"/>
      <c r="E16" s="817"/>
      <c r="F16" s="820" t="s">
        <v>99</v>
      </c>
      <c r="G16" s="817" t="s">
        <v>378</v>
      </c>
      <c r="H16" s="817"/>
      <c r="I16" s="817"/>
      <c r="J16" s="817"/>
      <c r="K16" s="817"/>
      <c r="L16" s="757"/>
      <c r="M16" s="757"/>
      <c r="N16" s="757"/>
      <c r="O16" s="757"/>
      <c r="P16" s="762"/>
      <c r="Q16" s="796"/>
      <c r="R16" s="762" t="s">
        <v>99</v>
      </c>
      <c r="S16" s="1526">
        <v>250</v>
      </c>
      <c r="T16" s="1526"/>
      <c r="U16" s="1526"/>
      <c r="V16" s="796" t="s">
        <v>28</v>
      </c>
      <c r="W16" s="796"/>
      <c r="X16" s="796"/>
      <c r="Y16" s="796"/>
      <c r="Z16" s="796"/>
      <c r="AA16" s="819"/>
      <c r="AB16" s="758"/>
      <c r="AC16" s="757"/>
      <c r="AD16" s="757"/>
      <c r="AE16" s="757"/>
      <c r="AF16" s="757"/>
      <c r="AG16" s="757"/>
      <c r="AH16" s="802"/>
      <c r="AI16" s="757"/>
      <c r="AJ16" s="757"/>
      <c r="AK16" s="757"/>
      <c r="AL16" s="757"/>
      <c r="AM16" s="757"/>
      <c r="AN16" s="757"/>
      <c r="AO16" s="757"/>
      <c r="AP16" s="757"/>
      <c r="AQ16" s="757"/>
      <c r="AR16" s="806"/>
      <c r="AS16" s="757"/>
      <c r="AT16" s="757"/>
      <c r="AU16" s="863"/>
      <c r="AV16" s="863"/>
      <c r="AW16" s="863"/>
      <c r="AX16" s="820"/>
      <c r="AY16" s="821"/>
      <c r="AZ16" s="821"/>
      <c r="BA16" s="821"/>
      <c r="BB16" s="822"/>
      <c r="BC16" s="725"/>
    </row>
    <row r="17" spans="1:55" ht="15.75" thickBot="1">
      <c r="A17" s="723"/>
      <c r="B17" s="865">
        <v>9</v>
      </c>
      <c r="C17" s="767"/>
      <c r="D17" s="741"/>
      <c r="E17" s="741"/>
      <c r="F17" s="866"/>
      <c r="G17" s="741"/>
      <c r="H17" s="741"/>
      <c r="I17" s="741"/>
      <c r="J17" s="741"/>
      <c r="K17" s="741"/>
      <c r="L17" s="768"/>
      <c r="M17" s="768"/>
      <c r="N17" s="768"/>
      <c r="O17" s="768"/>
      <c r="P17" s="829"/>
      <c r="Q17" s="828"/>
      <c r="R17" s="828"/>
      <c r="S17" s="867"/>
      <c r="T17" s="867"/>
      <c r="U17" s="867"/>
      <c r="V17" s="828"/>
      <c r="W17" s="801"/>
      <c r="X17" s="801"/>
      <c r="Y17" s="801"/>
      <c r="Z17" s="801"/>
      <c r="AA17" s="801"/>
      <c r="AB17" s="769"/>
      <c r="AC17" s="768"/>
      <c r="AD17" s="768"/>
      <c r="AE17" s="768"/>
      <c r="AF17" s="768"/>
      <c r="AG17" s="768"/>
      <c r="AH17" s="868"/>
      <c r="AI17" s="768"/>
      <c r="AJ17" s="768"/>
      <c r="AK17" s="768"/>
      <c r="AL17" s="768"/>
      <c r="AM17" s="768"/>
      <c r="AN17" s="768"/>
      <c r="AO17" s="768"/>
      <c r="AP17" s="768"/>
      <c r="AQ17" s="768"/>
      <c r="AR17" s="869"/>
      <c r="AS17" s="768"/>
      <c r="AT17" s="768"/>
      <c r="AU17" s="870"/>
      <c r="AV17" s="870"/>
      <c r="AW17" s="870"/>
      <c r="AX17" s="866"/>
      <c r="AY17" s="871"/>
      <c r="AZ17" s="871"/>
      <c r="BA17" s="871"/>
      <c r="BB17" s="872"/>
      <c r="BC17" s="742"/>
    </row>
    <row r="18" spans="1:55">
      <c r="C18" s="843"/>
      <c r="M18" s="803"/>
      <c r="N18" s="803"/>
      <c r="O18" s="803"/>
      <c r="P18" s="873"/>
      <c r="R18" s="845"/>
    </row>
    <row r="19" spans="1:55">
      <c r="C19" s="843"/>
      <c r="M19" s="803"/>
      <c r="N19" s="803"/>
      <c r="O19" s="803"/>
      <c r="P19" s="873"/>
      <c r="R19" s="845"/>
    </row>
  </sheetData>
  <sheetProtection sheet="1" objects="1" scenarios="1" selectLockedCells="1"/>
  <dataConsolidate/>
  <mergeCells count="25">
    <mergeCell ref="P2:AO2"/>
    <mergeCell ref="P3:AO3"/>
    <mergeCell ref="U4:AF4"/>
    <mergeCell ref="AK4:AO4"/>
    <mergeCell ref="U5:AF5"/>
    <mergeCell ref="AK5:AO5"/>
    <mergeCell ref="U6:AF6"/>
    <mergeCell ref="AK6:AO6"/>
    <mergeCell ref="U7:AF7"/>
    <mergeCell ref="AK7:AO7"/>
    <mergeCell ref="U8:AF8"/>
    <mergeCell ref="AK8:AL8"/>
    <mergeCell ref="AN8:AO8"/>
    <mergeCell ref="S16:U16"/>
    <mergeCell ref="C9:AB9"/>
    <mergeCell ref="AC9:BC9"/>
    <mergeCell ref="S10:U10"/>
    <mergeCell ref="AR10:AT10"/>
    <mergeCell ref="S11:U11"/>
    <mergeCell ref="AR11:AT11"/>
    <mergeCell ref="S12:U12"/>
    <mergeCell ref="AR12:AT12"/>
    <mergeCell ref="S13:U13"/>
    <mergeCell ref="S14:U14"/>
    <mergeCell ref="S15:U15"/>
  </mergeCells>
  <conditionalFormatting sqref="AR12:AT12">
    <cfRule type="containsText" dxfId="191" priority="2" operator="containsText" text="No">
      <formula>NOT(ISERROR(SEARCH("No",AR12)))</formula>
    </cfRule>
    <cfRule type="containsText" dxfId="190" priority="3" operator="containsText" text="Yes">
      <formula>NOT(ISERROR(SEARCH("Yes",AR12)))</formula>
    </cfRule>
  </conditionalFormatting>
  <conditionalFormatting sqref="AU12">
    <cfRule type="containsText" dxfId="189" priority="1" operator="containsText" text="Increase Radius">
      <formula>NOT(ISERROR(SEARCH("Increase Radius",AU12)))</formula>
    </cfRule>
  </conditionalFormatting>
  <dataValidations count="1">
    <dataValidation type="decimal" allowBlank="1" showInputMessage="1" showErrorMessage="1" errorTitle="Trough Fill" error="Maximum Trough Fill Exceeded" sqref="J10" xr:uid="{54BEDF46-5B14-4F21-8D02-177CD1938A38}">
      <formula1>0</formula1>
      <formula2>100</formula2>
    </dataValidation>
  </dataValidations>
  <pageMargins left="0.25" right="0.25" top="0.75" bottom="0.75" header="0.3" footer="0.3"/>
  <pageSetup scale="64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93631C-00CC-4ED2-A559-E461B3CED6E8}">
          <x14:formula1>
            <xm:f>List!$B$3:$B$8</xm:f>
          </x14:formula1>
          <xm:sqref>X10:AA10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0035-975C-465A-9A56-32287D808C04}">
  <sheetPr codeName="Sheet26">
    <tabColor rgb="FF00B0F0"/>
  </sheetPr>
  <dimension ref="A1:BD26"/>
  <sheetViews>
    <sheetView zoomScaleNormal="100" workbookViewId="0">
      <selection activeCell="U27" sqref="U27"/>
    </sheetView>
  </sheetViews>
  <sheetFormatPr defaultRowHeight="15"/>
  <cols>
    <col min="1" max="10" width="3.7109375" style="716" customWidth="1"/>
    <col min="11" max="11" width="4.140625" style="716" customWidth="1"/>
    <col min="12" max="12" width="4.5703125" style="716" customWidth="1"/>
    <col min="13" max="29" width="3.7109375" style="716" customWidth="1"/>
    <col min="30" max="30" width="4.140625" style="716" customWidth="1"/>
    <col min="31" max="56" width="3.7109375" style="716" customWidth="1"/>
    <col min="57" max="16384" width="9.140625" style="716"/>
  </cols>
  <sheetData>
    <row r="1" spans="1:56" ht="15.75" thickBot="1"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O1" s="722"/>
      <c r="P1" s="722"/>
      <c r="Q1" s="722"/>
      <c r="R1" s="722"/>
      <c r="S1" s="722"/>
      <c r="T1" s="722"/>
      <c r="U1" s="722"/>
      <c r="V1" s="722"/>
      <c r="W1" s="722"/>
      <c r="X1" s="722"/>
      <c r="Y1" s="722"/>
      <c r="Z1" s="722"/>
      <c r="AA1" s="722"/>
      <c r="AB1" s="722"/>
      <c r="AC1" s="722"/>
      <c r="AD1" s="722"/>
      <c r="AE1" s="722"/>
      <c r="AF1" s="722"/>
      <c r="AG1" s="722"/>
      <c r="AH1" s="722"/>
      <c r="AI1" s="722"/>
      <c r="AJ1" s="722"/>
      <c r="AK1" s="722"/>
      <c r="AL1" s="722"/>
      <c r="AM1" s="722"/>
      <c r="AN1" s="722"/>
      <c r="AO1" s="722"/>
      <c r="AP1" s="722"/>
      <c r="AQ1" s="722"/>
      <c r="AR1" s="722"/>
      <c r="AS1" s="722"/>
      <c r="AT1" s="722"/>
      <c r="AU1" s="722"/>
      <c r="AV1" s="722"/>
      <c r="AW1" s="722"/>
      <c r="AX1" s="722"/>
      <c r="AY1" s="722"/>
      <c r="AZ1" s="722"/>
      <c r="BA1" s="722"/>
      <c r="BB1" s="722"/>
      <c r="BC1" s="722"/>
    </row>
    <row r="2" spans="1:56" ht="18.75">
      <c r="A2" s="723"/>
      <c r="B2" s="724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5"/>
      <c r="P2" s="1421" t="s">
        <v>6</v>
      </c>
      <c r="Q2" s="1422"/>
      <c r="R2" s="1422"/>
      <c r="S2" s="1422"/>
      <c r="T2" s="1422"/>
      <c r="U2" s="1422"/>
      <c r="V2" s="1422"/>
      <c r="W2" s="1422"/>
      <c r="X2" s="1422"/>
      <c r="Y2" s="1422"/>
      <c r="Z2" s="1422"/>
      <c r="AA2" s="1422"/>
      <c r="AB2" s="1422"/>
      <c r="AC2" s="1422"/>
      <c r="AD2" s="1422"/>
      <c r="AE2" s="1422"/>
      <c r="AF2" s="1422"/>
      <c r="AG2" s="1422"/>
      <c r="AH2" s="1422"/>
      <c r="AI2" s="1422"/>
      <c r="AJ2" s="1422"/>
      <c r="AK2" s="1422"/>
      <c r="AL2" s="1422"/>
      <c r="AM2" s="1422"/>
      <c r="AN2" s="1422"/>
      <c r="AO2" s="1423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6"/>
    </row>
    <row r="3" spans="1:56" ht="19.5" thickBot="1">
      <c r="A3" s="723"/>
      <c r="B3" s="724"/>
      <c r="C3" s="724"/>
      <c r="D3" s="724"/>
      <c r="E3" s="724"/>
      <c r="F3" s="724"/>
      <c r="G3" s="724"/>
      <c r="H3" s="724"/>
      <c r="I3" s="724"/>
      <c r="J3" s="724"/>
      <c r="K3" s="724"/>
      <c r="L3" s="724"/>
      <c r="M3" s="724"/>
      <c r="N3" s="724"/>
      <c r="O3" s="725"/>
      <c r="P3" s="1424" t="s">
        <v>379</v>
      </c>
      <c r="Q3" s="1425"/>
      <c r="R3" s="1425"/>
      <c r="S3" s="1425"/>
      <c r="T3" s="1425"/>
      <c r="U3" s="1425"/>
      <c r="V3" s="1425"/>
      <c r="W3" s="1425"/>
      <c r="X3" s="1425"/>
      <c r="Y3" s="1425"/>
      <c r="Z3" s="1425"/>
      <c r="AA3" s="1425"/>
      <c r="AB3" s="1425"/>
      <c r="AC3" s="1425"/>
      <c r="AD3" s="1425"/>
      <c r="AE3" s="1425"/>
      <c r="AF3" s="1425"/>
      <c r="AG3" s="1425"/>
      <c r="AH3" s="1425"/>
      <c r="AI3" s="1425"/>
      <c r="AJ3" s="1425"/>
      <c r="AK3" s="1425"/>
      <c r="AL3" s="1425"/>
      <c r="AM3" s="1425"/>
      <c r="AN3" s="1425"/>
      <c r="AO3" s="1426"/>
      <c r="AP3" s="724"/>
      <c r="AQ3" s="724"/>
      <c r="AR3" s="724"/>
      <c r="AS3" s="724"/>
      <c r="AT3" s="724"/>
      <c r="AU3" s="724"/>
      <c r="AV3" s="724"/>
      <c r="AW3" s="724"/>
      <c r="AX3" s="724"/>
      <c r="AY3" s="724"/>
      <c r="AZ3" s="724"/>
      <c r="BA3" s="724"/>
      <c r="BB3" s="724"/>
      <c r="BC3" s="725"/>
    </row>
    <row r="4" spans="1:56">
      <c r="A4" s="723"/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7"/>
      <c r="P4" s="728" t="s">
        <v>8</v>
      </c>
      <c r="Q4" s="729"/>
      <c r="R4" s="729"/>
      <c r="S4" s="729"/>
      <c r="T4" s="730"/>
      <c r="U4" s="1475">
        <f>Design!U4</f>
        <v>0</v>
      </c>
      <c r="V4" s="1476"/>
      <c r="W4" s="1476"/>
      <c r="X4" s="1476"/>
      <c r="Y4" s="1476"/>
      <c r="Z4" s="1476"/>
      <c r="AA4" s="1476"/>
      <c r="AB4" s="1476"/>
      <c r="AC4" s="1476"/>
      <c r="AD4" s="1476"/>
      <c r="AE4" s="1476"/>
      <c r="AF4" s="1477"/>
      <c r="AG4" s="731" t="s">
        <v>9</v>
      </c>
      <c r="AH4" s="729"/>
      <c r="AI4" s="729"/>
      <c r="AJ4" s="730"/>
      <c r="AK4" s="1478">
        <f>Design!AK4</f>
        <v>0</v>
      </c>
      <c r="AL4" s="1479"/>
      <c r="AM4" s="1479"/>
      <c r="AN4" s="1479"/>
      <c r="AO4" s="1480"/>
      <c r="AP4" s="732"/>
      <c r="AQ4" s="724"/>
      <c r="AR4" s="724"/>
      <c r="AS4" s="724"/>
      <c r="AT4" s="724"/>
      <c r="AU4" s="724"/>
      <c r="AV4" s="724"/>
      <c r="AW4" s="724"/>
      <c r="AX4" s="724"/>
      <c r="AY4" s="724"/>
      <c r="AZ4" s="724"/>
      <c r="BA4" s="724"/>
      <c r="BB4" s="724"/>
      <c r="BC4" s="725"/>
    </row>
    <row r="5" spans="1:56">
      <c r="A5" s="723"/>
      <c r="B5" s="724"/>
      <c r="C5" s="724"/>
      <c r="D5" s="724"/>
      <c r="E5" s="724"/>
      <c r="F5" s="724"/>
      <c r="G5" s="724"/>
      <c r="H5" s="724"/>
      <c r="I5" s="724"/>
      <c r="J5" s="724"/>
      <c r="K5" s="724"/>
      <c r="L5" s="724"/>
      <c r="M5" s="724"/>
      <c r="N5" s="724"/>
      <c r="O5" s="727"/>
      <c r="P5" s="733" t="s">
        <v>10</v>
      </c>
      <c r="Q5" s="734"/>
      <c r="R5" s="734"/>
      <c r="S5" s="734"/>
      <c r="T5" s="735"/>
      <c r="U5" s="1460">
        <f>Design!U5</f>
        <v>0</v>
      </c>
      <c r="V5" s="1461"/>
      <c r="W5" s="1461"/>
      <c r="X5" s="1461"/>
      <c r="Y5" s="1461"/>
      <c r="Z5" s="1461"/>
      <c r="AA5" s="1461"/>
      <c r="AB5" s="1461"/>
      <c r="AC5" s="1461"/>
      <c r="AD5" s="1461"/>
      <c r="AE5" s="1461"/>
      <c r="AF5" s="1462"/>
      <c r="AG5" s="736" t="s">
        <v>11</v>
      </c>
      <c r="AH5" s="734"/>
      <c r="AI5" s="734"/>
      <c r="AJ5" s="735"/>
      <c r="AK5" s="1466">
        <f>Design!AK5</f>
        <v>0</v>
      </c>
      <c r="AL5" s="1467"/>
      <c r="AM5" s="1467"/>
      <c r="AN5" s="1467"/>
      <c r="AO5" s="1468"/>
      <c r="AP5" s="732"/>
      <c r="AQ5" s="724"/>
      <c r="AR5" s="724"/>
      <c r="AS5" s="724"/>
      <c r="AT5" s="724"/>
      <c r="AU5" s="724"/>
      <c r="AV5" s="724"/>
      <c r="AW5" s="724"/>
      <c r="AX5" s="724"/>
      <c r="AY5" s="724"/>
      <c r="AZ5" s="724"/>
      <c r="BA5" s="724"/>
      <c r="BB5" s="724"/>
      <c r="BC5" s="725"/>
    </row>
    <row r="6" spans="1:56">
      <c r="A6" s="723"/>
      <c r="B6" s="724"/>
      <c r="C6" s="724"/>
      <c r="D6" s="724"/>
      <c r="E6" s="724"/>
      <c r="F6" s="724"/>
      <c r="G6" s="724"/>
      <c r="H6" s="724"/>
      <c r="I6" s="724"/>
      <c r="J6" s="724"/>
      <c r="K6" s="724"/>
      <c r="L6" s="724"/>
      <c r="M6" s="724"/>
      <c r="N6" s="724"/>
      <c r="O6" s="727"/>
      <c r="P6" s="733" t="s">
        <v>12</v>
      </c>
      <c r="Q6" s="734"/>
      <c r="R6" s="734"/>
      <c r="S6" s="734"/>
      <c r="T6" s="735"/>
      <c r="U6" s="1460">
        <f>Design!U6</f>
        <v>0</v>
      </c>
      <c r="V6" s="1461"/>
      <c r="W6" s="1461"/>
      <c r="X6" s="1461"/>
      <c r="Y6" s="1461"/>
      <c r="Z6" s="1461"/>
      <c r="AA6" s="1461"/>
      <c r="AB6" s="1461"/>
      <c r="AC6" s="1461"/>
      <c r="AD6" s="1461"/>
      <c r="AE6" s="1461"/>
      <c r="AF6" s="1462"/>
      <c r="AG6" s="736" t="s">
        <v>13</v>
      </c>
      <c r="AH6" s="734"/>
      <c r="AI6" s="734"/>
      <c r="AJ6" s="735"/>
      <c r="AK6" s="1463">
        <f>Design!AK6</f>
        <v>0</v>
      </c>
      <c r="AL6" s="1464"/>
      <c r="AM6" s="1464"/>
      <c r="AN6" s="1464"/>
      <c r="AO6" s="1465"/>
      <c r="AP6" s="732"/>
      <c r="AQ6" s="724"/>
      <c r="AR6" s="724"/>
      <c r="AS6" s="724"/>
      <c r="AT6" s="724"/>
      <c r="AU6" s="724"/>
      <c r="AV6" s="724"/>
      <c r="AW6" s="724"/>
      <c r="AX6" s="724"/>
      <c r="AY6" s="724"/>
      <c r="AZ6" s="724"/>
      <c r="BA6" s="724"/>
      <c r="BB6" s="724"/>
      <c r="BC6" s="725"/>
    </row>
    <row r="7" spans="1:56">
      <c r="A7" s="723"/>
      <c r="B7" s="724"/>
      <c r="C7" s="724"/>
      <c r="D7" s="724"/>
      <c r="E7" s="724"/>
      <c r="F7" s="724"/>
      <c r="G7" s="724"/>
      <c r="H7" s="724"/>
      <c r="I7" s="724"/>
      <c r="J7" s="724"/>
      <c r="K7" s="724"/>
      <c r="L7" s="724"/>
      <c r="M7" s="724"/>
      <c r="N7" s="724"/>
      <c r="O7" s="727"/>
      <c r="P7" s="733" t="s">
        <v>14</v>
      </c>
      <c r="Q7" s="734"/>
      <c r="R7" s="734"/>
      <c r="S7" s="734"/>
      <c r="T7" s="735"/>
      <c r="U7" s="1460">
        <f>Design!U7</f>
        <v>0</v>
      </c>
      <c r="V7" s="1461"/>
      <c r="W7" s="1461"/>
      <c r="X7" s="1461"/>
      <c r="Y7" s="1461"/>
      <c r="Z7" s="1461"/>
      <c r="AA7" s="1461"/>
      <c r="AB7" s="1461"/>
      <c r="AC7" s="1461"/>
      <c r="AD7" s="1461"/>
      <c r="AE7" s="1461"/>
      <c r="AF7" s="1462"/>
      <c r="AG7" s="737" t="s">
        <v>15</v>
      </c>
      <c r="AH7" s="738"/>
      <c r="AI7" s="738"/>
      <c r="AJ7" s="739"/>
      <c r="AK7" s="1466">
        <f>Design!AK7</f>
        <v>0</v>
      </c>
      <c r="AL7" s="1467"/>
      <c r="AM7" s="1467"/>
      <c r="AN7" s="1467"/>
      <c r="AO7" s="1468"/>
      <c r="AP7" s="732"/>
      <c r="AQ7" s="724"/>
      <c r="AR7" s="724"/>
      <c r="AS7" s="724"/>
      <c r="AT7" s="724"/>
      <c r="AU7" s="724"/>
      <c r="AV7" s="724"/>
      <c r="AW7" s="724"/>
      <c r="AX7" s="724"/>
      <c r="AY7" s="724"/>
      <c r="AZ7" s="724"/>
      <c r="BA7" s="724"/>
      <c r="BB7" s="724"/>
      <c r="BC7" s="725"/>
    </row>
    <row r="8" spans="1:56" ht="15.75" thickBot="1">
      <c r="A8" s="723"/>
      <c r="B8" s="740"/>
      <c r="C8" s="741"/>
      <c r="D8" s="741"/>
      <c r="E8" s="741"/>
      <c r="F8" s="741"/>
      <c r="G8" s="741"/>
      <c r="H8" s="741"/>
      <c r="I8" s="741"/>
      <c r="J8" s="741"/>
      <c r="K8" s="741"/>
      <c r="L8" s="741"/>
      <c r="M8" s="741"/>
      <c r="N8" s="741"/>
      <c r="O8" s="742"/>
      <c r="P8" s="743" t="s">
        <v>16</v>
      </c>
      <c r="Q8" s="744"/>
      <c r="R8" s="744"/>
      <c r="S8" s="744"/>
      <c r="T8" s="745"/>
      <c r="U8" s="1469">
        <f>Design!U8</f>
        <v>0</v>
      </c>
      <c r="V8" s="1470"/>
      <c r="W8" s="1470"/>
      <c r="X8" s="1470"/>
      <c r="Y8" s="1470"/>
      <c r="Z8" s="1470"/>
      <c r="AA8" s="1470"/>
      <c r="AB8" s="1470"/>
      <c r="AC8" s="1470"/>
      <c r="AD8" s="1470"/>
      <c r="AE8" s="1470"/>
      <c r="AF8" s="1471"/>
      <c r="AG8" s="746" t="s">
        <v>17</v>
      </c>
      <c r="AH8" s="744"/>
      <c r="AI8" s="744"/>
      <c r="AJ8" s="745"/>
      <c r="AK8" s="1472">
        <v>1</v>
      </c>
      <c r="AL8" s="1473"/>
      <c r="AM8" s="747" t="s">
        <v>18</v>
      </c>
      <c r="AN8" s="1472">
        <v>1</v>
      </c>
      <c r="AO8" s="1474"/>
      <c r="AP8" s="740"/>
      <c r="AQ8" s="741"/>
      <c r="AR8" s="741"/>
      <c r="AS8" s="741"/>
      <c r="AT8" s="741"/>
      <c r="AU8" s="741"/>
      <c r="AV8" s="741"/>
      <c r="AW8" s="741"/>
      <c r="AX8" s="741"/>
      <c r="AY8" s="741"/>
      <c r="AZ8" s="741"/>
      <c r="BA8" s="741"/>
      <c r="BB8" s="741"/>
      <c r="BC8" s="742"/>
    </row>
    <row r="9" spans="1:56" ht="15.75" thickBot="1">
      <c r="A9" s="723"/>
      <c r="B9" s="856">
        <v>1</v>
      </c>
      <c r="C9" s="1457" t="s">
        <v>380</v>
      </c>
      <c r="D9" s="1458"/>
      <c r="E9" s="1458"/>
      <c r="F9" s="1458"/>
      <c r="G9" s="1458"/>
      <c r="H9" s="1458"/>
      <c r="I9" s="1458"/>
      <c r="J9" s="1458"/>
      <c r="K9" s="1458"/>
      <c r="L9" s="1458"/>
      <c r="M9" s="1458"/>
      <c r="N9" s="1458"/>
      <c r="O9" s="1458"/>
      <c r="P9" s="1458"/>
      <c r="Q9" s="1458"/>
      <c r="R9" s="1458"/>
      <c r="S9" s="1458"/>
      <c r="T9" s="1458"/>
      <c r="U9" s="1458"/>
      <c r="V9" s="1458"/>
      <c r="W9" s="1458"/>
      <c r="X9" s="1458"/>
      <c r="Y9" s="1458"/>
      <c r="Z9" s="1458"/>
      <c r="AA9" s="1459"/>
      <c r="AB9" s="1458" t="s">
        <v>381</v>
      </c>
      <c r="AC9" s="1458"/>
      <c r="AD9" s="1458"/>
      <c r="AE9" s="1458"/>
      <c r="AF9" s="1458"/>
      <c r="AG9" s="1458"/>
      <c r="AH9" s="1458"/>
      <c r="AI9" s="1458"/>
      <c r="AJ9" s="1458"/>
      <c r="AK9" s="1458"/>
      <c r="AL9" s="1458"/>
      <c r="AM9" s="1458"/>
      <c r="AN9" s="1458"/>
      <c r="AO9" s="1458"/>
      <c r="AP9" s="1458"/>
      <c r="AQ9" s="1458"/>
      <c r="AR9" s="1458"/>
      <c r="AS9" s="1458"/>
      <c r="AT9" s="1458"/>
      <c r="AU9" s="1458"/>
      <c r="AV9" s="1458"/>
      <c r="AW9" s="1458"/>
      <c r="AX9" s="1458"/>
      <c r="AY9" s="1458"/>
      <c r="AZ9" s="1458"/>
      <c r="BA9" s="1458"/>
      <c r="BB9" s="1458"/>
      <c r="BC9" s="1459"/>
      <c r="BD9" s="751"/>
    </row>
    <row r="10" spans="1:56" ht="15.75" thickBot="1">
      <c r="A10" s="723"/>
      <c r="B10" s="832">
        <v>2</v>
      </c>
      <c r="C10" s="782" t="s">
        <v>382</v>
      </c>
      <c r="D10" s="754"/>
      <c r="E10" s="754"/>
      <c r="F10" s="754"/>
      <c r="G10" s="754"/>
      <c r="H10" s="754"/>
      <c r="I10" s="754"/>
      <c r="J10" s="779"/>
      <c r="K10" s="778"/>
      <c r="L10" s="792"/>
      <c r="M10" s="1574">
        <f>Design!AM34</f>
        <v>0</v>
      </c>
      <c r="N10" s="1574"/>
      <c r="O10" s="1574"/>
      <c r="P10" s="754" t="s">
        <v>92</v>
      </c>
      <c r="Q10" s="793"/>
      <c r="R10" s="823" t="s">
        <v>383</v>
      </c>
      <c r="S10" s="793"/>
      <c r="T10" s="793"/>
      <c r="U10" s="793"/>
      <c r="V10" s="793"/>
      <c r="W10" s="793"/>
      <c r="X10" s="793"/>
      <c r="Y10" s="793"/>
      <c r="Z10" s="793"/>
      <c r="AA10" s="792"/>
      <c r="AB10" s="754" t="s">
        <v>384</v>
      </c>
      <c r="AC10" s="754" t="s">
        <v>99</v>
      </c>
      <c r="AD10" s="1560">
        <v>3</v>
      </c>
      <c r="AE10" s="1561"/>
      <c r="AF10" s="754"/>
      <c r="AG10" s="754" t="s">
        <v>385</v>
      </c>
      <c r="AH10" s="754"/>
      <c r="AI10" s="754"/>
      <c r="AJ10" s="754"/>
      <c r="AK10" s="754"/>
      <c r="AL10" s="754"/>
      <c r="AM10" s="754"/>
      <c r="AN10" s="754"/>
      <c r="AO10" s="754"/>
      <c r="AP10" s="754"/>
      <c r="AQ10" s="754"/>
      <c r="AR10" s="754"/>
      <c r="AS10" s="754"/>
      <c r="AT10" s="754"/>
      <c r="AU10" s="754"/>
      <c r="AV10" s="754"/>
      <c r="AW10" s="754" t="s">
        <v>386</v>
      </c>
      <c r="AX10" s="780"/>
      <c r="AY10" s="780"/>
      <c r="AZ10" s="780"/>
      <c r="BA10" s="1575"/>
      <c r="BB10" s="1576"/>
      <c r="BC10" s="725"/>
    </row>
    <row r="11" spans="1:56" ht="18.75" thickBot="1">
      <c r="A11" s="723"/>
      <c r="B11" s="832">
        <v>3</v>
      </c>
      <c r="C11" s="756" t="s">
        <v>387</v>
      </c>
      <c r="D11" s="817"/>
      <c r="E11" s="817"/>
      <c r="F11" s="817"/>
      <c r="G11" s="817"/>
      <c r="H11" s="817"/>
      <c r="I11" s="817"/>
      <c r="J11" s="817"/>
      <c r="K11" s="817"/>
      <c r="L11" s="758"/>
      <c r="M11" s="1571" t="e">
        <f>Design!M30</f>
        <v>#NAME?</v>
      </c>
      <c r="N11" s="1571"/>
      <c r="O11" s="1571"/>
      <c r="P11" s="823" t="s">
        <v>73</v>
      </c>
      <c r="Q11" s="819"/>
      <c r="R11" s="820" t="s">
        <v>383</v>
      </c>
      <c r="S11" s="874" t="s">
        <v>388</v>
      </c>
      <c r="T11" s="819"/>
      <c r="U11" s="819"/>
      <c r="V11" s="819"/>
      <c r="W11" s="819"/>
      <c r="X11" s="796"/>
      <c r="Y11" s="796"/>
      <c r="Z11" s="796"/>
      <c r="AA11" s="875"/>
      <c r="AB11" s="757" t="s">
        <v>389</v>
      </c>
      <c r="AC11" s="757" t="s">
        <v>99</v>
      </c>
      <c r="AD11" s="1560">
        <v>2.5</v>
      </c>
      <c r="AE11" s="1561"/>
      <c r="AF11" s="757"/>
      <c r="AG11" s="757" t="s">
        <v>385</v>
      </c>
      <c r="AH11" s="757"/>
      <c r="AI11" s="757"/>
      <c r="AJ11" s="757"/>
      <c r="AK11" s="757"/>
      <c r="AL11" s="757"/>
      <c r="AM11" s="757"/>
      <c r="AN11" s="757"/>
      <c r="AO11" s="757"/>
      <c r="AP11" s="757"/>
      <c r="AQ11" s="757"/>
      <c r="AR11" s="757"/>
      <c r="AS11" s="757"/>
      <c r="AT11" s="757"/>
      <c r="AU11" s="757"/>
      <c r="AV11" s="757"/>
      <c r="AW11" s="817" t="s">
        <v>390</v>
      </c>
      <c r="AX11" s="821"/>
      <c r="AY11" s="821"/>
      <c r="AZ11" s="821"/>
      <c r="BA11" s="1572"/>
      <c r="BB11" s="1573"/>
      <c r="BC11" s="725"/>
    </row>
    <row r="12" spans="1:56" ht="18.75" thickBot="1">
      <c r="A12" s="723"/>
      <c r="B12" s="832">
        <v>4</v>
      </c>
      <c r="C12" s="756" t="s">
        <v>391</v>
      </c>
      <c r="D12" s="817"/>
      <c r="E12" s="817"/>
      <c r="F12" s="817"/>
      <c r="G12" s="817"/>
      <c r="H12" s="817"/>
      <c r="I12" s="817"/>
      <c r="J12" s="817"/>
      <c r="K12" s="817"/>
      <c r="L12" s="758"/>
      <c r="M12" s="1557"/>
      <c r="N12" s="1558"/>
      <c r="O12" s="1559"/>
      <c r="P12" s="823"/>
      <c r="Q12" s="819"/>
      <c r="R12" s="820"/>
      <c r="S12" s="874"/>
      <c r="T12" s="819"/>
      <c r="U12" s="819"/>
      <c r="V12" s="819"/>
      <c r="W12" s="819"/>
      <c r="X12" s="796"/>
      <c r="Y12" s="796"/>
      <c r="Z12" s="796"/>
      <c r="AA12" s="875"/>
      <c r="AB12" s="757" t="s">
        <v>392</v>
      </c>
      <c r="AC12" s="757" t="s">
        <v>99</v>
      </c>
      <c r="AD12" s="1560">
        <v>1</v>
      </c>
      <c r="AE12" s="1561"/>
      <c r="AF12" s="757"/>
      <c r="AG12" s="757" t="s">
        <v>393</v>
      </c>
      <c r="AH12" s="757"/>
      <c r="AI12" s="757"/>
      <c r="AJ12" s="757"/>
      <c r="AK12" s="757"/>
      <c r="AL12" s="757"/>
      <c r="AM12" s="757"/>
      <c r="AN12" s="757"/>
      <c r="AO12" s="757"/>
      <c r="AP12" s="757"/>
      <c r="AQ12" s="757"/>
      <c r="AR12" s="757"/>
      <c r="AS12" s="757"/>
      <c r="AT12" s="757"/>
      <c r="AU12" s="757"/>
      <c r="AV12" s="757"/>
      <c r="AW12" s="757" t="s">
        <v>394</v>
      </c>
      <c r="AX12" s="757"/>
      <c r="AY12" s="757"/>
      <c r="AZ12" s="757"/>
      <c r="BA12" s="817"/>
      <c r="BB12" s="827"/>
      <c r="BC12" s="725"/>
    </row>
    <row r="13" spans="1:56" ht="18.75" thickBot="1">
      <c r="A13" s="723"/>
      <c r="B13" s="832">
        <v>5</v>
      </c>
      <c r="C13" s="756" t="s">
        <v>395</v>
      </c>
      <c r="D13" s="817"/>
      <c r="E13" s="817"/>
      <c r="F13" s="817"/>
      <c r="G13" s="817"/>
      <c r="H13" s="817"/>
      <c r="I13" s="817"/>
      <c r="J13" s="817"/>
      <c r="K13" s="817"/>
      <c r="L13" s="758"/>
      <c r="M13" s="1557"/>
      <c r="N13" s="1558"/>
      <c r="O13" s="1559"/>
      <c r="P13" s="823" t="s">
        <v>28</v>
      </c>
      <c r="Q13" s="819"/>
      <c r="R13" s="820"/>
      <c r="S13" s="874"/>
      <c r="T13" s="819"/>
      <c r="U13" s="819"/>
      <c r="V13" s="819"/>
      <c r="W13" s="819"/>
      <c r="X13" s="796"/>
      <c r="Y13" s="796"/>
      <c r="Z13" s="796"/>
      <c r="AA13" s="875"/>
      <c r="AB13" s="757" t="s">
        <v>396</v>
      </c>
      <c r="AC13" s="757" t="s">
        <v>99</v>
      </c>
      <c r="AD13" s="1560">
        <v>0.81899999999999995</v>
      </c>
      <c r="AE13" s="1561"/>
      <c r="AF13" s="757"/>
      <c r="AG13" s="757" t="s">
        <v>397</v>
      </c>
      <c r="AH13" s="757"/>
      <c r="AI13" s="757"/>
      <c r="AJ13" s="757"/>
      <c r="AK13" s="757"/>
      <c r="AL13" s="757"/>
      <c r="AM13" s="757"/>
      <c r="AN13" s="708" t="s">
        <v>398</v>
      </c>
      <c r="AO13" s="757"/>
      <c r="AP13" s="757"/>
      <c r="AQ13" s="757"/>
      <c r="AR13" s="757"/>
      <c r="AS13" s="757"/>
      <c r="AT13" s="757"/>
      <c r="AU13" s="757"/>
      <c r="AV13" s="757"/>
      <c r="AW13" s="757"/>
      <c r="AX13" s="757"/>
      <c r="AY13" s="757"/>
      <c r="AZ13" s="757"/>
      <c r="BA13" s="757"/>
      <c r="BB13" s="758"/>
      <c r="BC13" s="725"/>
    </row>
    <row r="14" spans="1:56" ht="15.75" thickBot="1">
      <c r="A14" s="723"/>
      <c r="B14" s="832">
        <v>6</v>
      </c>
      <c r="C14" s="756" t="s">
        <v>399</v>
      </c>
      <c r="D14" s="757"/>
      <c r="E14" s="757"/>
      <c r="F14" s="757"/>
      <c r="G14" s="757"/>
      <c r="H14" s="757"/>
      <c r="I14" s="757"/>
      <c r="J14" s="757"/>
      <c r="K14" s="757"/>
      <c r="L14" s="758"/>
      <c r="M14" s="1562" t="e">
        <f>(M12*55)/M13</f>
        <v>#DIV/0!</v>
      </c>
      <c r="N14" s="1563"/>
      <c r="O14" s="1563"/>
      <c r="P14" s="823" t="s">
        <v>73</v>
      </c>
      <c r="Q14" s="757"/>
      <c r="R14" s="762" t="s">
        <v>383</v>
      </c>
      <c r="S14" s="874" t="s">
        <v>388</v>
      </c>
      <c r="T14" s="757"/>
      <c r="U14" s="757"/>
      <c r="V14" s="757"/>
      <c r="W14" s="757"/>
      <c r="X14" s="793"/>
      <c r="Y14" s="793"/>
      <c r="Z14" s="793"/>
      <c r="AA14" s="758"/>
      <c r="AB14" s="876" t="s">
        <v>272</v>
      </c>
      <c r="AC14" s="758" t="s">
        <v>99</v>
      </c>
      <c r="AD14" s="1557">
        <v>1.5</v>
      </c>
      <c r="AE14" s="1559"/>
      <c r="AF14" s="724"/>
      <c r="AG14" s="724"/>
      <c r="AH14" s="724"/>
      <c r="AI14" s="724"/>
      <c r="AJ14" s="724"/>
      <c r="AK14" s="724"/>
      <c r="AL14" s="724"/>
      <c r="AM14" s="724"/>
      <c r="AN14" s="724"/>
      <c r="AO14" s="724"/>
      <c r="AP14" s="724"/>
      <c r="AQ14" s="724"/>
      <c r="AR14" s="724"/>
      <c r="AS14" s="724"/>
      <c r="AT14" s="724"/>
      <c r="AU14" s="724"/>
      <c r="AV14" s="724"/>
      <c r="AW14" s="724"/>
      <c r="AX14" s="724"/>
      <c r="AY14" s="724"/>
      <c r="AZ14" s="724"/>
      <c r="BA14" s="724"/>
      <c r="BB14" s="724"/>
      <c r="BC14" s="799"/>
    </row>
    <row r="15" spans="1:56" ht="15.75" thickBot="1">
      <c r="A15" s="723"/>
      <c r="B15" s="832">
        <v>7</v>
      </c>
      <c r="C15" s="756" t="s">
        <v>400</v>
      </c>
      <c r="D15" s="817"/>
      <c r="E15" s="817"/>
      <c r="F15" s="817"/>
      <c r="G15" s="817"/>
      <c r="H15" s="817"/>
      <c r="I15" s="817"/>
      <c r="J15" s="817"/>
      <c r="K15" s="817"/>
      <c r="L15" s="758"/>
      <c r="M15" s="1557"/>
      <c r="N15" s="1558"/>
      <c r="O15" s="1559"/>
      <c r="P15" s="823"/>
      <c r="Q15" s="757"/>
      <c r="R15" s="762"/>
      <c r="S15" s="757"/>
      <c r="T15" s="757"/>
      <c r="U15" s="757"/>
      <c r="V15" s="757"/>
      <c r="W15" s="757"/>
      <c r="X15" s="795"/>
      <c r="Y15" s="795"/>
      <c r="Z15" s="795"/>
      <c r="AA15" s="758"/>
      <c r="AB15" s="724"/>
      <c r="AC15" s="724"/>
      <c r="AD15" s="724"/>
      <c r="AE15" s="724"/>
      <c r="AF15" s="757"/>
      <c r="AG15" s="757"/>
      <c r="AH15" s="757"/>
      <c r="AI15" s="757"/>
      <c r="AJ15" s="757"/>
      <c r="AK15" s="757"/>
      <c r="AL15" s="757"/>
      <c r="AM15" s="757"/>
      <c r="AN15" s="757"/>
      <c r="AO15" s="757"/>
      <c r="AP15" s="757"/>
      <c r="AQ15" s="757"/>
      <c r="AR15" s="757"/>
      <c r="AS15" s="757"/>
      <c r="AT15" s="757"/>
      <c r="AU15" s="757"/>
      <c r="AV15" s="757"/>
      <c r="AW15" s="757"/>
      <c r="AX15" s="757"/>
      <c r="AY15" s="757"/>
      <c r="AZ15" s="757"/>
      <c r="BA15" s="757"/>
      <c r="BB15" s="758"/>
      <c r="BC15" s="799"/>
    </row>
    <row r="16" spans="1:56" ht="18.75" thickBot="1">
      <c r="A16" s="723"/>
      <c r="B16" s="832">
        <v>8</v>
      </c>
      <c r="C16" s="756" t="s">
        <v>395</v>
      </c>
      <c r="D16" s="817"/>
      <c r="E16" s="817"/>
      <c r="F16" s="817"/>
      <c r="G16" s="817"/>
      <c r="H16" s="817"/>
      <c r="I16" s="817"/>
      <c r="J16" s="817"/>
      <c r="K16" s="817"/>
      <c r="L16" s="758"/>
      <c r="M16" s="1564"/>
      <c r="N16" s="1565"/>
      <c r="O16" s="1566"/>
      <c r="P16" s="823" t="s">
        <v>28</v>
      </c>
      <c r="Q16" s="757"/>
      <c r="R16" s="762"/>
      <c r="S16" s="757"/>
      <c r="T16" s="757"/>
      <c r="U16" s="757"/>
      <c r="V16" s="757"/>
      <c r="W16" s="757"/>
      <c r="X16" s="795"/>
      <c r="Y16" s="795"/>
      <c r="Z16" s="795"/>
      <c r="AA16" s="758"/>
      <c r="AB16" s="757" t="s">
        <v>401</v>
      </c>
      <c r="AC16" s="757" t="s">
        <v>99</v>
      </c>
      <c r="AD16" s="1567">
        <f>((0.4*AD11*AD13)/(AD10/AD12))*3</f>
        <v>0.81899999999999995</v>
      </c>
      <c r="AE16" s="1568"/>
      <c r="AF16" s="757"/>
      <c r="AG16" s="757"/>
      <c r="AH16" s="757"/>
      <c r="AI16" s="757"/>
      <c r="AJ16" s="757"/>
      <c r="AK16" s="757"/>
      <c r="AL16" s="757"/>
      <c r="AM16" s="757"/>
      <c r="AN16" s="757"/>
      <c r="AO16" s="757"/>
      <c r="AP16" s="757"/>
      <c r="AQ16" s="757"/>
      <c r="AR16" s="757"/>
      <c r="AS16" s="757"/>
      <c r="AT16" s="757"/>
      <c r="AU16" s="757"/>
      <c r="AV16" s="757"/>
      <c r="AW16" s="757"/>
      <c r="AX16" s="757"/>
      <c r="AY16" s="757"/>
      <c r="AZ16" s="757"/>
      <c r="BA16" s="757"/>
      <c r="BB16" s="758"/>
      <c r="BC16" s="799"/>
    </row>
    <row r="17" spans="1:55" ht="18.75" thickBot="1">
      <c r="A17" s="723"/>
      <c r="B17" s="832">
        <v>9</v>
      </c>
      <c r="C17" s="761" t="s">
        <v>402</v>
      </c>
      <c r="D17" s="757"/>
      <c r="E17" s="757"/>
      <c r="F17" s="757"/>
      <c r="G17" s="757"/>
      <c r="H17" s="757"/>
      <c r="I17" s="757"/>
      <c r="J17" s="757"/>
      <c r="K17" s="757"/>
      <c r="L17" s="758"/>
      <c r="M17" s="1569" t="e">
        <f>(M15*15)/M16</f>
        <v>#DIV/0!</v>
      </c>
      <c r="N17" s="1570"/>
      <c r="O17" s="1570"/>
      <c r="P17" s="823" t="s">
        <v>73</v>
      </c>
      <c r="Q17" s="757"/>
      <c r="R17" s="762" t="s">
        <v>383</v>
      </c>
      <c r="S17" s="874" t="s">
        <v>388</v>
      </c>
      <c r="T17" s="757"/>
      <c r="U17" s="757"/>
      <c r="V17" s="757"/>
      <c r="W17" s="757"/>
      <c r="X17" s="793"/>
      <c r="Y17" s="793"/>
      <c r="Z17" s="793"/>
      <c r="AA17" s="758"/>
      <c r="AB17" s="757" t="s">
        <v>403</v>
      </c>
      <c r="AC17" s="757" t="s">
        <v>99</v>
      </c>
      <c r="AD17" s="1567">
        <f>((0.4*AD11*AD13)/(AD10/AD12))*3</f>
        <v>0.81899999999999995</v>
      </c>
      <c r="AE17" s="1568"/>
      <c r="AF17" s="817"/>
      <c r="AG17" s="817"/>
      <c r="AH17" s="724"/>
      <c r="AI17" s="724"/>
      <c r="AJ17" s="724"/>
      <c r="AK17" s="724"/>
      <c r="AL17" s="724"/>
      <c r="AM17" s="724"/>
      <c r="AN17" s="724"/>
      <c r="AO17" s="724"/>
      <c r="AP17" s="724"/>
      <c r="AQ17" s="724"/>
      <c r="AR17" s="724"/>
      <c r="AS17" s="724"/>
      <c r="AT17" s="724"/>
      <c r="AU17" s="724"/>
      <c r="AV17" s="724"/>
      <c r="AW17" s="724"/>
      <c r="AX17" s="724"/>
      <c r="AY17" s="724"/>
      <c r="AZ17" s="724"/>
      <c r="BA17" s="724"/>
      <c r="BB17" s="724"/>
      <c r="BC17" s="799"/>
    </row>
    <row r="18" spans="1:55">
      <c r="A18" s="723"/>
      <c r="B18" s="832">
        <v>10</v>
      </c>
      <c r="C18" s="835" t="s">
        <v>404</v>
      </c>
      <c r="D18" s="817"/>
      <c r="E18" s="817"/>
      <c r="F18" s="817"/>
      <c r="G18" s="817"/>
      <c r="H18" s="817"/>
      <c r="I18" s="817"/>
      <c r="J18" s="817"/>
      <c r="K18" s="817"/>
      <c r="L18" s="827"/>
      <c r="M18" s="1555">
        <v>8.5</v>
      </c>
      <c r="N18" s="1556"/>
      <c r="O18" s="1556"/>
      <c r="P18" s="836" t="s">
        <v>73</v>
      </c>
      <c r="Q18" s="817"/>
      <c r="R18" s="820" t="s">
        <v>383</v>
      </c>
      <c r="S18" s="877" t="s">
        <v>405</v>
      </c>
      <c r="T18" s="817"/>
      <c r="U18" s="817"/>
      <c r="V18" s="817"/>
      <c r="W18" s="817"/>
      <c r="X18" s="850"/>
      <c r="Y18" s="850"/>
      <c r="Z18" s="850"/>
      <c r="AA18" s="827"/>
      <c r="AB18" s="757"/>
      <c r="AC18" s="757"/>
      <c r="AD18" s="766"/>
      <c r="AE18" s="766"/>
      <c r="AF18" s="757"/>
      <c r="AG18" s="817"/>
      <c r="AH18" s="757"/>
      <c r="AI18" s="757"/>
      <c r="AJ18" s="757"/>
      <c r="AK18" s="757"/>
      <c r="AL18" s="757"/>
      <c r="AM18" s="757"/>
      <c r="AN18" s="708"/>
      <c r="AO18" s="757"/>
      <c r="AP18" s="757"/>
      <c r="AQ18" s="757"/>
      <c r="AR18" s="757"/>
      <c r="AS18" s="757"/>
      <c r="AT18" s="757"/>
      <c r="AU18" s="757"/>
      <c r="AV18" s="757"/>
      <c r="AW18" s="757"/>
      <c r="AX18" s="757"/>
      <c r="AY18" s="757"/>
      <c r="AZ18" s="757"/>
      <c r="BA18" s="757"/>
      <c r="BB18" s="758"/>
      <c r="BC18" s="799"/>
    </row>
    <row r="19" spans="1:55">
      <c r="A19" s="723"/>
      <c r="B19" s="832">
        <v>11</v>
      </c>
      <c r="C19" s="835" t="s">
        <v>406</v>
      </c>
      <c r="D19" s="817"/>
      <c r="E19" s="817"/>
      <c r="F19" s="817"/>
      <c r="G19" s="817"/>
      <c r="H19" s="817"/>
      <c r="I19" s="817"/>
      <c r="J19" s="817"/>
      <c r="K19" s="817"/>
      <c r="L19" s="827"/>
      <c r="M19" s="1554">
        <f>Design!AM35</f>
        <v>0</v>
      </c>
      <c r="N19" s="1353"/>
      <c r="O19" s="1353"/>
      <c r="P19" s="836" t="s">
        <v>92</v>
      </c>
      <c r="Q19" s="817"/>
      <c r="R19" s="820" t="s">
        <v>383</v>
      </c>
      <c r="S19" s="817"/>
      <c r="T19" s="817"/>
      <c r="U19" s="817"/>
      <c r="V19" s="817"/>
      <c r="W19" s="817"/>
      <c r="X19" s="878"/>
      <c r="Y19" s="817"/>
      <c r="Z19" s="817"/>
      <c r="AA19" s="827"/>
      <c r="AB19" s="757"/>
      <c r="AC19" s="757"/>
      <c r="AD19" s="757"/>
      <c r="AE19" s="757"/>
      <c r="AF19" s="757"/>
      <c r="AG19" s="757"/>
      <c r="AH19" s="757"/>
      <c r="AI19" s="757"/>
      <c r="AJ19" s="757"/>
      <c r="AK19" s="757"/>
      <c r="AL19" s="757"/>
      <c r="AM19" s="757"/>
      <c r="AN19" s="757"/>
      <c r="AO19" s="757"/>
      <c r="AP19" s="757"/>
      <c r="AQ19" s="757"/>
      <c r="AR19" s="757"/>
      <c r="AS19" s="757"/>
      <c r="AT19" s="757"/>
      <c r="AU19" s="757"/>
      <c r="AV19" s="757"/>
      <c r="AW19" s="757"/>
      <c r="AX19" s="757"/>
      <c r="AY19" s="757"/>
      <c r="AZ19" s="757"/>
      <c r="BA19" s="757"/>
      <c r="BB19" s="758"/>
      <c r="BC19" s="799"/>
    </row>
    <row r="20" spans="1:55">
      <c r="A20" s="723"/>
      <c r="B20" s="832">
        <v>12</v>
      </c>
      <c r="C20" s="761" t="s">
        <v>407</v>
      </c>
      <c r="D20" s="757"/>
      <c r="E20" s="757"/>
      <c r="F20" s="757"/>
      <c r="G20" s="757"/>
      <c r="H20" s="757"/>
      <c r="I20" s="757"/>
      <c r="J20" s="757"/>
      <c r="K20" s="757"/>
      <c r="L20" s="758"/>
      <c r="M20" s="1554">
        <f>Design!AM35</f>
        <v>0</v>
      </c>
      <c r="N20" s="1353"/>
      <c r="O20" s="1353"/>
      <c r="P20" s="823" t="s">
        <v>92</v>
      </c>
      <c r="Q20" s="757"/>
      <c r="R20" s="762" t="s">
        <v>383</v>
      </c>
      <c r="S20" s="757"/>
      <c r="T20" s="757"/>
      <c r="U20" s="757"/>
      <c r="V20" s="757"/>
      <c r="W20" s="757"/>
      <c r="X20" s="806"/>
      <c r="Y20" s="757"/>
      <c r="Z20" s="757"/>
      <c r="AA20" s="758"/>
      <c r="AB20" s="879"/>
      <c r="AC20" s="757"/>
      <c r="AD20" s="757"/>
      <c r="AE20" s="806"/>
      <c r="AF20" s="757"/>
      <c r="AG20" s="757"/>
      <c r="AH20" s="757"/>
      <c r="AI20" s="757"/>
      <c r="AJ20" s="757"/>
      <c r="AK20" s="757"/>
      <c r="AL20" s="757"/>
      <c r="AM20" s="757"/>
      <c r="AN20" s="757"/>
      <c r="AO20" s="757"/>
      <c r="AP20" s="757"/>
      <c r="AQ20" s="757"/>
      <c r="AR20" s="757"/>
      <c r="AS20" s="757"/>
      <c r="AT20" s="757"/>
      <c r="AU20" s="757"/>
      <c r="AV20" s="757"/>
      <c r="AW20" s="757"/>
      <c r="AX20" s="757"/>
      <c r="AY20" s="757"/>
      <c r="AZ20" s="757"/>
      <c r="BA20" s="757"/>
      <c r="BB20" s="758"/>
      <c r="BC20" s="799"/>
    </row>
    <row r="21" spans="1:55">
      <c r="A21" s="723"/>
      <c r="B21" s="832">
        <v>13</v>
      </c>
      <c r="C21" s="761" t="s">
        <v>408</v>
      </c>
      <c r="D21" s="757"/>
      <c r="E21" s="757"/>
      <c r="F21" s="757"/>
      <c r="G21" s="757"/>
      <c r="H21" s="757"/>
      <c r="I21" s="757"/>
      <c r="J21" s="757"/>
      <c r="K21" s="757"/>
      <c r="L21" s="758"/>
      <c r="M21" s="1554" t="e">
        <f>VLOOKUP(Design!M23,List!F31:G36,2,FALSE)</f>
        <v>#N/A</v>
      </c>
      <c r="N21" s="1353"/>
      <c r="O21" s="1353"/>
      <c r="P21" s="823" t="s">
        <v>73</v>
      </c>
      <c r="Q21" s="757"/>
      <c r="R21" s="762" t="s">
        <v>383</v>
      </c>
      <c r="S21" s="874" t="s">
        <v>388</v>
      </c>
      <c r="T21" s="757"/>
      <c r="U21" s="757"/>
      <c r="V21" s="757"/>
      <c r="W21" s="757"/>
      <c r="X21" s="806"/>
      <c r="Y21" s="757"/>
      <c r="Z21" s="757"/>
      <c r="AA21" s="758"/>
      <c r="AC21" s="757"/>
      <c r="AD21" s="757"/>
      <c r="AE21" s="806"/>
      <c r="AF21" s="757"/>
      <c r="AG21" s="757"/>
      <c r="AH21" s="757"/>
      <c r="AI21" s="757"/>
      <c r="AJ21" s="757"/>
      <c r="AK21" s="757"/>
      <c r="AL21" s="757"/>
      <c r="AM21" s="757"/>
      <c r="AN21" s="757"/>
      <c r="AO21" s="757"/>
      <c r="AP21" s="757"/>
      <c r="AQ21" s="757"/>
      <c r="AR21" s="757"/>
      <c r="AS21" s="757"/>
      <c r="AT21" s="757"/>
      <c r="AU21" s="757"/>
      <c r="AV21" s="817"/>
      <c r="AW21" s="757"/>
      <c r="AX21" s="757"/>
      <c r="AY21" s="757"/>
      <c r="AZ21" s="757"/>
      <c r="BA21" s="757"/>
      <c r="BB21" s="758"/>
      <c r="BC21" s="799"/>
    </row>
    <row r="22" spans="1:55">
      <c r="A22" s="723"/>
      <c r="B22" s="832">
        <v>14</v>
      </c>
      <c r="C22" s="761" t="s">
        <v>409</v>
      </c>
      <c r="D22" s="757"/>
      <c r="E22" s="757"/>
      <c r="F22" s="757"/>
      <c r="G22" s="757"/>
      <c r="H22" s="757"/>
      <c r="I22" s="757"/>
      <c r="J22" s="757"/>
      <c r="K22" s="757"/>
      <c r="L22" s="758"/>
      <c r="M22" s="1555" t="e">
        <f>Design!P38</f>
        <v>#DIV/0!</v>
      </c>
      <c r="N22" s="1556"/>
      <c r="O22" s="1556"/>
      <c r="P22" s="823" t="s">
        <v>73</v>
      </c>
      <c r="Q22" s="757"/>
      <c r="R22" s="762" t="s">
        <v>410</v>
      </c>
      <c r="S22" s="874" t="s">
        <v>388</v>
      </c>
      <c r="T22" s="757"/>
      <c r="U22" s="757"/>
      <c r="V22" s="757"/>
      <c r="W22" s="757"/>
      <c r="X22" s="806"/>
      <c r="Y22" s="757"/>
      <c r="Z22" s="757"/>
      <c r="AA22" s="758"/>
      <c r="AB22" s="757"/>
      <c r="AC22" s="817"/>
      <c r="AD22" s="817"/>
      <c r="AE22" s="817"/>
      <c r="AF22" s="817"/>
      <c r="AG22" s="817"/>
      <c r="AH22" s="817"/>
      <c r="AI22" s="817"/>
      <c r="AJ22" s="817"/>
      <c r="AK22" s="817"/>
      <c r="AL22" s="817"/>
      <c r="AM22" s="817"/>
      <c r="AN22" s="817"/>
      <c r="AO22" s="817"/>
      <c r="AP22" s="817"/>
      <c r="AQ22" s="817"/>
      <c r="AR22" s="817"/>
      <c r="AS22" s="817"/>
      <c r="AT22" s="817"/>
      <c r="AU22" s="817"/>
      <c r="AV22" s="817"/>
      <c r="AW22" s="817"/>
      <c r="AX22" s="817"/>
      <c r="AY22" s="817"/>
      <c r="AZ22" s="817"/>
      <c r="BA22" s="817"/>
      <c r="BB22" s="827"/>
      <c r="BC22" s="799"/>
    </row>
    <row r="23" spans="1:55">
      <c r="A23" s="723"/>
      <c r="B23" s="832">
        <v>15</v>
      </c>
      <c r="C23" s="761" t="s">
        <v>411</v>
      </c>
      <c r="D23" s="757"/>
      <c r="E23" s="757"/>
      <c r="F23" s="757"/>
      <c r="G23" s="757"/>
      <c r="H23" s="757"/>
      <c r="I23" s="757"/>
      <c r="J23" s="757"/>
      <c r="K23" s="757"/>
      <c r="L23" s="758"/>
      <c r="M23" s="1554" t="e">
        <f>VLOOKUP(Design!M23,List!I31:J36,2,FALSE)</f>
        <v>#N/A</v>
      </c>
      <c r="N23" s="1353"/>
      <c r="O23" s="1353"/>
      <c r="P23" s="823" t="s">
        <v>73</v>
      </c>
      <c r="Q23" s="757"/>
      <c r="R23" s="762" t="s">
        <v>410</v>
      </c>
      <c r="S23" s="874" t="s">
        <v>388</v>
      </c>
      <c r="T23" s="757"/>
      <c r="U23" s="757"/>
      <c r="V23" s="757"/>
      <c r="W23" s="757"/>
      <c r="X23" s="806"/>
      <c r="Y23" s="757"/>
      <c r="Z23" s="757"/>
      <c r="AA23" s="758"/>
      <c r="AB23" s="757"/>
      <c r="AC23" s="757"/>
      <c r="AD23" s="757"/>
      <c r="AE23" s="757"/>
      <c r="AF23" s="757"/>
      <c r="AG23" s="757"/>
      <c r="AH23" s="757"/>
      <c r="AI23" s="757"/>
      <c r="AJ23" s="757"/>
      <c r="AK23" s="757"/>
      <c r="AL23" s="757"/>
      <c r="AM23" s="757"/>
      <c r="AN23" s="757"/>
      <c r="AO23" s="757"/>
      <c r="AP23" s="757"/>
      <c r="AQ23" s="757"/>
      <c r="AR23" s="757"/>
      <c r="AS23" s="757"/>
      <c r="AT23" s="757"/>
      <c r="AU23" s="757"/>
      <c r="AV23" s="757"/>
      <c r="AW23" s="757"/>
      <c r="AX23" s="757"/>
      <c r="AY23" s="757"/>
      <c r="AZ23" s="757"/>
      <c r="BA23" s="757"/>
      <c r="BB23" s="758"/>
      <c r="BC23" s="799"/>
    </row>
    <row r="24" spans="1:55">
      <c r="A24" s="723"/>
      <c r="B24" s="832">
        <v>16</v>
      </c>
      <c r="C24" s="761" t="s">
        <v>412</v>
      </c>
      <c r="D24" s="757"/>
      <c r="E24" s="757"/>
      <c r="F24" s="757"/>
      <c r="G24" s="757"/>
      <c r="H24" s="757"/>
      <c r="I24" s="757"/>
      <c r="J24" s="757"/>
      <c r="K24" s="757"/>
      <c r="L24" s="758"/>
      <c r="M24" s="1555" t="e">
        <f ca="1">Design!AU64*COS(25*(PI()/180))</f>
        <v>#DIV/0!</v>
      </c>
      <c r="N24" s="1556"/>
      <c r="O24" s="1556"/>
      <c r="P24" s="823" t="s">
        <v>92</v>
      </c>
      <c r="Q24" s="757"/>
      <c r="R24" s="762" t="s">
        <v>410</v>
      </c>
      <c r="S24" s="757"/>
      <c r="T24" s="757"/>
      <c r="U24" s="757"/>
      <c r="V24" s="757"/>
      <c r="W24" s="757"/>
      <c r="X24" s="806"/>
      <c r="Y24" s="757"/>
      <c r="Z24" s="757"/>
      <c r="AA24" s="758"/>
      <c r="AB24" s="800"/>
      <c r="AC24" s="757"/>
      <c r="AD24" s="757"/>
      <c r="AE24" s="757"/>
      <c r="AF24" s="757"/>
      <c r="AG24" s="757"/>
      <c r="AH24" s="757"/>
      <c r="AI24" s="757"/>
      <c r="AJ24" s="757"/>
      <c r="AK24" s="757"/>
      <c r="AL24" s="757"/>
      <c r="AM24" s="757"/>
      <c r="AN24" s="757"/>
      <c r="AO24" s="757"/>
      <c r="AP24" s="757"/>
      <c r="AQ24" s="757"/>
      <c r="AR24" s="757"/>
      <c r="AS24" s="757"/>
      <c r="AT24" s="757"/>
      <c r="AU24" s="757"/>
      <c r="AV24" s="757"/>
      <c r="AW24" s="757"/>
      <c r="AX24" s="757"/>
      <c r="AY24" s="757"/>
      <c r="AZ24" s="757"/>
      <c r="BA24" s="757"/>
      <c r="BB24" s="758"/>
      <c r="BC24" s="799"/>
    </row>
    <row r="25" spans="1:55" ht="15.75" thickBot="1">
      <c r="A25" s="723"/>
      <c r="B25" s="832">
        <v>17</v>
      </c>
      <c r="C25" s="840" t="s">
        <v>413</v>
      </c>
      <c r="D25" s="768"/>
      <c r="E25" s="768"/>
      <c r="F25" s="768"/>
      <c r="G25" s="768"/>
      <c r="H25" s="768"/>
      <c r="I25" s="768"/>
      <c r="J25" s="768"/>
      <c r="K25" s="768"/>
      <c r="L25" s="769"/>
      <c r="M25" s="1552" t="e">
        <f ca="1">Design!AU64*SIN(25*(PI()/180))</f>
        <v>#DIV/0!</v>
      </c>
      <c r="N25" s="1553"/>
      <c r="O25" s="1553"/>
      <c r="P25" s="841" t="s">
        <v>92</v>
      </c>
      <c r="Q25" s="768"/>
      <c r="R25" s="829" t="s">
        <v>410</v>
      </c>
      <c r="S25" s="768"/>
      <c r="T25" s="768"/>
      <c r="U25" s="768"/>
      <c r="V25" s="768"/>
      <c r="W25" s="768"/>
      <c r="X25" s="869"/>
      <c r="Y25" s="768"/>
      <c r="Z25" s="768"/>
      <c r="AA25" s="769"/>
      <c r="AB25" s="741"/>
      <c r="AC25" s="768"/>
      <c r="AD25" s="768"/>
      <c r="AE25" s="768"/>
      <c r="AF25" s="768"/>
      <c r="AG25" s="768"/>
      <c r="AH25" s="768"/>
      <c r="AI25" s="768"/>
      <c r="AJ25" s="768"/>
      <c r="AK25" s="768"/>
      <c r="AL25" s="768"/>
      <c r="AM25" s="768"/>
      <c r="AN25" s="768"/>
      <c r="AO25" s="768"/>
      <c r="AP25" s="768"/>
      <c r="AQ25" s="768"/>
      <c r="AR25" s="768"/>
      <c r="AS25" s="768"/>
      <c r="AT25" s="768"/>
      <c r="AU25" s="768"/>
      <c r="AV25" s="768"/>
      <c r="AW25" s="768"/>
      <c r="AX25" s="768"/>
      <c r="AY25" s="768"/>
      <c r="AZ25" s="768"/>
      <c r="BA25" s="768"/>
      <c r="BB25" s="769"/>
      <c r="BC25" s="842"/>
    </row>
    <row r="26" spans="1:55">
      <c r="B26" s="830"/>
      <c r="N26" s="716" t="s">
        <v>414</v>
      </c>
    </row>
  </sheetData>
  <sheetProtection sheet="1" selectLockedCells="1"/>
  <dataConsolidate/>
  <mergeCells count="40">
    <mergeCell ref="P2:AO2"/>
    <mergeCell ref="P3:AO3"/>
    <mergeCell ref="U4:AF4"/>
    <mergeCell ref="AK4:AO4"/>
    <mergeCell ref="U5:AF5"/>
    <mergeCell ref="AK5:AO5"/>
    <mergeCell ref="M11:O11"/>
    <mergeCell ref="AD11:AE11"/>
    <mergeCell ref="BA11:BB11"/>
    <mergeCell ref="U6:AF6"/>
    <mergeCell ref="AK6:AO6"/>
    <mergeCell ref="U7:AF7"/>
    <mergeCell ref="AK7:AO7"/>
    <mergeCell ref="U8:AF8"/>
    <mergeCell ref="AK8:AL8"/>
    <mergeCell ref="AN8:AO8"/>
    <mergeCell ref="C9:AA9"/>
    <mergeCell ref="AB9:BC9"/>
    <mergeCell ref="M10:O10"/>
    <mergeCell ref="AD10:AE10"/>
    <mergeCell ref="BA10:BB10"/>
    <mergeCell ref="M18:O18"/>
    <mergeCell ref="M12:O12"/>
    <mergeCell ref="AD12:AE12"/>
    <mergeCell ref="M13:O13"/>
    <mergeCell ref="AD13:AE13"/>
    <mergeCell ref="M14:O14"/>
    <mergeCell ref="AD14:AE14"/>
    <mergeCell ref="M15:O15"/>
    <mergeCell ref="M16:O16"/>
    <mergeCell ref="AD16:AE16"/>
    <mergeCell ref="M17:O17"/>
    <mergeCell ref="AD17:AE17"/>
    <mergeCell ref="M25:O25"/>
    <mergeCell ref="M19:O19"/>
    <mergeCell ref="M20:O20"/>
    <mergeCell ref="M21:O21"/>
    <mergeCell ref="M22:O22"/>
    <mergeCell ref="M23:O23"/>
    <mergeCell ref="M24:O24"/>
  </mergeCells>
  <dataValidations count="1">
    <dataValidation type="decimal" allowBlank="1" showInputMessage="1" showErrorMessage="1" errorTitle="Trough Fill" error="Maximum Trough Fill Exceeded" sqref="J10" xr:uid="{7C4A1CFD-F795-467C-969F-9C7276C79618}">
      <formula1>0</formula1>
      <formula2>100</formula2>
    </dataValidation>
  </dataValidations>
  <hyperlinks>
    <hyperlink ref="AN13" r:id="rId1" xr:uid="{C0DB23DF-4103-4F02-BA7B-8555C6E45C6D}"/>
  </hyperlinks>
  <pageMargins left="0.25" right="0.25" top="0.75" bottom="0.75" header="0.3" footer="0.3"/>
  <pageSetup paperSize="3" orientation="landscape" r:id="rId2"/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067AF67-A6E4-43B1-9C87-34495C790B9C}">
          <x14:formula1>
            <xm:f>List!$N$30:$N$35</xm:f>
          </x14:formula1>
          <xm:sqref>BA11:BB11</xm:sqref>
        </x14:dataValidation>
        <x14:dataValidation type="list" allowBlank="1" showInputMessage="1" showErrorMessage="1" xr:uid="{CAF92C92-BBE4-4D6B-9C5D-CC56133576F6}">
          <x14:formula1>
            <xm:f>List!$L$30:$L$33</xm:f>
          </x14:formula1>
          <xm:sqref>BA10:BB10</xm:sqref>
        </x14:dataValidation>
        <x14:dataValidation type="list" allowBlank="1" showInputMessage="1" showErrorMessage="1" xr:uid="{308D9A29-598A-467A-A5E3-4FE3EB87F49A}">
          <x14:formula1>
            <xm:f>List!$B$3:$B$8</xm:f>
          </x14:formula1>
          <xm:sqref>Q10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1BBB4-244E-4BF6-9738-BB902C369985}">
  <sheetPr codeName="Sheet27">
    <tabColor rgb="FF00B0F0"/>
  </sheetPr>
  <dimension ref="A1:E7"/>
  <sheetViews>
    <sheetView workbookViewId="0">
      <selection activeCell="E15" sqref="E15"/>
    </sheetView>
  </sheetViews>
  <sheetFormatPr defaultRowHeight="15"/>
  <cols>
    <col min="1" max="1" width="15.28515625" style="716" customWidth="1"/>
    <col min="2" max="2" width="9.5703125" style="716" bestFit="1" customWidth="1"/>
    <col min="3" max="3" width="11.7109375" style="716" customWidth="1"/>
    <col min="4" max="4" width="10.5703125" style="716" bestFit="1" customWidth="1"/>
    <col min="5" max="16384" width="9.140625" style="716"/>
  </cols>
  <sheetData>
    <row r="1" spans="1:5" ht="15.75" thickBot="1"/>
    <row r="2" spans="1:5">
      <c r="A2" s="880" t="s">
        <v>415</v>
      </c>
      <c r="B2" s="716" t="s">
        <v>416</v>
      </c>
      <c r="C2" s="716" t="s">
        <v>417</v>
      </c>
      <c r="D2" s="716" t="s">
        <v>418</v>
      </c>
      <c r="E2" s="716" t="s">
        <v>419</v>
      </c>
    </row>
    <row r="3" spans="1:5">
      <c r="A3" s="838">
        <f>MAX(B3:B30)</f>
        <v>4</v>
      </c>
      <c r="B3" s="881">
        <v>0</v>
      </c>
      <c r="C3" s="882">
        <v>45271</v>
      </c>
      <c r="D3" s="716" t="s">
        <v>420</v>
      </c>
      <c r="E3" s="716" t="s">
        <v>421</v>
      </c>
    </row>
    <row r="4" spans="1:5" ht="15.75" thickBot="1">
      <c r="A4" s="883">
        <f>MAX(C3:C30)</f>
        <v>45643</v>
      </c>
      <c r="B4" s="716">
        <v>1</v>
      </c>
      <c r="C4" s="882">
        <v>45336</v>
      </c>
      <c r="D4" s="716" t="s">
        <v>420</v>
      </c>
      <c r="E4" s="716" t="s">
        <v>422</v>
      </c>
    </row>
    <row r="5" spans="1:5">
      <c r="B5" s="716">
        <v>2</v>
      </c>
      <c r="C5" s="882">
        <v>45418</v>
      </c>
      <c r="D5" s="716" t="s">
        <v>420</v>
      </c>
      <c r="E5" s="716" t="s">
        <v>423</v>
      </c>
    </row>
    <row r="6" spans="1:5">
      <c r="B6" s="716">
        <v>3</v>
      </c>
      <c r="C6" s="882">
        <v>45436</v>
      </c>
      <c r="D6" s="716" t="s">
        <v>420</v>
      </c>
      <c r="E6" s="716" t="s">
        <v>424</v>
      </c>
    </row>
    <row r="7" spans="1:5">
      <c r="B7" s="716">
        <v>4</v>
      </c>
      <c r="C7" s="882">
        <v>45643</v>
      </c>
      <c r="D7" s="1091" t="s">
        <v>425</v>
      </c>
      <c r="E7" s="1091" t="s">
        <v>426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251AA-1B26-49B0-AB8A-7EA7C2B6DE97}">
  <sheetPr codeName="Sheet28">
    <tabColor theme="4" tint="0.79998168889431442"/>
  </sheetPr>
  <dimension ref="B2:CB44"/>
  <sheetViews>
    <sheetView topLeftCell="AI1" zoomScaleNormal="100" workbookViewId="0">
      <selection activeCell="AQ7" sqref="AQ7"/>
    </sheetView>
  </sheetViews>
  <sheetFormatPr defaultRowHeight="15"/>
  <cols>
    <col min="1" max="1" width="9.140625" style="716"/>
    <col min="2" max="2" width="12.7109375" style="716" customWidth="1"/>
    <col min="3" max="3" width="15.42578125" style="716" customWidth="1"/>
    <col min="4" max="4" width="16.140625" style="716" customWidth="1"/>
    <col min="5" max="5" width="9.140625" style="716"/>
    <col min="6" max="6" width="10.42578125" style="716" customWidth="1"/>
    <col min="7" max="8" width="9.140625" style="716"/>
    <col min="9" max="9" width="10.28515625" style="716" customWidth="1"/>
    <col min="10" max="10" width="9.140625" style="716"/>
    <col min="11" max="11" width="9.5703125" style="716" customWidth="1"/>
    <col min="12" max="12" width="12.7109375" style="716" customWidth="1"/>
    <col min="13" max="13" width="9.5703125" style="716" customWidth="1"/>
    <col min="14" max="14" width="9.140625" style="716" customWidth="1"/>
    <col min="15" max="15" width="20.5703125" style="716" customWidth="1"/>
    <col min="16" max="16" width="14.42578125" style="716" bestFit="1" customWidth="1"/>
    <col min="17" max="20" width="7.28515625" style="716" customWidth="1"/>
    <col min="21" max="21" width="15" style="716" bestFit="1" customWidth="1"/>
    <col min="22" max="22" width="6.28515625" style="716" customWidth="1"/>
    <col min="23" max="23" width="12.28515625" style="716" bestFit="1" customWidth="1"/>
    <col min="24" max="24" width="9.140625" style="716"/>
    <col min="25" max="25" width="11.85546875" style="716" customWidth="1"/>
    <col min="26" max="26" width="11" style="716" bestFit="1" customWidth="1"/>
    <col min="27" max="29" width="9.140625" style="716"/>
    <col min="30" max="30" width="11.28515625" style="716" bestFit="1" customWidth="1"/>
    <col min="31" max="31" width="10" style="716" customWidth="1"/>
    <col min="32" max="32" width="6.140625" style="716" customWidth="1"/>
    <col min="33" max="35" width="9.140625" style="716"/>
    <col min="36" max="36" width="9.85546875" style="716" customWidth="1"/>
    <col min="37" max="37" width="10.7109375" style="716" customWidth="1"/>
    <col min="38" max="42" width="9.140625" style="716"/>
    <col min="43" max="43" width="14" style="716" customWidth="1"/>
    <col min="44" max="44" width="9.140625" style="716"/>
    <col min="45" max="45" width="11.5703125" style="716" customWidth="1"/>
    <col min="46" max="46" width="13.7109375" style="716" customWidth="1"/>
    <col min="47" max="48" width="9.140625" style="716"/>
    <col min="49" max="49" width="11.7109375" style="716" customWidth="1"/>
    <col min="50" max="50" width="6.42578125" style="716" customWidth="1"/>
    <col min="51" max="52" width="15.5703125" style="716" customWidth="1"/>
    <col min="53" max="53" width="6" style="716" customWidth="1"/>
    <col min="54" max="54" width="15.5703125" style="716" customWidth="1"/>
    <col min="55" max="55" width="6.7109375" style="716" customWidth="1"/>
    <col min="56" max="56" width="22.5703125" style="716" customWidth="1"/>
    <col min="57" max="57" width="7.28515625" style="716" customWidth="1"/>
    <col min="58" max="58" width="15.5703125" style="716" customWidth="1"/>
    <col min="59" max="59" width="6.85546875" style="716" customWidth="1"/>
    <col min="60" max="60" width="16.28515625" style="716" bestFit="1" customWidth="1"/>
    <col min="61" max="61" width="7.7109375" style="716" customWidth="1"/>
    <col min="62" max="62" width="10.28515625" style="716" customWidth="1"/>
    <col min="63" max="63" width="7.7109375" style="716" customWidth="1"/>
    <col min="64" max="64" width="38.42578125" style="716" bestFit="1" customWidth="1"/>
    <col min="65" max="65" width="7.7109375" style="716" customWidth="1"/>
    <col min="66" max="66" width="19" style="716" bestFit="1" customWidth="1"/>
    <col min="67" max="67" width="9.140625" style="716"/>
    <col min="68" max="68" width="8.5703125" style="716" bestFit="1" customWidth="1"/>
    <col min="69" max="69" width="10.28515625" style="716" bestFit="1" customWidth="1"/>
    <col min="70" max="70" width="7.28515625" style="716" customWidth="1"/>
    <col min="71" max="71" width="8.7109375" style="716" customWidth="1"/>
    <col min="72" max="72" width="9.140625" style="716"/>
    <col min="73" max="75" width="26.28515625" style="716" bestFit="1" customWidth="1"/>
    <col min="76" max="76" width="22.42578125" style="716" bestFit="1" customWidth="1"/>
    <col min="77" max="77" width="17.42578125" style="716" bestFit="1" customWidth="1"/>
    <col min="78" max="79" width="9.140625" style="716"/>
    <col min="80" max="80" width="17.42578125" style="716" customWidth="1"/>
    <col min="81" max="16384" width="9.140625" style="716"/>
  </cols>
  <sheetData>
    <row r="2" spans="2:80">
      <c r="B2" s="884" t="s">
        <v>427</v>
      </c>
      <c r="D2" s="885" t="s">
        <v>428</v>
      </c>
      <c r="F2" s="1581" t="s">
        <v>108</v>
      </c>
      <c r="G2" s="1581"/>
      <c r="H2" s="1581"/>
      <c r="I2" s="1581"/>
      <c r="K2" s="1579" t="s">
        <v>429</v>
      </c>
      <c r="L2" s="1582"/>
      <c r="M2" s="1582"/>
      <c r="N2" s="1580"/>
      <c r="O2" s="886"/>
      <c r="P2" s="884" t="s">
        <v>430</v>
      </c>
      <c r="Q2" s="886"/>
      <c r="R2" s="1579" t="s">
        <v>431</v>
      </c>
      <c r="S2" s="1580"/>
      <c r="T2" s="886"/>
      <c r="U2" s="884" t="s">
        <v>432</v>
      </c>
      <c r="W2" s="885" t="s">
        <v>433</v>
      </c>
      <c r="Y2" s="1579" t="s">
        <v>128</v>
      </c>
      <c r="Z2" s="1582"/>
      <c r="AA2" s="1582"/>
      <c r="AB2" s="1580"/>
      <c r="AD2" s="1581" t="s">
        <v>434</v>
      </c>
      <c r="AE2" s="1581"/>
      <c r="AG2" s="1581" t="s">
        <v>435</v>
      </c>
      <c r="AH2" s="1581"/>
      <c r="AJ2" s="1579" t="s">
        <v>436</v>
      </c>
      <c r="AK2" s="1580"/>
      <c r="AM2" s="1579" t="s">
        <v>437</v>
      </c>
      <c r="AN2" s="1582"/>
      <c r="AO2" s="1580"/>
      <c r="AQ2" s="885" t="s">
        <v>438</v>
      </c>
      <c r="AS2" s="1577" t="s">
        <v>439</v>
      </c>
      <c r="AT2" s="1578"/>
      <c r="AV2" s="1579" t="s">
        <v>440</v>
      </c>
      <c r="AW2" s="1580"/>
      <c r="AY2" s="1583" t="s">
        <v>441</v>
      </c>
      <c r="AZ2" s="1583"/>
      <c r="BB2" s="884" t="s">
        <v>170</v>
      </c>
      <c r="BD2" s="884" t="s">
        <v>442</v>
      </c>
      <c r="BF2" s="884" t="s">
        <v>443</v>
      </c>
      <c r="BH2" s="885" t="s">
        <v>444</v>
      </c>
      <c r="BJ2" s="885" t="s">
        <v>354</v>
      </c>
      <c r="BL2" s="887" t="s">
        <v>445</v>
      </c>
      <c r="BN2" s="887" t="s">
        <v>446</v>
      </c>
      <c r="BP2" s="1581" t="s">
        <v>447</v>
      </c>
      <c r="BQ2" s="1581"/>
      <c r="BR2" s="1581"/>
      <c r="BT2" s="1581" t="s">
        <v>448</v>
      </c>
      <c r="BU2" s="1581"/>
      <c r="BV2" s="1581"/>
      <c r="BW2" s="1581"/>
      <c r="BX2" s="1581"/>
      <c r="BY2" s="1581"/>
      <c r="CB2" s="911" t="s">
        <v>449</v>
      </c>
    </row>
    <row r="3" spans="2:80">
      <c r="B3" s="888" t="s">
        <v>450</v>
      </c>
      <c r="D3" s="889" t="s">
        <v>451</v>
      </c>
      <c r="F3" s="889"/>
      <c r="G3" s="889" t="s">
        <v>452</v>
      </c>
      <c r="H3" s="889" t="s">
        <v>453</v>
      </c>
      <c r="I3" s="889" t="s">
        <v>454</v>
      </c>
      <c r="K3" s="889"/>
      <c r="L3" s="889" t="s">
        <v>455</v>
      </c>
      <c r="M3" s="889" t="s">
        <v>456</v>
      </c>
      <c r="N3" s="889" t="s">
        <v>198</v>
      </c>
      <c r="P3" s="889">
        <v>1.9375</v>
      </c>
      <c r="R3" s="889" t="s">
        <v>457</v>
      </c>
      <c r="S3" s="889">
        <v>0.8</v>
      </c>
      <c r="U3" s="888">
        <v>12</v>
      </c>
      <c r="W3" s="889" t="s">
        <v>458</v>
      </c>
      <c r="Y3" s="889" t="s">
        <v>459</v>
      </c>
      <c r="Z3" s="889" t="s">
        <v>460</v>
      </c>
      <c r="AA3" s="889" t="s">
        <v>459</v>
      </c>
      <c r="AB3" s="889" t="s">
        <v>458</v>
      </c>
      <c r="AD3" s="889" t="s">
        <v>461</v>
      </c>
      <c r="AE3" s="889">
        <v>5</v>
      </c>
      <c r="AG3" s="888">
        <v>6</v>
      </c>
      <c r="AH3" s="888">
        <v>1.5</v>
      </c>
      <c r="AJ3" s="889">
        <v>5</v>
      </c>
      <c r="AK3" s="889">
        <v>1.25</v>
      </c>
      <c r="AM3" s="888">
        <v>1</v>
      </c>
      <c r="AN3" s="888">
        <v>0.5</v>
      </c>
      <c r="AO3" s="888">
        <v>1</v>
      </c>
      <c r="AQ3" s="889">
        <v>0</v>
      </c>
      <c r="AS3" s="1577" t="s">
        <v>462</v>
      </c>
      <c r="AT3" s="1578"/>
      <c r="AV3" s="889" t="s">
        <v>463</v>
      </c>
      <c r="AW3" s="889" t="s">
        <v>464</v>
      </c>
      <c r="AY3" s="889" t="s">
        <v>336</v>
      </c>
      <c r="AZ3" s="889" t="s">
        <v>465</v>
      </c>
      <c r="BB3" s="888">
        <v>1</v>
      </c>
      <c r="BD3" s="889" t="s">
        <v>466</v>
      </c>
      <c r="BF3" s="889" t="s">
        <v>467</v>
      </c>
      <c r="BH3" s="889" t="s">
        <v>468</v>
      </c>
      <c r="BJ3" s="890" t="s">
        <v>469</v>
      </c>
      <c r="BL3" s="890" t="s">
        <v>470</v>
      </c>
      <c r="BN3" s="890" t="s">
        <v>336</v>
      </c>
      <c r="BP3" s="889" t="s">
        <v>471</v>
      </c>
      <c r="BQ3" s="889" t="s">
        <v>472</v>
      </c>
      <c r="BR3" s="889"/>
      <c r="BT3" s="889" t="s">
        <v>473</v>
      </c>
      <c r="BU3" s="889" t="s">
        <v>227</v>
      </c>
      <c r="BV3" s="889" t="s">
        <v>474</v>
      </c>
      <c r="BW3" s="889" t="s">
        <v>475</v>
      </c>
      <c r="BX3" s="889" t="s">
        <v>476</v>
      </c>
      <c r="BY3" s="889" t="s">
        <v>477</v>
      </c>
      <c r="CB3" s="910">
        <v>48</v>
      </c>
    </row>
    <row r="4" spans="2:80">
      <c r="B4" s="888" t="s">
        <v>478</v>
      </c>
      <c r="D4" s="889" t="s">
        <v>479</v>
      </c>
      <c r="F4" s="889">
        <v>18</v>
      </c>
      <c r="G4" s="889">
        <v>3.5</v>
      </c>
      <c r="H4" s="889">
        <v>4</v>
      </c>
      <c r="I4" s="889">
        <v>4.5</v>
      </c>
      <c r="K4" s="891" t="s">
        <v>480</v>
      </c>
      <c r="L4" s="889">
        <v>70000</v>
      </c>
      <c r="M4" s="889">
        <v>30000</v>
      </c>
      <c r="N4" s="889">
        <v>29000000</v>
      </c>
      <c r="P4" s="889">
        <v>2.4375</v>
      </c>
      <c r="R4" s="889" t="s">
        <v>481</v>
      </c>
      <c r="S4" s="889" t="e">
        <f>Design!AM31^-0.19</f>
        <v>#DIV/0!</v>
      </c>
      <c r="U4" s="888">
        <v>14</v>
      </c>
      <c r="W4" s="889" t="s">
        <v>482</v>
      </c>
      <c r="Y4" s="889" t="s">
        <v>450</v>
      </c>
      <c r="Z4" s="889">
        <v>0.5</v>
      </c>
      <c r="AA4" s="889" t="s">
        <v>450</v>
      </c>
      <c r="AB4" s="889">
        <v>0.8</v>
      </c>
      <c r="AD4" s="889" t="s">
        <v>483</v>
      </c>
      <c r="AE4" s="889">
        <v>3</v>
      </c>
      <c r="AG4" s="888">
        <v>5</v>
      </c>
      <c r="AH4" s="888">
        <v>1.8</v>
      </c>
      <c r="AJ4" s="889">
        <v>6</v>
      </c>
      <c r="AK4" s="889">
        <v>1.5</v>
      </c>
      <c r="AM4" s="888">
        <v>1.5</v>
      </c>
      <c r="AN4" s="888">
        <v>0.7</v>
      </c>
      <c r="AO4" s="888">
        <v>1.5</v>
      </c>
      <c r="AQ4" s="889">
        <v>20</v>
      </c>
      <c r="AS4" s="1577" t="s">
        <v>484</v>
      </c>
      <c r="AT4" s="1578"/>
      <c r="AV4" s="889" t="s">
        <v>485</v>
      </c>
      <c r="AW4" s="889" t="s">
        <v>486</v>
      </c>
      <c r="AY4" s="889" t="s">
        <v>487</v>
      </c>
      <c r="AZ4" s="889" t="s">
        <v>488</v>
      </c>
      <c r="BB4" s="888">
        <v>1.5</v>
      </c>
      <c r="BD4" s="889" t="s">
        <v>489</v>
      </c>
      <c r="BF4" s="889" t="s">
        <v>490</v>
      </c>
      <c r="BH4" s="889" t="s">
        <v>491</v>
      </c>
      <c r="BJ4" s="890" t="s">
        <v>492</v>
      </c>
      <c r="BL4" s="890" t="s">
        <v>493</v>
      </c>
      <c r="BN4" s="890" t="s">
        <v>494</v>
      </c>
      <c r="BP4" s="889">
        <v>1.9375</v>
      </c>
      <c r="BQ4" s="889" t="s">
        <v>495</v>
      </c>
      <c r="BR4" s="889">
        <v>25900</v>
      </c>
      <c r="BT4" s="889">
        <v>18</v>
      </c>
      <c r="BU4" s="889" t="s">
        <v>496</v>
      </c>
      <c r="BV4" s="889" t="s">
        <v>497</v>
      </c>
      <c r="BW4" s="889" t="s">
        <v>498</v>
      </c>
      <c r="BX4" s="889" t="s">
        <v>499</v>
      </c>
      <c r="BY4" s="889" t="s">
        <v>500</v>
      </c>
      <c r="CB4" s="910">
        <v>42</v>
      </c>
    </row>
    <row r="5" spans="2:80" ht="30">
      <c r="F5" s="889">
        <v>24</v>
      </c>
      <c r="G5" s="889">
        <v>4.5</v>
      </c>
      <c r="H5" s="889">
        <v>5.5</v>
      </c>
      <c r="I5" s="889">
        <v>6</v>
      </c>
      <c r="K5" s="891" t="s">
        <v>501</v>
      </c>
      <c r="L5" s="889">
        <v>70000</v>
      </c>
      <c r="M5" s="889">
        <v>30000</v>
      </c>
      <c r="N5" s="889">
        <v>29000000</v>
      </c>
      <c r="P5" s="889">
        <v>2.9375</v>
      </c>
      <c r="R5" s="889" t="s">
        <v>502</v>
      </c>
      <c r="S5" s="889">
        <v>0.89700000000000002</v>
      </c>
      <c r="U5" s="888">
        <v>16</v>
      </c>
      <c r="Y5" s="889" t="s">
        <v>478</v>
      </c>
      <c r="Z5" s="889">
        <v>0.84</v>
      </c>
      <c r="AA5" s="889" t="s">
        <v>478</v>
      </c>
      <c r="AB5" s="889">
        <v>1.2</v>
      </c>
      <c r="AD5" s="889" t="s">
        <v>336</v>
      </c>
      <c r="AE5" s="889">
        <v>0</v>
      </c>
      <c r="AM5" s="888">
        <v>2</v>
      </c>
      <c r="AN5" s="888">
        <v>0.9</v>
      </c>
      <c r="AO5" s="888">
        <v>2</v>
      </c>
      <c r="AQ5" s="889">
        <v>35</v>
      </c>
      <c r="AS5" s="892" t="s">
        <v>503</v>
      </c>
      <c r="AT5" s="893" t="s">
        <v>504</v>
      </c>
      <c r="AV5" s="889" t="s">
        <v>505</v>
      </c>
      <c r="AW5" s="889" t="s">
        <v>506</v>
      </c>
      <c r="AY5" s="889" t="s">
        <v>507</v>
      </c>
      <c r="AZ5" s="889" t="s">
        <v>508</v>
      </c>
      <c r="BB5" s="888">
        <v>2</v>
      </c>
      <c r="BD5" s="889" t="s">
        <v>509</v>
      </c>
      <c r="BF5" s="889" t="s">
        <v>510</v>
      </c>
      <c r="BH5" s="889" t="s">
        <v>480</v>
      </c>
      <c r="BJ5" s="889" t="s">
        <v>511</v>
      </c>
      <c r="BL5" s="890" t="s">
        <v>512</v>
      </c>
      <c r="BN5" s="890" t="s">
        <v>513</v>
      </c>
      <c r="BP5" s="889">
        <v>2.4375</v>
      </c>
      <c r="BQ5" s="890" t="s">
        <v>514</v>
      </c>
      <c r="BR5" s="891">
        <v>38300</v>
      </c>
      <c r="BT5" s="889">
        <v>24</v>
      </c>
      <c r="BU5" s="889" t="s">
        <v>515</v>
      </c>
      <c r="BV5" s="889" t="s">
        <v>516</v>
      </c>
      <c r="BW5" s="889" t="s">
        <v>517</v>
      </c>
      <c r="BX5" s="889" t="s">
        <v>518</v>
      </c>
      <c r="BY5" s="889" t="s">
        <v>519</v>
      </c>
      <c r="CB5" s="910">
        <v>36</v>
      </c>
    </row>
    <row r="6" spans="2:80">
      <c r="F6" s="889">
        <v>30</v>
      </c>
      <c r="G6" s="889">
        <v>6</v>
      </c>
      <c r="H6" s="889">
        <v>7</v>
      </c>
      <c r="I6" s="889">
        <v>8</v>
      </c>
      <c r="K6" s="891">
        <v>1045</v>
      </c>
      <c r="L6" s="889">
        <v>82000</v>
      </c>
      <c r="M6" s="889">
        <v>45000</v>
      </c>
      <c r="N6" s="889">
        <v>29000000</v>
      </c>
      <c r="P6" s="889">
        <v>3.4375</v>
      </c>
      <c r="R6" s="889" t="s">
        <v>520</v>
      </c>
      <c r="S6" s="889">
        <v>1</v>
      </c>
      <c r="U6" s="888">
        <v>18</v>
      </c>
      <c r="AM6" s="888"/>
      <c r="AN6" s="888"/>
      <c r="AO6" s="888"/>
      <c r="AQ6" s="889">
        <v>45</v>
      </c>
      <c r="AS6" s="892">
        <v>18</v>
      </c>
      <c r="AT6" s="892">
        <v>3.71</v>
      </c>
      <c r="AV6" s="889" t="s">
        <v>521</v>
      </c>
      <c r="AW6" s="889" t="s">
        <v>522</v>
      </c>
      <c r="AY6" s="889" t="s">
        <v>523</v>
      </c>
      <c r="AZ6" s="889" t="s">
        <v>524</v>
      </c>
      <c r="BB6" s="888">
        <v>3</v>
      </c>
      <c r="BD6" s="889" t="s">
        <v>525</v>
      </c>
      <c r="BH6" s="889" t="s">
        <v>501</v>
      </c>
      <c r="BJ6" s="889" t="s">
        <v>526</v>
      </c>
      <c r="BP6" s="889">
        <v>2.9375</v>
      </c>
      <c r="BQ6" s="890" t="s">
        <v>527</v>
      </c>
      <c r="BR6" s="891">
        <v>51200</v>
      </c>
      <c r="BT6" s="889">
        <v>30</v>
      </c>
      <c r="BU6" s="889" t="s">
        <v>528</v>
      </c>
      <c r="BV6" s="889" t="s">
        <v>529</v>
      </c>
      <c r="BW6" s="889" t="s">
        <v>530</v>
      </c>
      <c r="BX6" s="889" t="s">
        <v>531</v>
      </c>
      <c r="BY6" s="889" t="s">
        <v>532</v>
      </c>
      <c r="CB6" s="910">
        <v>30</v>
      </c>
    </row>
    <row r="7" spans="2:80">
      <c r="B7" s="1579" t="s">
        <v>533</v>
      </c>
      <c r="C7" s="1580"/>
      <c r="F7" s="889">
        <v>36</v>
      </c>
      <c r="G7" s="889">
        <v>9</v>
      </c>
      <c r="H7" s="889">
        <v>10</v>
      </c>
      <c r="I7" s="889">
        <v>12</v>
      </c>
      <c r="K7" s="891" t="s">
        <v>534</v>
      </c>
      <c r="L7" s="889">
        <v>160000</v>
      </c>
      <c r="M7" s="889">
        <v>115000</v>
      </c>
      <c r="N7" s="889">
        <v>28500000</v>
      </c>
      <c r="R7" s="889" t="s">
        <v>535</v>
      </c>
      <c r="S7" s="889">
        <v>1</v>
      </c>
      <c r="AS7" s="892">
        <v>24</v>
      </c>
      <c r="AT7" s="892">
        <v>7.02</v>
      </c>
      <c r="AV7" s="889" t="s">
        <v>536</v>
      </c>
      <c r="AW7" s="889"/>
      <c r="AY7" s="889" t="s">
        <v>537</v>
      </c>
      <c r="AZ7" s="889"/>
      <c r="BB7" s="888">
        <v>5</v>
      </c>
      <c r="BP7" s="889">
        <v>3.4375</v>
      </c>
      <c r="BQ7" s="890" t="s">
        <v>538</v>
      </c>
      <c r="BR7" s="891">
        <v>62300</v>
      </c>
      <c r="BT7" s="889">
        <v>36</v>
      </c>
      <c r="BU7" s="889" t="s">
        <v>539</v>
      </c>
      <c r="BV7" s="889" t="s">
        <v>540</v>
      </c>
      <c r="BW7" s="889" t="s">
        <v>541</v>
      </c>
      <c r="BX7" s="889" t="s">
        <v>542</v>
      </c>
      <c r="BY7" s="889" t="s">
        <v>543</v>
      </c>
      <c r="CB7" s="910">
        <v>24</v>
      </c>
    </row>
    <row r="8" spans="2:80">
      <c r="B8" s="1040" t="s">
        <v>544</v>
      </c>
      <c r="C8" s="1041" t="s">
        <v>545</v>
      </c>
      <c r="F8" s="889">
        <v>42</v>
      </c>
      <c r="G8" s="889">
        <v>11</v>
      </c>
      <c r="H8" s="889">
        <v>12</v>
      </c>
      <c r="I8" s="889">
        <v>14</v>
      </c>
      <c r="K8" s="891">
        <v>1018</v>
      </c>
      <c r="L8" s="889">
        <v>58000</v>
      </c>
      <c r="M8" s="889">
        <v>32000</v>
      </c>
      <c r="N8" s="889">
        <v>29000000</v>
      </c>
      <c r="R8" s="889"/>
      <c r="S8" s="889"/>
      <c r="AS8" s="892">
        <v>30</v>
      </c>
      <c r="AT8" s="892">
        <v>11.38</v>
      </c>
      <c r="AV8" s="889" t="s">
        <v>546</v>
      </c>
      <c r="AW8" s="889"/>
      <c r="BB8" s="888">
        <v>7.5</v>
      </c>
      <c r="BT8" s="889">
        <v>42</v>
      </c>
      <c r="BU8" s="889" t="s">
        <v>547</v>
      </c>
      <c r="BV8" s="889" t="s">
        <v>548</v>
      </c>
      <c r="BW8" s="889" t="s">
        <v>549</v>
      </c>
      <c r="BX8" s="889" t="s">
        <v>550</v>
      </c>
      <c r="BY8" s="889" t="s">
        <v>551</v>
      </c>
      <c r="CB8" s="910">
        <v>18</v>
      </c>
    </row>
    <row r="9" spans="2:80">
      <c r="B9" s="1038">
        <v>0.25</v>
      </c>
      <c r="C9" s="1039">
        <v>14</v>
      </c>
      <c r="F9" s="889">
        <v>48</v>
      </c>
      <c r="G9" s="889">
        <v>14</v>
      </c>
      <c r="H9" s="889">
        <v>15</v>
      </c>
      <c r="I9" s="889">
        <v>17</v>
      </c>
      <c r="R9" s="889" t="s">
        <v>552</v>
      </c>
      <c r="S9" s="889">
        <v>0.5</v>
      </c>
      <c r="AS9" s="892">
        <v>36</v>
      </c>
      <c r="AT9" s="892">
        <v>16.78</v>
      </c>
      <c r="BB9" s="888">
        <v>10</v>
      </c>
      <c r="BT9" s="889">
        <v>48</v>
      </c>
      <c r="BU9" s="889" t="s">
        <v>553</v>
      </c>
      <c r="BV9" s="889" t="s">
        <v>554</v>
      </c>
      <c r="BW9" s="889" t="s">
        <v>555</v>
      </c>
      <c r="BX9" s="889" t="s">
        <v>556</v>
      </c>
      <c r="BY9" s="889" t="s">
        <v>557</v>
      </c>
      <c r="CB9" s="912">
        <v>12</v>
      </c>
    </row>
    <row r="10" spans="2:80">
      <c r="B10" s="1038">
        <v>0.375</v>
      </c>
      <c r="C10" s="1039">
        <v>38</v>
      </c>
      <c r="R10" s="889" t="s">
        <v>558</v>
      </c>
      <c r="S10" s="889" t="e">
        <f>0.5*Design!AJ61</f>
        <v>#N/A</v>
      </c>
      <c r="AS10" s="892">
        <v>42</v>
      </c>
      <c r="AT10" s="892">
        <v>23.23</v>
      </c>
      <c r="BB10" s="888">
        <v>12.3</v>
      </c>
    </row>
    <row r="11" spans="2:80">
      <c r="B11" s="1042">
        <v>0.5</v>
      </c>
      <c r="C11" s="1043">
        <v>12</v>
      </c>
      <c r="R11" s="889"/>
      <c r="S11" s="889"/>
      <c r="AS11" s="892">
        <v>48</v>
      </c>
      <c r="AT11" s="892">
        <v>30.72</v>
      </c>
      <c r="BB11" s="888">
        <v>15</v>
      </c>
    </row>
    <row r="12" spans="2:80">
      <c r="BB12" s="888">
        <v>20</v>
      </c>
    </row>
    <row r="13" spans="2:80">
      <c r="AS13" s="1577" t="s">
        <v>559</v>
      </c>
      <c r="AT13" s="1578"/>
      <c r="BB13" s="888">
        <v>25</v>
      </c>
    </row>
    <row r="14" spans="2:80">
      <c r="O14" s="1579" t="s">
        <v>560</v>
      </c>
      <c r="P14" s="1580"/>
      <c r="AS14" s="1577" t="s">
        <v>462</v>
      </c>
      <c r="AT14" s="1578"/>
      <c r="BB14" s="888">
        <v>30</v>
      </c>
    </row>
    <row r="15" spans="2:80">
      <c r="O15" s="889" t="s">
        <v>466</v>
      </c>
      <c r="P15" s="889">
        <v>0.95</v>
      </c>
      <c r="AS15" s="1577" t="s">
        <v>484</v>
      </c>
      <c r="AT15" s="1578"/>
    </row>
    <row r="16" spans="2:80" ht="30">
      <c r="L16" s="894"/>
      <c r="M16" s="894"/>
      <c r="N16" s="894"/>
      <c r="O16" s="890" t="s">
        <v>489</v>
      </c>
      <c r="P16" s="890">
        <v>0.88</v>
      </c>
      <c r="Q16" s="894"/>
      <c r="R16" s="894"/>
      <c r="S16" s="894"/>
      <c r="T16" s="894"/>
      <c r="U16" s="894"/>
      <c r="V16" s="894"/>
      <c r="AS16" s="892" t="s">
        <v>503</v>
      </c>
      <c r="AT16" s="893" t="s">
        <v>504</v>
      </c>
    </row>
    <row r="17" spans="6:46">
      <c r="K17" s="894"/>
      <c r="L17" s="894"/>
      <c r="M17" s="894"/>
      <c r="N17" s="894"/>
      <c r="O17" s="890" t="s">
        <v>509</v>
      </c>
      <c r="P17" s="890">
        <v>0.95</v>
      </c>
      <c r="Q17" s="894"/>
      <c r="R17" s="894"/>
      <c r="S17" s="894"/>
      <c r="T17" s="894"/>
      <c r="U17" s="894"/>
      <c r="V17" s="894"/>
      <c r="AS17" s="892">
        <v>18</v>
      </c>
      <c r="AT17" s="892">
        <v>8.86</v>
      </c>
    </row>
    <row r="18" spans="6:46">
      <c r="K18" s="894"/>
      <c r="L18" s="894"/>
      <c r="M18" s="894"/>
      <c r="N18" s="894"/>
      <c r="O18" s="890" t="s">
        <v>525</v>
      </c>
      <c r="P18" s="890">
        <v>0.93</v>
      </c>
      <c r="Q18" s="894"/>
      <c r="R18" s="894"/>
      <c r="S18" s="894"/>
      <c r="T18" s="894"/>
      <c r="U18" s="894"/>
      <c r="V18" s="894"/>
      <c r="AS18" s="892">
        <v>24</v>
      </c>
      <c r="AT18" s="892">
        <v>16.989999999999998</v>
      </c>
    </row>
    <row r="19" spans="6:46">
      <c r="K19" s="894"/>
      <c r="L19" s="894"/>
      <c r="M19" s="894"/>
      <c r="N19" s="894"/>
      <c r="O19" s="894"/>
      <c r="P19" s="894"/>
      <c r="Q19" s="894"/>
      <c r="R19" s="894"/>
      <c r="S19" s="894"/>
      <c r="T19" s="894"/>
      <c r="U19" s="894"/>
      <c r="V19" s="894"/>
      <c r="AS19" s="892">
        <v>30</v>
      </c>
      <c r="AT19" s="892">
        <v>27.73</v>
      </c>
    </row>
    <row r="20" spans="6:46">
      <c r="AS20" s="892">
        <v>36</v>
      </c>
      <c r="AT20" s="892">
        <v>41.07</v>
      </c>
    </row>
    <row r="21" spans="6:46">
      <c r="AS21" s="892">
        <v>42</v>
      </c>
      <c r="AT21" s="892">
        <v>57.03</v>
      </c>
    </row>
    <row r="22" spans="6:46">
      <c r="AS22" s="892">
        <v>48</v>
      </c>
      <c r="AT22" s="892">
        <v>75.599999999999994</v>
      </c>
    </row>
    <row r="24" spans="6:46">
      <c r="AS24" s="1577" t="s">
        <v>561</v>
      </c>
      <c r="AT24" s="1578"/>
    </row>
    <row r="25" spans="6:46">
      <c r="AS25" s="1577" t="s">
        <v>462</v>
      </c>
      <c r="AT25" s="1578"/>
    </row>
    <row r="26" spans="6:46">
      <c r="AS26" s="1577" t="s">
        <v>484</v>
      </c>
      <c r="AT26" s="1578"/>
    </row>
    <row r="27" spans="6:46" ht="30">
      <c r="AS27" s="892" t="s">
        <v>503</v>
      </c>
      <c r="AT27" s="893" t="s">
        <v>504</v>
      </c>
    </row>
    <row r="28" spans="6:46">
      <c r="AS28" s="892">
        <v>18</v>
      </c>
      <c r="AT28" s="892">
        <v>11.69</v>
      </c>
    </row>
    <row r="29" spans="6:46">
      <c r="F29" s="1581" t="s">
        <v>562</v>
      </c>
      <c r="G29" s="1581"/>
      <c r="H29" s="886"/>
      <c r="I29" s="1581" t="s">
        <v>563</v>
      </c>
      <c r="J29" s="1581"/>
      <c r="K29" s="886"/>
      <c r="L29" s="884" t="s">
        <v>564</v>
      </c>
      <c r="M29" s="886"/>
      <c r="N29" s="884" t="s">
        <v>565</v>
      </c>
      <c r="AS29" s="892">
        <v>24</v>
      </c>
      <c r="AT29" s="892">
        <v>22.41</v>
      </c>
    </row>
    <row r="30" spans="6:46">
      <c r="F30" s="888" t="s">
        <v>566</v>
      </c>
      <c r="G30" s="888" t="s">
        <v>567</v>
      </c>
      <c r="H30" s="886"/>
      <c r="I30" s="888" t="s">
        <v>566</v>
      </c>
      <c r="J30" s="888" t="s">
        <v>567</v>
      </c>
      <c r="K30" s="886"/>
      <c r="L30" s="888" t="s">
        <v>202</v>
      </c>
      <c r="M30" s="886"/>
      <c r="N30" s="888" t="s">
        <v>568</v>
      </c>
      <c r="AS30" s="892">
        <v>30</v>
      </c>
      <c r="AT30" s="892">
        <v>36.58</v>
      </c>
    </row>
    <row r="31" spans="6:46">
      <c r="F31" s="888">
        <v>18</v>
      </c>
      <c r="G31" s="888">
        <v>15</v>
      </c>
      <c r="H31" s="886"/>
      <c r="I31" s="888">
        <v>18</v>
      </c>
      <c r="J31" s="888">
        <f>((I31+10)/12)*(3/12)*62.4</f>
        <v>36.4</v>
      </c>
      <c r="K31" s="886"/>
      <c r="L31" s="888" t="s">
        <v>569</v>
      </c>
      <c r="M31" s="886"/>
      <c r="N31" s="888" t="s">
        <v>570</v>
      </c>
      <c r="AS31" s="892">
        <v>36</v>
      </c>
      <c r="AT31" s="892">
        <v>54.19</v>
      </c>
    </row>
    <row r="32" spans="6:46">
      <c r="F32" s="888">
        <v>24</v>
      </c>
      <c r="G32" s="888">
        <v>18</v>
      </c>
      <c r="H32" s="886"/>
      <c r="I32" s="888">
        <v>24</v>
      </c>
      <c r="J32" s="888">
        <f t="shared" ref="J32:J36" si="0">((I32+10)/12)*(3/12)*62.4</f>
        <v>44.2</v>
      </c>
      <c r="K32" s="886"/>
      <c r="L32" s="888" t="s">
        <v>571</v>
      </c>
      <c r="M32" s="886"/>
      <c r="N32" s="888" t="s">
        <v>275</v>
      </c>
      <c r="AS32" s="892">
        <v>42</v>
      </c>
      <c r="AT32" s="892">
        <v>75.239999999999995</v>
      </c>
    </row>
    <row r="33" spans="6:46">
      <c r="F33" s="888">
        <v>30</v>
      </c>
      <c r="G33" s="888">
        <v>21</v>
      </c>
      <c r="H33" s="886"/>
      <c r="I33" s="888">
        <v>30</v>
      </c>
      <c r="J33" s="888">
        <f t="shared" si="0"/>
        <v>52</v>
      </c>
      <c r="K33" s="886"/>
      <c r="L33" s="888" t="s">
        <v>572</v>
      </c>
      <c r="M33" s="886"/>
      <c r="N33" s="888" t="s">
        <v>216</v>
      </c>
      <c r="AS33" s="892">
        <v>48</v>
      </c>
      <c r="AT33" s="892">
        <v>99.74</v>
      </c>
    </row>
    <row r="34" spans="6:46">
      <c r="F34" s="888">
        <v>36</v>
      </c>
      <c r="G34" s="888">
        <v>23</v>
      </c>
      <c r="H34" s="886"/>
      <c r="I34" s="888">
        <v>36</v>
      </c>
      <c r="J34" s="888">
        <f t="shared" si="0"/>
        <v>59.800000000000004</v>
      </c>
      <c r="K34" s="886"/>
      <c r="L34" s="886"/>
      <c r="M34" s="886"/>
      <c r="N34" s="888" t="s">
        <v>198</v>
      </c>
    </row>
    <row r="35" spans="6:46">
      <c r="F35" s="888">
        <v>42</v>
      </c>
      <c r="G35" s="888">
        <v>26</v>
      </c>
      <c r="H35" s="886"/>
      <c r="I35" s="888">
        <v>42</v>
      </c>
      <c r="J35" s="888">
        <f t="shared" si="0"/>
        <v>67.599999999999994</v>
      </c>
      <c r="K35" s="886"/>
      <c r="L35" s="886"/>
      <c r="M35" s="886"/>
      <c r="N35" s="888" t="s">
        <v>235</v>
      </c>
      <c r="AS35" s="1577" t="s">
        <v>573</v>
      </c>
      <c r="AT35" s="1578"/>
    </row>
    <row r="36" spans="6:46">
      <c r="F36" s="888">
        <v>48</v>
      </c>
      <c r="G36" s="888">
        <v>28</v>
      </c>
      <c r="H36" s="886"/>
      <c r="I36" s="888">
        <v>48</v>
      </c>
      <c r="J36" s="888">
        <f t="shared" si="0"/>
        <v>75.399999999999991</v>
      </c>
      <c r="K36" s="886"/>
      <c r="L36" s="886"/>
      <c r="M36" s="886"/>
      <c r="N36" s="886"/>
      <c r="AS36" s="1577" t="s">
        <v>462</v>
      </c>
      <c r="AT36" s="1578"/>
    </row>
    <row r="37" spans="6:46">
      <c r="AS37" s="1577" t="s">
        <v>484</v>
      </c>
      <c r="AT37" s="1578"/>
    </row>
    <row r="38" spans="6:46" ht="30">
      <c r="AS38" s="892" t="s">
        <v>503</v>
      </c>
      <c r="AT38" s="893" t="s">
        <v>504</v>
      </c>
    </row>
    <row r="39" spans="6:46">
      <c r="AS39" s="892">
        <v>18</v>
      </c>
      <c r="AT39" s="892">
        <v>12.89</v>
      </c>
    </row>
    <row r="40" spans="6:46">
      <c r="AS40" s="892">
        <v>24</v>
      </c>
      <c r="AT40" s="892">
        <v>24.67</v>
      </c>
    </row>
    <row r="41" spans="6:46">
      <c r="AS41" s="892">
        <v>30</v>
      </c>
      <c r="AT41" s="892">
        <v>40.229999999999997</v>
      </c>
    </row>
    <row r="42" spans="6:46">
      <c r="AS42" s="892">
        <v>36</v>
      </c>
      <c r="AT42" s="892">
        <v>59.55</v>
      </c>
    </row>
    <row r="43" spans="6:46">
      <c r="AS43" s="892">
        <v>42</v>
      </c>
      <c r="AT43" s="892">
        <v>82.65</v>
      </c>
    </row>
    <row r="44" spans="6:46">
      <c r="AS44" s="892">
        <v>48</v>
      </c>
      <c r="AT44" s="892">
        <v>109.53</v>
      </c>
    </row>
  </sheetData>
  <mergeCells count="28">
    <mergeCell ref="F2:I2"/>
    <mergeCell ref="K2:N2"/>
    <mergeCell ref="BT2:BY2"/>
    <mergeCell ref="AS3:AT3"/>
    <mergeCell ref="AS4:AT4"/>
    <mergeCell ref="AJ2:AK2"/>
    <mergeCell ref="AM2:AO2"/>
    <mergeCell ref="AS2:AT2"/>
    <mergeCell ref="AV2:AW2"/>
    <mergeCell ref="AY2:AZ2"/>
    <mergeCell ref="BP2:BR2"/>
    <mergeCell ref="R2:S2"/>
    <mergeCell ref="Y2:AB2"/>
    <mergeCell ref="AD2:AE2"/>
    <mergeCell ref="AG2:AH2"/>
    <mergeCell ref="AS13:AT13"/>
    <mergeCell ref="AS14:AT14"/>
    <mergeCell ref="B7:C7"/>
    <mergeCell ref="AS36:AT36"/>
    <mergeCell ref="F29:G29"/>
    <mergeCell ref="I29:J29"/>
    <mergeCell ref="O14:P14"/>
    <mergeCell ref="AS37:AT37"/>
    <mergeCell ref="AS15:AT15"/>
    <mergeCell ref="AS24:AT24"/>
    <mergeCell ref="AS25:AT25"/>
    <mergeCell ref="AS26:AT26"/>
    <mergeCell ref="AS35:AT3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AE3C6-3C20-41CE-B50A-DF729645B8AA}">
  <sheetPr codeName="Sheet12">
    <tabColor theme="9" tint="0.39997558519241921"/>
    <pageSetUpPr fitToPage="1"/>
  </sheetPr>
  <dimension ref="A1:AG54"/>
  <sheetViews>
    <sheetView showGridLines="0" zoomScale="110" zoomScaleNormal="110" workbookViewId="0">
      <selection activeCell="H28" sqref="H28"/>
    </sheetView>
  </sheetViews>
  <sheetFormatPr defaultRowHeight="17.25" customHeight="1" outlineLevelRow="1"/>
  <cols>
    <col min="1" max="3" width="10.85546875" style="1" customWidth="1"/>
    <col min="4" max="4" width="12.140625" style="1" customWidth="1"/>
    <col min="5" max="16" width="10.85546875" style="1" customWidth="1"/>
    <col min="17" max="17" width="3.7109375" style="348" customWidth="1"/>
    <col min="18" max="18" width="25.42578125" style="599" bestFit="1" customWidth="1"/>
    <col min="19" max="19" width="7.140625" style="599" bestFit="1" customWidth="1"/>
    <col min="20" max="27" width="10.85546875" style="1" customWidth="1"/>
    <col min="28" max="28" width="9.140625" style="1"/>
    <col min="29" max="37" width="14.28515625" style="1" customWidth="1"/>
    <col min="38" max="16384" width="9.140625" style="1"/>
  </cols>
  <sheetData>
    <row r="1" spans="1:33" ht="17.25" customHeight="1">
      <c r="A1" s="1584" t="s">
        <v>574</v>
      </c>
      <c r="B1" s="1585"/>
      <c r="C1" s="1585"/>
      <c r="D1" s="1585"/>
      <c r="E1" s="1585"/>
      <c r="F1" s="1585"/>
      <c r="G1" s="1585"/>
      <c r="H1" s="1585"/>
      <c r="I1" s="1585"/>
      <c r="J1" s="1585"/>
      <c r="K1" s="1585"/>
      <c r="L1" s="1585"/>
      <c r="M1" s="1585"/>
      <c r="N1" s="1585"/>
      <c r="O1" s="1585"/>
      <c r="P1" s="1586"/>
      <c r="Q1" s="347"/>
      <c r="R1" s="598"/>
      <c r="S1" s="598"/>
      <c r="T1"/>
      <c r="U1"/>
      <c r="V1"/>
      <c r="W1"/>
      <c r="X1"/>
      <c r="Y1"/>
      <c r="Z1"/>
      <c r="AA1" s="21"/>
    </row>
    <row r="2" spans="1:33" ht="17.25" customHeight="1">
      <c r="A2" s="1589" t="s">
        <v>575</v>
      </c>
      <c r="B2" s="1590"/>
      <c r="C2" s="1590"/>
      <c r="D2" s="1590"/>
      <c r="E2" s="1590" t="s">
        <v>576</v>
      </c>
      <c r="F2" s="1590"/>
      <c r="G2" s="1590"/>
      <c r="H2" s="1590"/>
      <c r="I2" s="1590" t="s">
        <v>577</v>
      </c>
      <c r="J2" s="1590"/>
      <c r="K2" s="1590"/>
      <c r="L2" s="1590"/>
      <c r="M2" s="1590" t="s">
        <v>578</v>
      </c>
      <c r="N2" s="1590"/>
      <c r="O2" s="289" t="s">
        <v>579</v>
      </c>
      <c r="P2" s="293" t="s">
        <v>580</v>
      </c>
      <c r="Q2" s="347"/>
      <c r="T2" s="3" t="s">
        <v>581</v>
      </c>
      <c r="U2"/>
      <c r="V2"/>
      <c r="W2"/>
      <c r="X2"/>
      <c r="Y2"/>
      <c r="Z2"/>
      <c r="AA2" s="21"/>
      <c r="AC2" s="38"/>
      <c r="AD2" s="38"/>
      <c r="AE2" s="38"/>
      <c r="AF2" s="38"/>
      <c r="AG2" s="38"/>
    </row>
    <row r="3" spans="1:33" ht="17.25" customHeight="1">
      <c r="A3" s="1591" t="s">
        <v>582</v>
      </c>
      <c r="B3" s="1592"/>
      <c r="C3" s="1592"/>
      <c r="D3" s="901"/>
      <c r="E3" s="1593" t="s">
        <v>583</v>
      </c>
      <c r="F3" s="1593"/>
      <c r="G3" s="1593"/>
      <c r="H3" s="710"/>
      <c r="I3" s="1592" t="s">
        <v>584</v>
      </c>
      <c r="J3" s="1592"/>
      <c r="K3" s="1592"/>
      <c r="L3" s="901"/>
      <c r="M3" s="1588" t="s">
        <v>585</v>
      </c>
      <c r="N3" s="1588"/>
      <c r="O3" s="895" t="s">
        <v>586</v>
      </c>
      <c r="P3" s="896" t="s">
        <v>586</v>
      </c>
      <c r="Q3" s="347"/>
      <c r="R3" s="600"/>
      <c r="T3" s="295"/>
      <c r="U3" t="s">
        <v>587</v>
      </c>
      <c r="V3"/>
      <c r="W3"/>
      <c r="X3"/>
      <c r="Y3"/>
      <c r="Z3"/>
      <c r="AA3" s="43"/>
      <c r="AC3" s="38"/>
      <c r="AD3" s="42"/>
      <c r="AE3" s="38"/>
      <c r="AF3" s="38"/>
      <c r="AG3" s="38"/>
    </row>
    <row r="4" spans="1:33" ht="17.25" customHeight="1">
      <c r="A4" s="1594" t="s">
        <v>588</v>
      </c>
      <c r="B4" s="1593"/>
      <c r="C4" s="1593"/>
      <c r="D4" s="709"/>
      <c r="E4" s="1593" t="s">
        <v>589</v>
      </c>
      <c r="F4" s="1593"/>
      <c r="G4" s="1593"/>
      <c r="H4" s="710"/>
      <c r="I4" s="1593" t="s">
        <v>590</v>
      </c>
      <c r="J4" s="1593"/>
      <c r="K4" s="1593"/>
      <c r="L4" s="712"/>
      <c r="M4" s="1604" t="s">
        <v>591</v>
      </c>
      <c r="N4" s="1604"/>
      <c r="O4" s="303" t="s">
        <v>592</v>
      </c>
      <c r="P4" s="298" t="s">
        <v>592</v>
      </c>
      <c r="Q4" s="347"/>
      <c r="T4" s="297"/>
      <c r="U4" t="s">
        <v>593</v>
      </c>
      <c r="V4"/>
      <c r="W4"/>
      <c r="X4"/>
      <c r="Y4"/>
      <c r="Z4"/>
      <c r="AA4" s="44"/>
      <c r="AC4" s="38"/>
      <c r="AD4" s="42"/>
      <c r="AE4" s="38"/>
      <c r="AF4" s="38"/>
      <c r="AG4" s="38"/>
    </row>
    <row r="5" spans="1:33" ht="17.25" customHeight="1">
      <c r="A5" s="1594" t="s">
        <v>594</v>
      </c>
      <c r="B5" s="1593"/>
      <c r="C5" s="1593"/>
      <c r="D5" s="710"/>
      <c r="E5" s="1593" t="s">
        <v>595</v>
      </c>
      <c r="F5" s="1593"/>
      <c r="G5" s="1593"/>
      <c r="H5" s="710"/>
      <c r="I5" s="1593" t="s">
        <v>596</v>
      </c>
      <c r="J5" s="1593"/>
      <c r="K5" s="1593"/>
      <c r="L5" s="712"/>
      <c r="M5" s="1604" t="s">
        <v>597</v>
      </c>
      <c r="N5" s="1604"/>
      <c r="O5" s="54" t="s">
        <v>598</v>
      </c>
      <c r="P5" s="8" t="s">
        <v>598</v>
      </c>
      <c r="Q5" s="347"/>
      <c r="T5" s="296"/>
      <c r="U5" s="2" t="s">
        <v>599</v>
      </c>
      <c r="V5"/>
      <c r="W5"/>
      <c r="X5"/>
      <c r="Y5"/>
      <c r="Z5"/>
      <c r="AA5" s="45"/>
      <c r="AC5" s="38"/>
      <c r="AD5" s="42"/>
      <c r="AE5" s="38"/>
      <c r="AF5" s="38"/>
      <c r="AG5" s="38"/>
    </row>
    <row r="6" spans="1:33" ht="17.25" customHeight="1">
      <c r="A6" s="1594" t="s">
        <v>566</v>
      </c>
      <c r="B6" s="1593"/>
      <c r="C6" s="1593"/>
      <c r="D6" s="711"/>
      <c r="E6" s="1593" t="s">
        <v>600</v>
      </c>
      <c r="F6" s="1593"/>
      <c r="G6" s="1593"/>
      <c r="H6" s="710"/>
      <c r="I6" s="1593" t="s">
        <v>601</v>
      </c>
      <c r="J6" s="1593"/>
      <c r="K6" s="1593"/>
      <c r="L6" s="712"/>
      <c r="M6" s="1604" t="s">
        <v>602</v>
      </c>
      <c r="N6" s="1604"/>
      <c r="O6" s="899">
        <v>0.375</v>
      </c>
      <c r="P6" s="900">
        <v>0.375</v>
      </c>
      <c r="Q6" s="347"/>
      <c r="T6" s="302"/>
      <c r="U6" s="2" t="s">
        <v>603</v>
      </c>
      <c r="V6" s="304"/>
      <c r="W6" s="305"/>
      <c r="X6"/>
      <c r="Y6"/>
      <c r="Z6"/>
      <c r="AA6" s="46"/>
      <c r="AC6" s="38"/>
      <c r="AD6" s="42"/>
      <c r="AE6" s="38"/>
      <c r="AF6" s="38"/>
      <c r="AG6" s="38"/>
    </row>
    <row r="7" spans="1:33" ht="17.25" customHeight="1">
      <c r="A7" s="1594" t="s">
        <v>604</v>
      </c>
      <c r="B7" s="1593"/>
      <c r="C7" s="1593"/>
      <c r="D7" s="710"/>
      <c r="E7" s="5" t="e">
        <f>IF(Design!P53&gt;1,"ERROR!!  BELT OVERFLOW!!","")</f>
        <v>#N/A</v>
      </c>
      <c r="F7" s="7"/>
      <c r="G7" s="7"/>
      <c r="H7"/>
      <c r="I7" s="1593" t="s">
        <v>605</v>
      </c>
      <c r="J7" s="1593"/>
      <c r="K7" s="1593"/>
      <c r="L7" s="712"/>
      <c r="M7" s="1604" t="s">
        <v>606</v>
      </c>
      <c r="N7" s="1604"/>
      <c r="O7" s="714">
        <f>Design!AM31</f>
        <v>0</v>
      </c>
      <c r="P7" s="715">
        <f>Design!AM32</f>
        <v>0</v>
      </c>
      <c r="Q7" s="347"/>
      <c r="R7" s="598"/>
      <c r="S7" s="598"/>
      <c r="T7" s="2"/>
      <c r="U7"/>
      <c r="V7"/>
      <c r="W7"/>
      <c r="X7"/>
      <c r="Y7"/>
      <c r="Z7"/>
      <c r="AA7" s="46"/>
      <c r="AC7" s="38"/>
      <c r="AD7" s="42"/>
      <c r="AE7" s="38"/>
      <c r="AF7" s="38"/>
      <c r="AG7" s="38"/>
    </row>
    <row r="8" spans="1:33" ht="17.25" customHeight="1">
      <c r="A8" s="9"/>
      <c r="B8" s="10"/>
      <c r="C8" s="7" t="s">
        <v>607</v>
      </c>
      <c r="D8" s="908"/>
      <c r="E8" s="10" t="s">
        <v>608</v>
      </c>
      <c r="F8" s="909" t="e">
        <f ca="1">Design!AU59</f>
        <v>#DIV/0!</v>
      </c>
      <c r="G8" s="10"/>
      <c r="H8" s="11"/>
      <c r="I8" s="1593" t="s">
        <v>609</v>
      </c>
      <c r="J8" s="1593"/>
      <c r="K8" s="1593"/>
      <c r="L8" s="712"/>
      <c r="M8"/>
      <c r="N8"/>
      <c r="O8" s="10" t="s">
        <v>610</v>
      </c>
      <c r="P8" s="906"/>
      <c r="Q8" s="347"/>
      <c r="S8" s="598"/>
      <c r="T8" s="336" t="s">
        <v>26</v>
      </c>
      <c r="U8"/>
      <c r="V8"/>
      <c r="W8"/>
      <c r="X8"/>
      <c r="Y8"/>
      <c r="Z8"/>
      <c r="AA8" s="46"/>
      <c r="AC8" s="38"/>
      <c r="AD8" s="38"/>
      <c r="AE8" s="38"/>
      <c r="AF8" s="38"/>
      <c r="AG8" s="38"/>
    </row>
    <row r="9" spans="1:33" ht="17.25" customHeight="1">
      <c r="A9" s="39"/>
      <c r="B9" s="10"/>
      <c r="C9" s="7"/>
      <c r="D9" s="40"/>
      <c r="E9" s="7"/>
      <c r="F9" s="7"/>
      <c r="G9" s="7"/>
      <c r="H9" s="11"/>
      <c r="I9" s="7"/>
      <c r="J9" s="7"/>
      <c r="K9" s="7" t="s">
        <v>611</v>
      </c>
      <c r="L9" s="712"/>
      <c r="M9" s="1593" t="s">
        <v>612</v>
      </c>
      <c r="N9" s="1593"/>
      <c r="O9" s="1593"/>
      <c r="P9" s="897"/>
      <c r="Q9" s="347"/>
      <c r="S9" s="598"/>
      <c r="T9" s="2" t="s">
        <v>613</v>
      </c>
      <c r="U9"/>
      <c r="V9"/>
      <c r="W9"/>
      <c r="X9"/>
      <c r="Y9"/>
      <c r="Z9"/>
      <c r="AA9" s="47"/>
    </row>
    <row r="10" spans="1:33" ht="17.25" customHeight="1">
      <c r="A10" s="39"/>
      <c r="B10" s="10"/>
      <c r="C10" s="7"/>
      <c r="D10" s="40"/>
      <c r="E10" s="7"/>
      <c r="F10" s="7"/>
      <c r="G10" s="7"/>
      <c r="H10" s="11"/>
      <c r="I10" s="7"/>
      <c r="J10" s="7"/>
      <c r="K10" s="7" t="s">
        <v>614</v>
      </c>
      <c r="L10" s="712"/>
      <c r="M10" s="7"/>
      <c r="N10" s="7"/>
      <c r="O10" s="7" t="s">
        <v>615</v>
      </c>
      <c r="P10" s="907"/>
      <c r="Q10" s="347"/>
      <c r="S10" s="598"/>
      <c r="T10" t="s">
        <v>616</v>
      </c>
      <c r="U10"/>
      <c r="V10"/>
      <c r="W10"/>
      <c r="X10"/>
      <c r="Y10"/>
      <c r="Z10"/>
      <c r="AA10" s="43"/>
    </row>
    <row r="11" spans="1:33" ht="17.25" customHeight="1">
      <c r="A11" s="12"/>
      <c r="B11" s="13" t="s">
        <v>278</v>
      </c>
      <c r="C11" s="51" t="s">
        <v>279</v>
      </c>
      <c r="D11" s="15" t="s">
        <v>280</v>
      </c>
      <c r="E11" s="14" t="s">
        <v>288</v>
      </c>
      <c r="F11" s="14"/>
      <c r="G11" s="53" t="s">
        <v>289</v>
      </c>
      <c r="H11" s="16"/>
      <c r="I11" s="14"/>
      <c r="J11" s="14"/>
      <c r="K11" s="14"/>
      <c r="L11" s="41"/>
      <c r="M11" s="1602" t="s">
        <v>617</v>
      </c>
      <c r="N11" s="1602"/>
      <c r="O11" s="901"/>
      <c r="P11" s="907"/>
      <c r="Q11" s="347"/>
      <c r="R11" s="599" t="str">
        <f>O3&amp;O4&amp;S11&amp;O6&amp;O5</f>
        <v>12X20MES00.375HBL</v>
      </c>
      <c r="S11" s="598">
        <f>IF(O7=1.9375,2.4375,O7)</f>
        <v>0</v>
      </c>
      <c r="T11" t="s">
        <v>618</v>
      </c>
      <c r="U11"/>
      <c r="V11"/>
      <c r="W11"/>
      <c r="X11"/>
      <c r="Y11"/>
      <c r="Z11"/>
      <c r="AA11" s="43"/>
    </row>
    <row r="12" spans="1:33" ht="17.25" customHeight="1">
      <c r="A12" s="1584" t="s">
        <v>619</v>
      </c>
      <c r="B12" s="1585"/>
      <c r="C12" s="1585"/>
      <c r="D12" s="1585"/>
      <c r="E12" s="1585"/>
      <c r="F12" s="1585"/>
      <c r="G12" s="1585"/>
      <c r="H12" s="1585"/>
      <c r="I12" s="1585"/>
      <c r="J12" s="1585"/>
      <c r="K12" s="1585"/>
      <c r="L12" s="1585"/>
      <c r="M12" s="1585"/>
      <c r="N12" s="1585"/>
      <c r="O12" s="1585"/>
      <c r="P12" s="1586"/>
      <c r="Q12" s="347"/>
      <c r="R12" s="601" t="str">
        <f>P3&amp;P4&amp;S12&amp;P6&amp;P5</f>
        <v>12X20MES00.375HBL</v>
      </c>
      <c r="S12" s="598">
        <f>IF(P7=1.9375,2.4375,P7)</f>
        <v>0</v>
      </c>
      <c r="T12" t="s">
        <v>620</v>
      </c>
      <c r="U12"/>
      <c r="V12"/>
      <c r="W12"/>
      <c r="X12"/>
      <c r="Y12"/>
      <c r="Z12"/>
      <c r="AA12" s="21"/>
    </row>
    <row r="13" spans="1:33" ht="17.25" customHeight="1">
      <c r="A13" s="1589" t="s">
        <v>621</v>
      </c>
      <c r="B13" s="1590"/>
      <c r="C13" s="1590"/>
      <c r="D13" s="1590"/>
      <c r="E13" s="1590" t="s">
        <v>622</v>
      </c>
      <c r="F13" s="1590"/>
      <c r="G13" s="1590"/>
      <c r="H13" s="1590"/>
      <c r="I13" s="52" t="s">
        <v>623</v>
      </c>
      <c r="J13" s="289"/>
      <c r="K13" s="1590" t="s">
        <v>624</v>
      </c>
      <c r="L13" s="1590"/>
      <c r="M13" s="1590" t="s">
        <v>625</v>
      </c>
      <c r="N13" s="1590"/>
      <c r="O13" s="1590"/>
      <c r="P13" s="1603"/>
      <c r="Q13" s="347"/>
      <c r="R13" s="601"/>
      <c r="S13" s="601"/>
      <c r="T13"/>
      <c r="U13"/>
      <c r="V13"/>
      <c r="W13"/>
      <c r="X13"/>
      <c r="Y13"/>
      <c r="Z13"/>
      <c r="AA13" s="21"/>
    </row>
    <row r="14" spans="1:33" ht="17.25" customHeight="1">
      <c r="A14" s="1591" t="s">
        <v>626</v>
      </c>
      <c r="B14" s="1592"/>
      <c r="C14" s="1592"/>
      <c r="D14" s="713"/>
      <c r="E14" s="1592" t="s">
        <v>627</v>
      </c>
      <c r="F14" s="1592"/>
      <c r="G14" s="1592"/>
      <c r="H14" s="903"/>
      <c r="I14" s="713"/>
      <c r="J14" s="287"/>
      <c r="K14" s="288" t="s">
        <v>628</v>
      </c>
      <c r="L14" s="902"/>
      <c r="M14" s="1592" t="s">
        <v>629</v>
      </c>
      <c r="N14" s="1592"/>
      <c r="O14" s="1592"/>
      <c r="P14" s="905"/>
      <c r="Q14" s="347"/>
      <c r="R14" s="598"/>
      <c r="S14" s="601"/>
      <c r="T14"/>
      <c r="U14"/>
      <c r="V14"/>
      <c r="W14"/>
      <c r="X14"/>
      <c r="Y14"/>
      <c r="Z14"/>
      <c r="AA14" s="48"/>
    </row>
    <row r="15" spans="1:33" ht="17.25" customHeight="1">
      <c r="A15" s="1594" t="s">
        <v>630</v>
      </c>
      <c r="B15" s="1593"/>
      <c r="C15" s="1593"/>
      <c r="D15" s="710"/>
      <c r="E15" s="1593" t="s">
        <v>631</v>
      </c>
      <c r="F15" s="1593"/>
      <c r="G15" s="1593"/>
      <c r="H15" s="904"/>
      <c r="I15" s="1593" t="s">
        <v>632</v>
      </c>
      <c r="J15" s="1593"/>
      <c r="K15" s="1593"/>
      <c r="L15" s="712"/>
      <c r="M15" s="1593" t="s">
        <v>633</v>
      </c>
      <c r="N15" s="1593"/>
      <c r="O15" s="1593"/>
      <c r="P15" s="906"/>
      <c r="Q15" s="347"/>
      <c r="R15" s="598"/>
      <c r="S15" s="601"/>
      <c r="T15"/>
      <c r="U15"/>
      <c r="V15"/>
      <c r="W15"/>
      <c r="X15"/>
      <c r="Y15"/>
      <c r="Z15"/>
      <c r="AA15" s="46"/>
    </row>
    <row r="16" spans="1:33" ht="17.25" customHeight="1">
      <c r="A16" s="1594" t="s">
        <v>634</v>
      </c>
      <c r="B16" s="1593"/>
      <c r="C16" s="1593"/>
      <c r="D16" s="710"/>
      <c r="E16" s="1593" t="s">
        <v>635</v>
      </c>
      <c r="F16" s="1593"/>
      <c r="G16" s="1593"/>
      <c r="H16" s="710"/>
      <c r="I16" s="1593" t="s">
        <v>636</v>
      </c>
      <c r="J16" s="1593"/>
      <c r="K16" s="1593"/>
      <c r="L16" s="712"/>
      <c r="P16" s="27"/>
      <c r="Q16" s="347"/>
      <c r="R16" s="598"/>
      <c r="S16" s="601"/>
      <c r="T16"/>
      <c r="U16"/>
      <c r="V16"/>
      <c r="W16"/>
      <c r="X16"/>
      <c r="Y16"/>
      <c r="Z16"/>
      <c r="AA16" s="46"/>
    </row>
    <row r="17" spans="1:27" ht="17.25" customHeight="1">
      <c r="A17" s="1600" t="s">
        <v>637</v>
      </c>
      <c r="B17" s="1601"/>
      <c r="C17" s="1601"/>
      <c r="D17" s="710"/>
      <c r="E17" s="1593" t="s">
        <v>638</v>
      </c>
      <c r="F17" s="1593"/>
      <c r="G17" s="1593"/>
      <c r="H17" s="709"/>
      <c r="I17" s="1593" t="s">
        <v>639</v>
      </c>
      <c r="J17" s="1593"/>
      <c r="K17" s="1593"/>
      <c r="L17" s="712"/>
      <c r="M17" s="1593"/>
      <c r="N17" s="1593"/>
      <c r="O17" s="1593"/>
      <c r="P17" s="17"/>
      <c r="Q17" s="347"/>
      <c r="R17" s="598"/>
      <c r="S17" s="601"/>
      <c r="T17"/>
      <c r="U17"/>
      <c r="V17"/>
      <c r="W17"/>
      <c r="X17"/>
      <c r="Y17"/>
      <c r="Z17"/>
      <c r="AA17" s="46"/>
    </row>
    <row r="18" spans="1:27" ht="17.25" customHeight="1">
      <c r="A18" s="1594" t="s">
        <v>640</v>
      </c>
      <c r="B18" s="1593"/>
      <c r="C18" s="1593"/>
      <c r="D18" s="710"/>
      <c r="E18" s="7"/>
      <c r="F18" s="7"/>
      <c r="G18" s="7"/>
      <c r="H18" s="299"/>
      <c r="I18" s="1593" t="s">
        <v>641</v>
      </c>
      <c r="J18" s="1593"/>
      <c r="K18" s="1593"/>
      <c r="L18" s="712"/>
      <c r="M18" s="1593"/>
      <c r="N18" s="1593"/>
      <c r="O18" s="1593"/>
      <c r="P18" s="17"/>
      <c r="Q18" s="347"/>
      <c r="R18" s="598"/>
      <c r="S18" s="601"/>
      <c r="T18"/>
      <c r="U18"/>
      <c r="V18"/>
      <c r="W18"/>
      <c r="X18"/>
      <c r="Y18"/>
      <c r="Z18"/>
      <c r="AA18" s="46"/>
    </row>
    <row r="19" spans="1:27" ht="17.25" customHeight="1">
      <c r="A19" s="1595" t="s">
        <v>642</v>
      </c>
      <c r="B19" s="1596"/>
      <c r="C19" s="1596"/>
      <c r="D19" s="898"/>
      <c r="E19" s="1596"/>
      <c r="F19" s="1596"/>
      <c r="G19" s="1596"/>
      <c r="H19" s="18"/>
      <c r="I19" s="1596"/>
      <c r="J19" s="1596"/>
      <c r="K19" s="1596"/>
      <c r="L19" s="19"/>
      <c r="M19" s="1602"/>
      <c r="N19" s="1602"/>
      <c r="O19" s="1602"/>
      <c r="P19" s="20"/>
      <c r="Q19" s="347"/>
      <c r="R19" s="598"/>
      <c r="S19" s="601"/>
      <c r="T19"/>
      <c r="U19"/>
      <c r="V19"/>
      <c r="W19"/>
      <c r="X19"/>
      <c r="Y19"/>
      <c r="Z19"/>
      <c r="AA19" s="47"/>
    </row>
    <row r="20" spans="1:27" ht="17.25" customHeight="1">
      <c r="A20" s="1608" t="s">
        <v>643</v>
      </c>
      <c r="B20" s="1609"/>
      <c r="C20" s="1609"/>
      <c r="D20" s="1609"/>
      <c r="E20" s="1609"/>
      <c r="F20" s="1609"/>
      <c r="G20" s="1609"/>
      <c r="H20" s="1609"/>
      <c r="I20" s="1609"/>
      <c r="J20" s="1609"/>
      <c r="K20" s="1609"/>
      <c r="L20" s="1609"/>
      <c r="M20" s="1609"/>
      <c r="N20" s="1609"/>
      <c r="O20" s="1609"/>
      <c r="P20" s="1610"/>
      <c r="Q20" s="347"/>
      <c r="R20" s="598"/>
      <c r="S20" s="598"/>
      <c r="T20"/>
      <c r="U20"/>
      <c r="V20"/>
      <c r="W20"/>
      <c r="X20"/>
      <c r="Y20"/>
      <c r="Z20"/>
      <c r="AA20" s="21"/>
    </row>
    <row r="21" spans="1:27" ht="17.25" customHeight="1">
      <c r="A21" s="22" t="s">
        <v>644</v>
      </c>
      <c r="B21" s="23" t="s">
        <v>645</v>
      </c>
      <c r="C21" s="24"/>
      <c r="D21" s="23"/>
      <c r="E21" s="25" t="s">
        <v>646</v>
      </c>
      <c r="F21" s="26" t="s">
        <v>647</v>
      </c>
      <c r="G21" s="25" t="s">
        <v>648</v>
      </c>
      <c r="H21" s="25" t="s">
        <v>649</v>
      </c>
      <c r="P21" s="27"/>
      <c r="Q21" s="347"/>
      <c r="R21" s="598"/>
      <c r="S21" s="598"/>
      <c r="T21"/>
      <c r="U21"/>
      <c r="V21"/>
      <c r="W21"/>
      <c r="X21"/>
      <c r="Y21"/>
      <c r="Z21"/>
    </row>
    <row r="22" spans="1:27" ht="17.25" customHeight="1">
      <c r="A22" s="322">
        <v>1</v>
      </c>
      <c r="B22" s="1587" t="s">
        <v>650</v>
      </c>
      <c r="C22" s="1587"/>
      <c r="D22" s="1587"/>
      <c r="E22" s="317">
        <f>G22*H22</f>
        <v>24843</v>
      </c>
      <c r="F22" s="314" t="e">
        <f>E22/SUM(E$21:E$32)</f>
        <v>#N/A</v>
      </c>
      <c r="G22" s="311">
        <v>300</v>
      </c>
      <c r="H22" s="318">
        <v>82.81</v>
      </c>
      <c r="P22" s="27"/>
    </row>
    <row r="23" spans="1:27" ht="17.25" customHeight="1">
      <c r="A23" s="322">
        <v>2</v>
      </c>
      <c r="B23" s="1587" t="s">
        <v>651</v>
      </c>
      <c r="C23" s="1587"/>
      <c r="D23" s="1587"/>
      <c r="E23" s="317" t="e">
        <f>G23*H23</f>
        <v>#N/A</v>
      </c>
      <c r="F23" s="314" t="e">
        <f t="shared" ref="F23:F33" si="0">E23/SUM(E$21:E$32)</f>
        <v>#N/A</v>
      </c>
      <c r="G23" s="320" t="e">
        <f>'MATERIAL COST'!S14</f>
        <v>#N/A</v>
      </c>
      <c r="H23" s="318">
        <v>72.86</v>
      </c>
      <c r="P23" s="27"/>
    </row>
    <row r="24" spans="1:27" ht="17.25" customHeight="1">
      <c r="A24" s="322">
        <v>3</v>
      </c>
      <c r="B24" s="1587" t="s">
        <v>652</v>
      </c>
      <c r="C24" s="1587"/>
      <c r="D24" s="1587"/>
      <c r="E24" s="317">
        <f>G24*H24</f>
        <v>662.48</v>
      </c>
      <c r="F24" s="314" t="e">
        <f t="shared" si="0"/>
        <v>#N/A</v>
      </c>
      <c r="G24" s="319">
        <f>H28*H29*8</f>
        <v>8</v>
      </c>
      <c r="H24" s="318">
        <v>82.81</v>
      </c>
      <c r="P24" s="27"/>
    </row>
    <row r="25" spans="1:27" ht="17.25" customHeight="1">
      <c r="A25" s="322">
        <v>4</v>
      </c>
      <c r="B25" s="1587" t="s">
        <v>653</v>
      </c>
      <c r="C25" s="1587"/>
      <c r="D25" s="1587"/>
      <c r="E25" s="310">
        <v>0</v>
      </c>
      <c r="F25" s="314" t="e">
        <f>E25/SUM(E$21:E$32)</f>
        <v>#N/A</v>
      </c>
      <c r="G25" s="28"/>
      <c r="H25" s="29"/>
      <c r="P25" s="27"/>
    </row>
    <row r="26" spans="1:27" ht="17.25" customHeight="1">
      <c r="A26" s="322">
        <v>10</v>
      </c>
      <c r="B26" s="1587" t="s">
        <v>654</v>
      </c>
      <c r="C26" s="1587"/>
      <c r="D26" s="1587"/>
      <c r="E26" s="316" t="e">
        <f>'MATERIAL COST'!S10</f>
        <v>#VALUE!</v>
      </c>
      <c r="F26" s="314" t="e">
        <f t="shared" si="0"/>
        <v>#VALUE!</v>
      </c>
      <c r="G26" s="313" t="s">
        <v>655</v>
      </c>
      <c r="H26" s="318">
        <v>250</v>
      </c>
      <c r="P26" s="27"/>
    </row>
    <row r="27" spans="1:27" ht="17.25" customHeight="1">
      <c r="A27" s="322">
        <v>20</v>
      </c>
      <c r="B27" s="1587" t="s">
        <v>656</v>
      </c>
      <c r="C27" s="1587"/>
      <c r="D27" s="1587"/>
      <c r="E27" s="316">
        <f>'MATERIAL COST'!S12</f>
        <v>0</v>
      </c>
      <c r="F27" s="314" t="e">
        <f t="shared" si="0"/>
        <v>#N/A</v>
      </c>
      <c r="G27" s="313" t="s">
        <v>657</v>
      </c>
      <c r="H27" s="318">
        <v>800</v>
      </c>
      <c r="P27" s="27"/>
    </row>
    <row r="28" spans="1:27" ht="17.25" customHeight="1">
      <c r="A28" s="322">
        <v>30</v>
      </c>
      <c r="B28" s="1587" t="s">
        <v>658</v>
      </c>
      <c r="C28" s="1587"/>
      <c r="D28" s="1587"/>
      <c r="E28" s="33">
        <v>0</v>
      </c>
      <c r="F28" s="314" t="e">
        <f t="shared" si="0"/>
        <v>#N/A</v>
      </c>
      <c r="G28" s="321" t="s">
        <v>659</v>
      </c>
      <c r="H28" s="31">
        <v>1</v>
      </c>
      <c r="P28" s="27"/>
    </row>
    <row r="29" spans="1:27" ht="17.25" customHeight="1">
      <c r="A29" s="322">
        <v>40</v>
      </c>
      <c r="B29" s="1587" t="s">
        <v>660</v>
      </c>
      <c r="C29" s="1587"/>
      <c r="D29" s="1587"/>
      <c r="E29" s="316" t="e">
        <f>'MATERIAL COST'!S11</f>
        <v>#N/A</v>
      </c>
      <c r="F29" s="314" t="e">
        <f t="shared" si="0"/>
        <v>#N/A</v>
      </c>
      <c r="G29" s="313" t="s">
        <v>661</v>
      </c>
      <c r="H29" s="32">
        <v>1</v>
      </c>
      <c r="P29" s="27"/>
    </row>
    <row r="30" spans="1:27" ht="17.25" customHeight="1">
      <c r="A30" s="322">
        <v>50</v>
      </c>
      <c r="B30" s="1587" t="s">
        <v>662</v>
      </c>
      <c r="C30" s="1587"/>
      <c r="D30" s="1587"/>
      <c r="E30" s="33">
        <v>100000</v>
      </c>
      <c r="F30" s="314" t="e">
        <f t="shared" si="0"/>
        <v>#N/A</v>
      </c>
      <c r="G30" s="321" t="s">
        <v>663</v>
      </c>
      <c r="H30" s="31">
        <v>1</v>
      </c>
      <c r="P30" s="27"/>
    </row>
    <row r="31" spans="1:27" ht="17.25" customHeight="1">
      <c r="A31" s="322">
        <v>160</v>
      </c>
      <c r="B31" s="1587" t="s">
        <v>664</v>
      </c>
      <c r="C31" s="1587"/>
      <c r="D31" s="1587"/>
      <c r="E31" s="316">
        <f>H30*H31</f>
        <v>1500</v>
      </c>
      <c r="F31" s="314" t="e">
        <f t="shared" si="0"/>
        <v>#N/A</v>
      </c>
      <c r="G31" s="313" t="s">
        <v>665</v>
      </c>
      <c r="H31" s="33">
        <v>1500</v>
      </c>
      <c r="I31" s="326"/>
      <c r="J31" s="327" t="s">
        <v>666</v>
      </c>
      <c r="K31" s="1597" t="s">
        <v>667</v>
      </c>
      <c r="L31" s="1598"/>
      <c r="M31" s="1599" t="s">
        <v>668</v>
      </c>
      <c r="N31" s="1597"/>
      <c r="O31" s="327" t="s">
        <v>669</v>
      </c>
      <c r="P31" s="328" t="s">
        <v>670</v>
      </c>
      <c r="Q31" s="349" t="s">
        <v>671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ht="17.25" customHeight="1">
      <c r="A32" s="322">
        <v>170</v>
      </c>
      <c r="B32" s="1587" t="s">
        <v>672</v>
      </c>
      <c r="C32" s="1587"/>
      <c r="D32" s="1587"/>
      <c r="E32" s="316">
        <f>(H28*Field_Service_Travel_Exp)+(Field_Service_Daily_Exp*H28*H29)+H32</f>
        <v>5550</v>
      </c>
      <c r="F32" s="314" t="e">
        <f t="shared" si="0"/>
        <v>#N/A</v>
      </c>
      <c r="G32" s="321" t="s">
        <v>673</v>
      </c>
      <c r="H32" s="34">
        <v>4500</v>
      </c>
      <c r="I32" s="329" t="s">
        <v>674</v>
      </c>
      <c r="J32" s="330" t="e" cm="1">
        <f t="array" ref="J32">SalePrice(O32,M32,L32)</f>
        <v>#VALUE!</v>
      </c>
      <c r="K32" s="330" t="e" cm="1">
        <f t="array" ref="K32">(O32/(1-bisection(M32,O32,L32)))*L32</f>
        <v>#N/A</v>
      </c>
      <c r="L32" s="339">
        <f>E34</f>
        <v>0.08</v>
      </c>
      <c r="M32" s="337">
        <v>0.36</v>
      </c>
      <c r="N32" s="330" t="e">
        <f>J32*M32</f>
        <v>#VALUE!</v>
      </c>
      <c r="O32" s="330" t="e">
        <f>SUM(E22:E33)</f>
        <v>#N/A</v>
      </c>
      <c r="P32" s="331">
        <f>M32-0.18</f>
        <v>0.18</v>
      </c>
      <c r="Q32" s="350" t="e" cm="1">
        <f t="array" ref="Q32">bisection(M32,O32,L32)</f>
        <v>#VALUE!</v>
      </c>
      <c r="R32" s="602"/>
      <c r="S32" s="602"/>
      <c r="T32" s="50"/>
      <c r="U32" s="50"/>
      <c r="V32" s="50"/>
      <c r="W32" s="50"/>
      <c r="X32" s="50"/>
      <c r="Y32" s="50"/>
      <c r="Z32" s="50"/>
      <c r="AA32" s="50"/>
    </row>
    <row r="33" spans="1:27" ht="17.25" customHeight="1">
      <c r="A33" s="322">
        <v>230</v>
      </c>
      <c r="B33" s="1587" t="s">
        <v>675</v>
      </c>
      <c r="C33" s="1587"/>
      <c r="D33" s="323"/>
      <c r="E33" s="316">
        <f>O54</f>
        <v>0</v>
      </c>
      <c r="F33" s="314" t="e">
        <f t="shared" si="0"/>
        <v>#N/A</v>
      </c>
      <c r="G33" s="1092"/>
      <c r="H33" s="30"/>
      <c r="I33" s="329" t="s">
        <v>676</v>
      </c>
      <c r="J33" s="330" t="e" cm="1">
        <f t="array" ref="J33">SalePrice(O33,M33,L33)</f>
        <v>#VALUE!</v>
      </c>
      <c r="K33" s="330" t="e" cm="1">
        <f t="array" ref="K33">(O33/(1-bisection(M33,O33,L33)))*L33</f>
        <v>#N/A</v>
      </c>
      <c r="L33" s="339">
        <f>F34</f>
        <v>0.06</v>
      </c>
      <c r="M33" s="337">
        <v>0.33</v>
      </c>
      <c r="N33" s="330" t="e">
        <f>J33*M33</f>
        <v>#VALUE!</v>
      </c>
      <c r="O33" s="330" t="e">
        <f>O32</f>
        <v>#N/A</v>
      </c>
      <c r="P33" s="331">
        <f>M33-0.18</f>
        <v>0.15000000000000002</v>
      </c>
      <c r="Q33" s="350" t="e" cm="1">
        <f t="array" ref="Q33">bisection(M33,O33,L33)</f>
        <v>#VALUE!</v>
      </c>
      <c r="R33" s="602"/>
      <c r="S33" s="602"/>
      <c r="T33" s="50"/>
      <c r="U33" s="50"/>
      <c r="V33" s="50"/>
      <c r="W33" s="50"/>
      <c r="X33" s="50"/>
      <c r="Y33" s="50"/>
      <c r="Z33" s="50"/>
      <c r="AA33" s="50"/>
    </row>
    <row r="34" spans="1:27" ht="17.25" customHeight="1">
      <c r="A34" s="324">
        <v>180</v>
      </c>
      <c r="B34" s="325" t="s">
        <v>677</v>
      </c>
      <c r="C34" s="299"/>
      <c r="D34" s="299"/>
      <c r="E34" s="315">
        <v>0.08</v>
      </c>
      <c r="F34" s="315">
        <v>0.06</v>
      </c>
      <c r="G34" s="315">
        <v>0.04</v>
      </c>
      <c r="H34" s="315">
        <v>0.02</v>
      </c>
      <c r="I34" s="329" t="s">
        <v>678</v>
      </c>
      <c r="J34" s="330" t="e" cm="1">
        <f t="array" ref="J34">SalePrice(O34,M34,L34)</f>
        <v>#VALUE!</v>
      </c>
      <c r="K34" s="330" t="e" cm="1">
        <f t="array" ref="K34">(O34/(1-bisection(M34,O34,L34)))*L34</f>
        <v>#N/A</v>
      </c>
      <c r="L34" s="339">
        <f>G34</f>
        <v>0.04</v>
      </c>
      <c r="M34" s="337">
        <v>0.25</v>
      </c>
      <c r="N34" s="330" t="e">
        <f>J34*M34</f>
        <v>#VALUE!</v>
      </c>
      <c r="O34" s="330" t="e">
        <f>O32</f>
        <v>#N/A</v>
      </c>
      <c r="P34" s="331">
        <f>M34-0.18</f>
        <v>7.0000000000000007E-2</v>
      </c>
      <c r="Q34" s="350" t="e" cm="1">
        <f t="array" ref="Q34">bisection(M34,O34,L34)</f>
        <v>#VALUE!</v>
      </c>
      <c r="R34" s="602"/>
      <c r="S34" s="602"/>
      <c r="T34" s="50"/>
      <c r="U34" s="50"/>
      <c r="V34" s="50"/>
      <c r="W34" s="50"/>
      <c r="X34" s="50"/>
      <c r="Y34" s="50"/>
      <c r="Z34" s="50"/>
      <c r="AA34" s="50"/>
    </row>
    <row r="35" spans="1:27" ht="17.25" customHeight="1">
      <c r="A35" s="35"/>
      <c r="B35" s="36"/>
      <c r="C35" s="36"/>
      <c r="D35" s="36"/>
      <c r="E35" s="37"/>
      <c r="F35" s="37"/>
      <c r="G35" s="37"/>
      <c r="H35" s="37"/>
      <c r="I35" s="332" t="s">
        <v>679</v>
      </c>
      <c r="J35" s="333" t="e" cm="1">
        <f t="array" ref="J35">SalePrice(O35,M35,L35)</f>
        <v>#VALUE!</v>
      </c>
      <c r="K35" s="333" t="e" cm="1">
        <f t="array" ref="K35">(O35/(1-bisection(M35,O35,L35)))*L35</f>
        <v>#N/A</v>
      </c>
      <c r="L35" s="340">
        <f>H34</f>
        <v>0.02</v>
      </c>
      <c r="M35" s="338">
        <v>0.28000000000000003</v>
      </c>
      <c r="N35" s="333" t="e">
        <f>J35*M35</f>
        <v>#VALUE!</v>
      </c>
      <c r="O35" s="333" t="e">
        <f>O32</f>
        <v>#N/A</v>
      </c>
      <c r="P35" s="334">
        <f>M35-0.18</f>
        <v>0.10000000000000003</v>
      </c>
      <c r="Q35" s="350" t="e" cm="1">
        <f t="array" ref="Q35">bisection(M35,O35,L35)</f>
        <v>#VALUE!</v>
      </c>
      <c r="R35" s="602"/>
      <c r="S35" s="602"/>
      <c r="T35" s="50"/>
      <c r="U35" s="50"/>
      <c r="V35" s="50"/>
      <c r="W35" s="50"/>
      <c r="X35" s="50"/>
      <c r="Y35" s="50"/>
      <c r="Z35" s="50"/>
      <c r="AA35" s="50"/>
    </row>
    <row r="36" spans="1:27" ht="17.25" customHeight="1">
      <c r="A36" s="1605" t="s">
        <v>680</v>
      </c>
      <c r="B36" s="1606"/>
      <c r="C36" s="1606"/>
      <c r="D36" s="1606"/>
      <c r="E36" s="1606"/>
      <c r="F36" s="1606"/>
      <c r="G36" s="1606"/>
      <c r="H36" s="1606"/>
      <c r="I36" s="1606"/>
      <c r="J36" s="1606"/>
      <c r="K36" s="1606"/>
      <c r="L36" s="1606"/>
      <c r="M36" s="1606"/>
      <c r="N36" s="1606"/>
      <c r="O36" s="1606"/>
      <c r="P36" s="1607"/>
      <c r="Q36" s="347"/>
      <c r="R36" s="598"/>
      <c r="S36" s="598"/>
      <c r="T36"/>
      <c r="U36"/>
      <c r="V36"/>
      <c r="W36"/>
      <c r="X36"/>
      <c r="Y36"/>
      <c r="Z36"/>
      <c r="AA36" s="21"/>
    </row>
    <row r="37" spans="1:27" ht="17.25" customHeight="1" outlineLevel="1">
      <c r="A37" s="308" t="s">
        <v>681</v>
      </c>
      <c r="B37" s="1614" t="s">
        <v>419</v>
      </c>
      <c r="C37" s="1614"/>
      <c r="D37" s="1614"/>
      <c r="E37" s="1614"/>
      <c r="F37" s="1614"/>
      <c r="G37" s="1614"/>
      <c r="H37" s="309" t="s">
        <v>682</v>
      </c>
      <c r="I37" s="1614" t="s">
        <v>472</v>
      </c>
      <c r="J37" s="1614"/>
      <c r="K37" s="309" t="s">
        <v>683</v>
      </c>
      <c r="L37" s="309" t="s">
        <v>684</v>
      </c>
      <c r="M37" s="1614" t="s">
        <v>685</v>
      </c>
      <c r="N37" s="1614"/>
      <c r="O37" s="1614" t="s">
        <v>686</v>
      </c>
      <c r="P37" s="1623"/>
      <c r="Q37" s="347"/>
      <c r="R37" s="598"/>
      <c r="S37" s="598"/>
      <c r="T37"/>
      <c r="U37"/>
      <c r="V37"/>
      <c r="W37"/>
      <c r="X37"/>
      <c r="Y37"/>
      <c r="Z37"/>
      <c r="AA37" s="21"/>
    </row>
    <row r="38" spans="1:27" ht="17.25" customHeight="1" outlineLevel="1">
      <c r="A38" s="307">
        <v>100</v>
      </c>
      <c r="B38" s="1619" t="s">
        <v>687</v>
      </c>
      <c r="C38" s="1620"/>
      <c r="D38" s="1620"/>
      <c r="E38" s="1620"/>
      <c r="F38" s="1620"/>
      <c r="G38" s="1621"/>
      <c r="H38" s="341"/>
      <c r="I38" s="1615"/>
      <c r="J38" s="1616"/>
      <c r="K38" s="341"/>
      <c r="L38" s="341"/>
      <c r="M38" s="1622">
        <v>0</v>
      </c>
      <c r="N38" s="1622"/>
      <c r="O38" s="1622">
        <f>A38*M38</f>
        <v>0</v>
      </c>
      <c r="P38" s="1622"/>
      <c r="Q38" s="347"/>
      <c r="R38" s="598"/>
      <c r="S38" s="598"/>
      <c r="T38"/>
      <c r="U38"/>
      <c r="V38"/>
      <c r="W38"/>
      <c r="X38"/>
      <c r="Y38"/>
      <c r="Z38"/>
      <c r="AA38" s="21"/>
    </row>
    <row r="39" spans="1:27" ht="17.25" customHeight="1" outlineLevel="1">
      <c r="A39" s="306">
        <v>1</v>
      </c>
      <c r="B39" s="1611" t="s">
        <v>688</v>
      </c>
      <c r="C39" s="1612"/>
      <c r="D39" s="1612"/>
      <c r="E39" s="1612"/>
      <c r="F39" s="1612"/>
      <c r="G39" s="1613"/>
      <c r="H39" s="342"/>
      <c r="I39" s="1617"/>
      <c r="J39" s="1618"/>
      <c r="K39" s="342"/>
      <c r="L39" s="342"/>
      <c r="M39" s="1622">
        <v>0</v>
      </c>
      <c r="N39" s="1622"/>
      <c r="O39" s="1624">
        <f t="shared" ref="O39:O45" si="1">A39*M39</f>
        <v>0</v>
      </c>
      <c r="P39" s="1624"/>
      <c r="Q39" s="347"/>
      <c r="R39" s="598"/>
      <c r="S39" s="598"/>
      <c r="T39"/>
      <c r="U39"/>
      <c r="V39"/>
      <c r="W39"/>
      <c r="X39"/>
      <c r="Y39"/>
      <c r="Z39"/>
      <c r="AA39" s="21"/>
    </row>
    <row r="40" spans="1:27" ht="17.25" customHeight="1" outlineLevel="1">
      <c r="A40" s="306">
        <v>1</v>
      </c>
      <c r="B40" s="1611"/>
      <c r="C40" s="1612"/>
      <c r="D40" s="1612"/>
      <c r="E40" s="1612"/>
      <c r="F40" s="1612"/>
      <c r="G40" s="1613"/>
      <c r="H40" s="342"/>
      <c r="I40" s="1617"/>
      <c r="J40" s="1618"/>
      <c r="K40" s="342"/>
      <c r="L40" s="342"/>
      <c r="M40" s="1622">
        <v>0</v>
      </c>
      <c r="N40" s="1622"/>
      <c r="O40" s="1624">
        <f t="shared" si="1"/>
        <v>0</v>
      </c>
      <c r="P40" s="1624"/>
      <c r="Q40" s="347"/>
      <c r="R40" s="598"/>
      <c r="S40" s="598"/>
      <c r="T40"/>
      <c r="U40"/>
      <c r="V40"/>
      <c r="W40"/>
      <c r="X40"/>
      <c r="Y40"/>
      <c r="Z40"/>
      <c r="AA40" s="21"/>
    </row>
    <row r="41" spans="1:27" ht="17.25" customHeight="1" outlineLevel="1">
      <c r="A41" s="306">
        <v>1</v>
      </c>
      <c r="B41" s="1611"/>
      <c r="C41" s="1612"/>
      <c r="D41" s="1612"/>
      <c r="E41" s="1612"/>
      <c r="F41" s="1612"/>
      <c r="G41" s="1613"/>
      <c r="H41" s="342"/>
      <c r="I41" s="1617"/>
      <c r="J41" s="1618"/>
      <c r="K41" s="342"/>
      <c r="L41" s="342"/>
      <c r="M41" s="1622">
        <v>0</v>
      </c>
      <c r="N41" s="1622"/>
      <c r="O41" s="1624">
        <f t="shared" si="1"/>
        <v>0</v>
      </c>
      <c r="P41" s="1624"/>
      <c r="Q41" s="347"/>
      <c r="R41" s="598"/>
      <c r="S41" s="598"/>
      <c r="T41"/>
      <c r="U41"/>
      <c r="V41"/>
      <c r="W41"/>
      <c r="X41"/>
      <c r="Y41"/>
      <c r="Z41"/>
      <c r="AA41" s="21"/>
    </row>
    <row r="42" spans="1:27" ht="17.25" customHeight="1" outlineLevel="1">
      <c r="A42" s="306">
        <v>1</v>
      </c>
      <c r="B42" s="1611"/>
      <c r="C42" s="1612"/>
      <c r="D42" s="1612"/>
      <c r="E42" s="1612"/>
      <c r="F42" s="1612"/>
      <c r="G42" s="1613"/>
      <c r="H42" s="342"/>
      <c r="I42" s="1617"/>
      <c r="J42" s="1618"/>
      <c r="K42" s="342"/>
      <c r="L42" s="342"/>
      <c r="M42" s="1622">
        <v>0</v>
      </c>
      <c r="N42" s="1622"/>
      <c r="O42" s="1624">
        <f t="shared" si="1"/>
        <v>0</v>
      </c>
      <c r="P42" s="1624"/>
      <c r="Q42" s="347"/>
      <c r="R42" s="598"/>
      <c r="S42" s="598"/>
      <c r="T42"/>
      <c r="U42"/>
      <c r="V42"/>
      <c r="W42"/>
      <c r="X42"/>
      <c r="Y42"/>
      <c r="Z42"/>
      <c r="AA42" s="21"/>
    </row>
    <row r="43" spans="1:27" ht="17.25" customHeight="1" outlineLevel="1">
      <c r="A43" s="306">
        <v>1</v>
      </c>
      <c r="B43" s="1611"/>
      <c r="C43" s="1612"/>
      <c r="D43" s="1612"/>
      <c r="E43" s="1612"/>
      <c r="F43" s="1612"/>
      <c r="G43" s="1613"/>
      <c r="H43" s="342"/>
      <c r="I43" s="1617"/>
      <c r="J43" s="1618"/>
      <c r="K43" s="342"/>
      <c r="L43" s="342"/>
      <c r="M43" s="1622">
        <v>0</v>
      </c>
      <c r="N43" s="1622"/>
      <c r="O43" s="1624">
        <f t="shared" si="1"/>
        <v>0</v>
      </c>
      <c r="P43" s="1624"/>
    </row>
    <row r="44" spans="1:27" ht="17.25" customHeight="1" outlineLevel="1">
      <c r="A44" s="306">
        <v>1</v>
      </c>
      <c r="B44" s="1611"/>
      <c r="C44" s="1612"/>
      <c r="D44" s="1612"/>
      <c r="E44" s="1612"/>
      <c r="F44" s="1612"/>
      <c r="G44" s="1613"/>
      <c r="H44" s="342"/>
      <c r="I44" s="1617"/>
      <c r="J44" s="1618"/>
      <c r="K44" s="342"/>
      <c r="L44" s="342"/>
      <c r="M44" s="1622">
        <v>0</v>
      </c>
      <c r="N44" s="1622"/>
      <c r="O44" s="1624">
        <f t="shared" si="1"/>
        <v>0</v>
      </c>
      <c r="P44" s="1624"/>
    </row>
    <row r="45" spans="1:27" ht="17.25" customHeight="1" outlineLevel="1">
      <c r="A45" s="306"/>
      <c r="B45" s="1611"/>
      <c r="C45" s="1612"/>
      <c r="D45" s="1612"/>
      <c r="E45" s="1612"/>
      <c r="F45" s="1612"/>
      <c r="G45" s="1613"/>
      <c r="H45" s="342"/>
      <c r="I45" s="1617"/>
      <c r="J45" s="1618"/>
      <c r="K45" s="342"/>
      <c r="L45" s="342"/>
      <c r="M45" s="1622">
        <v>0</v>
      </c>
      <c r="N45" s="1622"/>
      <c r="O45" s="1624">
        <f t="shared" si="1"/>
        <v>0</v>
      </c>
      <c r="P45" s="1624"/>
    </row>
    <row r="46" spans="1:27" ht="17.25" customHeight="1">
      <c r="A46" s="1584" t="s">
        <v>689</v>
      </c>
      <c r="B46" s="1585"/>
      <c r="C46" s="1585"/>
      <c r="D46" s="1585"/>
      <c r="E46" s="1585"/>
      <c r="F46" s="1585"/>
      <c r="G46" s="1585"/>
      <c r="H46" s="1585"/>
      <c r="I46" s="1585"/>
      <c r="J46" s="1585"/>
      <c r="K46" s="1585"/>
      <c r="L46" s="1585"/>
      <c r="M46" s="1585"/>
      <c r="N46" s="1585"/>
      <c r="O46" s="1585"/>
      <c r="P46" s="1586"/>
    </row>
    <row r="47" spans="1:27" ht="17.25" customHeight="1" outlineLevel="1">
      <c r="A47" s="312" t="s">
        <v>690</v>
      </c>
      <c r="B47" s="1625" t="s">
        <v>691</v>
      </c>
      <c r="C47" s="1625"/>
      <c r="D47" s="1625" t="s">
        <v>564</v>
      </c>
      <c r="E47" s="1625"/>
      <c r="F47" s="1625" t="s">
        <v>692</v>
      </c>
      <c r="G47" s="1625"/>
      <c r="H47" s="1625"/>
      <c r="I47" s="1625"/>
      <c r="J47" s="1625"/>
      <c r="K47" s="1625" t="s">
        <v>693</v>
      </c>
      <c r="L47" s="1625"/>
      <c r="M47" s="1625" t="s">
        <v>694</v>
      </c>
      <c r="N47" s="1625"/>
      <c r="O47" s="1625" t="s">
        <v>695</v>
      </c>
      <c r="P47" s="1626"/>
    </row>
    <row r="48" spans="1:27" ht="17.25" customHeight="1" outlineLevel="1">
      <c r="A48" s="343">
        <v>1</v>
      </c>
      <c r="B48" s="1627"/>
      <c r="C48" s="1627"/>
      <c r="D48" s="1627" t="s">
        <v>696</v>
      </c>
      <c r="E48" s="1627"/>
      <c r="F48" s="1627"/>
      <c r="G48" s="1627"/>
      <c r="H48" s="1627"/>
      <c r="I48" s="1627"/>
      <c r="J48" s="1627"/>
      <c r="K48" s="1622">
        <v>0</v>
      </c>
      <c r="L48" s="1622"/>
      <c r="M48" s="1628"/>
      <c r="N48" s="1627"/>
      <c r="O48" s="1629">
        <f>K48*M48</f>
        <v>0</v>
      </c>
      <c r="P48" s="1627"/>
    </row>
    <row r="49" spans="1:16" ht="17.25" customHeight="1" outlineLevel="1">
      <c r="A49" s="343">
        <v>2</v>
      </c>
      <c r="B49" s="1627"/>
      <c r="C49" s="1627"/>
      <c r="D49" s="1627"/>
      <c r="E49" s="1627"/>
      <c r="F49" s="1627"/>
      <c r="G49" s="1627"/>
      <c r="H49" s="1627"/>
      <c r="I49" s="1627"/>
      <c r="J49" s="1627"/>
      <c r="K49" s="1622">
        <v>0</v>
      </c>
      <c r="L49" s="1622"/>
      <c r="M49" s="1627"/>
      <c r="N49" s="1627"/>
      <c r="O49" s="1629">
        <f t="shared" ref="O49:O53" si="2">K49*M49</f>
        <v>0</v>
      </c>
      <c r="P49" s="1627"/>
    </row>
    <row r="50" spans="1:16" ht="17.25" customHeight="1" outlineLevel="1">
      <c r="A50" s="343">
        <v>3</v>
      </c>
      <c r="B50" s="1627"/>
      <c r="C50" s="1627"/>
      <c r="D50" s="1627"/>
      <c r="E50" s="1627"/>
      <c r="F50" s="1627"/>
      <c r="G50" s="1627"/>
      <c r="H50" s="1627"/>
      <c r="I50" s="1627"/>
      <c r="J50" s="1627"/>
      <c r="K50" s="1622">
        <v>0</v>
      </c>
      <c r="L50" s="1622"/>
      <c r="M50" s="1627"/>
      <c r="N50" s="1627"/>
      <c r="O50" s="1629">
        <f t="shared" si="2"/>
        <v>0</v>
      </c>
      <c r="P50" s="1627"/>
    </row>
    <row r="51" spans="1:16" ht="17.25" customHeight="1" outlineLevel="1">
      <c r="A51" s="343">
        <v>4</v>
      </c>
      <c r="B51" s="1627"/>
      <c r="C51" s="1627"/>
      <c r="D51" s="1627"/>
      <c r="E51" s="1627"/>
      <c r="F51" s="1627"/>
      <c r="G51" s="1627"/>
      <c r="H51" s="1627"/>
      <c r="I51" s="1627"/>
      <c r="J51" s="1627"/>
      <c r="K51" s="1622">
        <v>0</v>
      </c>
      <c r="L51" s="1622"/>
      <c r="M51" s="1627"/>
      <c r="N51" s="1627"/>
      <c r="O51" s="1629">
        <f t="shared" si="2"/>
        <v>0</v>
      </c>
      <c r="P51" s="1627"/>
    </row>
    <row r="52" spans="1:16" ht="17.25" customHeight="1" outlineLevel="1">
      <c r="A52" s="343">
        <v>5</v>
      </c>
      <c r="B52" s="1627"/>
      <c r="C52" s="1627"/>
      <c r="D52" s="1627"/>
      <c r="E52" s="1627"/>
      <c r="F52" s="1627"/>
      <c r="G52" s="1627"/>
      <c r="H52" s="1627"/>
      <c r="I52" s="1627"/>
      <c r="J52" s="1627"/>
      <c r="K52" s="1622">
        <v>0</v>
      </c>
      <c r="L52" s="1622"/>
      <c r="M52" s="1627"/>
      <c r="N52" s="1627"/>
      <c r="O52" s="1629">
        <f t="shared" si="2"/>
        <v>0</v>
      </c>
      <c r="P52" s="1627"/>
    </row>
    <row r="53" spans="1:16" ht="17.25" customHeight="1" outlineLevel="1">
      <c r="A53" s="343">
        <v>6</v>
      </c>
      <c r="B53" s="1627"/>
      <c r="C53" s="1627"/>
      <c r="D53" s="1627"/>
      <c r="E53" s="1627"/>
      <c r="F53" s="1627"/>
      <c r="G53" s="1627"/>
      <c r="H53" s="1627"/>
      <c r="I53" s="1627"/>
      <c r="J53" s="1627"/>
      <c r="K53" s="1622">
        <v>0</v>
      </c>
      <c r="L53" s="1622"/>
      <c r="M53" s="1627"/>
      <c r="N53" s="1627"/>
      <c r="O53" s="1629">
        <f t="shared" si="2"/>
        <v>0</v>
      </c>
      <c r="P53" s="1627"/>
    </row>
    <row r="54" spans="1:16" ht="17.25" customHeight="1" outlineLevel="1">
      <c r="A54" s="344"/>
      <c r="B54" s="344"/>
      <c r="C54" s="344"/>
      <c r="D54" s="344"/>
      <c r="E54" s="344"/>
      <c r="F54" s="344"/>
      <c r="G54" s="344"/>
      <c r="H54" s="344"/>
      <c r="I54" s="344"/>
      <c r="J54" s="344"/>
      <c r="K54" s="344"/>
      <c r="L54" s="344"/>
      <c r="M54" s="1627" t="s">
        <v>697</v>
      </c>
      <c r="N54" s="1627"/>
      <c r="O54" s="1629">
        <f>SUM(O48:P53)</f>
        <v>0</v>
      </c>
      <c r="P54" s="1627"/>
    </row>
  </sheetData>
  <sheetProtection insertRows="0"/>
  <mergeCells count="150">
    <mergeCell ref="M54:N54"/>
    <mergeCell ref="O54:P54"/>
    <mergeCell ref="M49:N49"/>
    <mergeCell ref="M50:N50"/>
    <mergeCell ref="M51:N51"/>
    <mergeCell ref="M52:N52"/>
    <mergeCell ref="M53:N53"/>
    <mergeCell ref="O48:P48"/>
    <mergeCell ref="O49:P49"/>
    <mergeCell ref="O50:P50"/>
    <mergeCell ref="O51:P51"/>
    <mergeCell ref="O52:P52"/>
    <mergeCell ref="O53:P53"/>
    <mergeCell ref="F49:J49"/>
    <mergeCell ref="F50:J50"/>
    <mergeCell ref="F51:J51"/>
    <mergeCell ref="F52:J52"/>
    <mergeCell ref="F53:J53"/>
    <mergeCell ref="K48:L48"/>
    <mergeCell ref="K49:L49"/>
    <mergeCell ref="K50:L50"/>
    <mergeCell ref="K51:L51"/>
    <mergeCell ref="K52:L52"/>
    <mergeCell ref="K53:L53"/>
    <mergeCell ref="B49:C49"/>
    <mergeCell ref="B50:C50"/>
    <mergeCell ref="B51:C51"/>
    <mergeCell ref="B52:C52"/>
    <mergeCell ref="B53:C53"/>
    <mergeCell ref="D48:E48"/>
    <mergeCell ref="D49:E49"/>
    <mergeCell ref="D50:E50"/>
    <mergeCell ref="D51:E51"/>
    <mergeCell ref="D52:E52"/>
    <mergeCell ref="D53:E53"/>
    <mergeCell ref="B47:C47"/>
    <mergeCell ref="D47:E47"/>
    <mergeCell ref="K47:L47"/>
    <mergeCell ref="M47:N47"/>
    <mergeCell ref="O47:P47"/>
    <mergeCell ref="F47:J47"/>
    <mergeCell ref="B48:C48"/>
    <mergeCell ref="F48:J48"/>
    <mergeCell ref="M48:N48"/>
    <mergeCell ref="M37:N37"/>
    <mergeCell ref="M38:N38"/>
    <mergeCell ref="O37:P37"/>
    <mergeCell ref="O38:P38"/>
    <mergeCell ref="O39:P39"/>
    <mergeCell ref="I42:J42"/>
    <mergeCell ref="I43:J43"/>
    <mergeCell ref="I44:J44"/>
    <mergeCell ref="I45:J45"/>
    <mergeCell ref="O45:P45"/>
    <mergeCell ref="M39:N39"/>
    <mergeCell ref="M40:N40"/>
    <mergeCell ref="M41:N41"/>
    <mergeCell ref="M42:N42"/>
    <mergeCell ref="M43:N43"/>
    <mergeCell ref="M44:N44"/>
    <mergeCell ref="M45:N45"/>
    <mergeCell ref="O40:P40"/>
    <mergeCell ref="O41:P41"/>
    <mergeCell ref="O42:P42"/>
    <mergeCell ref="O43:P43"/>
    <mergeCell ref="O44:P44"/>
    <mergeCell ref="B43:G43"/>
    <mergeCell ref="B44:G44"/>
    <mergeCell ref="B45:G45"/>
    <mergeCell ref="I37:J37"/>
    <mergeCell ref="I38:J38"/>
    <mergeCell ref="I39:J39"/>
    <mergeCell ref="I40:J40"/>
    <mergeCell ref="I41:J41"/>
    <mergeCell ref="B42:G42"/>
    <mergeCell ref="B37:G37"/>
    <mergeCell ref="B38:G38"/>
    <mergeCell ref="B39:G39"/>
    <mergeCell ref="B40:G40"/>
    <mergeCell ref="B41:G41"/>
    <mergeCell ref="A36:P36"/>
    <mergeCell ref="A20:P20"/>
    <mergeCell ref="B22:D22"/>
    <mergeCell ref="B23:D23"/>
    <mergeCell ref="B24:D24"/>
    <mergeCell ref="B25:D25"/>
    <mergeCell ref="B32:D32"/>
    <mergeCell ref="B26:D26"/>
    <mergeCell ref="B27:D27"/>
    <mergeCell ref="B28:D28"/>
    <mergeCell ref="B29:D29"/>
    <mergeCell ref="B30:D30"/>
    <mergeCell ref="B31:D31"/>
    <mergeCell ref="A12:P12"/>
    <mergeCell ref="A13:D13"/>
    <mergeCell ref="E13:H13"/>
    <mergeCell ref="M13:P13"/>
    <mergeCell ref="K13:L13"/>
    <mergeCell ref="M6:N6"/>
    <mergeCell ref="M7:N7"/>
    <mergeCell ref="M5:N5"/>
    <mergeCell ref="M4:N4"/>
    <mergeCell ref="M11:N11"/>
    <mergeCell ref="M9:O9"/>
    <mergeCell ref="I6:K6"/>
    <mergeCell ref="E6:G6"/>
    <mergeCell ref="I7:K7"/>
    <mergeCell ref="A6:C6"/>
    <mergeCell ref="I8:K8"/>
    <mergeCell ref="A7:C7"/>
    <mergeCell ref="E5:G5"/>
    <mergeCell ref="I5:K5"/>
    <mergeCell ref="A4:C4"/>
    <mergeCell ref="E4:G4"/>
    <mergeCell ref="I4:K4"/>
    <mergeCell ref="A5:C5"/>
    <mergeCell ref="A17:C17"/>
    <mergeCell ref="E17:G17"/>
    <mergeCell ref="I17:K17"/>
    <mergeCell ref="M17:O17"/>
    <mergeCell ref="A18:C18"/>
    <mergeCell ref="I18:K18"/>
    <mergeCell ref="M18:O18"/>
    <mergeCell ref="E19:G19"/>
    <mergeCell ref="I19:K19"/>
    <mergeCell ref="M19:O19"/>
    <mergeCell ref="A46:P46"/>
    <mergeCell ref="B33:C33"/>
    <mergeCell ref="M3:N3"/>
    <mergeCell ref="A1:P1"/>
    <mergeCell ref="A2:D2"/>
    <mergeCell ref="E2:H2"/>
    <mergeCell ref="I2:L2"/>
    <mergeCell ref="M2:N2"/>
    <mergeCell ref="A3:C3"/>
    <mergeCell ref="E3:G3"/>
    <mergeCell ref="I3:K3"/>
    <mergeCell ref="A14:C14"/>
    <mergeCell ref="E14:G14"/>
    <mergeCell ref="M14:O14"/>
    <mergeCell ref="A16:C16"/>
    <mergeCell ref="E15:G15"/>
    <mergeCell ref="I15:K15"/>
    <mergeCell ref="M15:O15"/>
    <mergeCell ref="A15:C15"/>
    <mergeCell ref="E16:G16"/>
    <mergeCell ref="I16:K16"/>
    <mergeCell ref="A19:C19"/>
    <mergeCell ref="K31:L31"/>
    <mergeCell ref="M31:N31"/>
  </mergeCells>
  <conditionalFormatting sqref="P9">
    <cfRule type="cellIs" dxfId="176" priority="27" operator="equal">
      <formula>"Gravity"</formula>
    </cfRule>
  </conditionalFormatting>
  <conditionalFormatting sqref="D17">
    <cfRule type="cellIs" dxfId="175" priority="26" operator="equal">
      <formula>"Martin"</formula>
    </cfRule>
  </conditionalFormatting>
  <conditionalFormatting sqref="H17">
    <cfRule type="cellIs" dxfId="174" priority="25" operator="equal">
      <formula>"YES"</formula>
    </cfRule>
  </conditionalFormatting>
  <conditionalFormatting sqref="P14">
    <cfRule type="cellIs" dxfId="173" priority="24" operator="equal">
      <formula>"ODOR"</formula>
    </cfRule>
  </conditionalFormatting>
  <conditionalFormatting sqref="P11">
    <cfRule type="expression" dxfId="172" priority="16">
      <formula>IF(AND($O$11="Mechanical",$P$11="N/A"),TRUE,FALSE)</formula>
    </cfRule>
    <cfRule type="expression" dxfId="171" priority="22">
      <formula>IF(AND($O$11="VULCANIZED",$P$11&lt;&gt;"N/A"),TRUE,FALSE)</formula>
    </cfRule>
  </conditionalFormatting>
  <conditionalFormatting sqref="P10">
    <cfRule type="expression" dxfId="170" priority="15">
      <formula>IF(AND($P$9="Gravity",$P$10&lt;&gt;"N/A"),TRUE,FALSE)</formula>
    </cfRule>
  </conditionalFormatting>
  <conditionalFormatting sqref="F8">
    <cfRule type="expression" dxfId="169" priority="2">
      <formula>IF($F$8&gt;1.4,"TRUE","FALSE")</formula>
    </cfRule>
    <cfRule type="expression" dxfId="168" priority="3">
      <formula>IF(AND($F$8&gt;1.2,$F$8&lt;=1.4),"TRUE","FALSE")</formula>
    </cfRule>
    <cfRule type="expression" dxfId="167" priority="12">
      <formula>IF($F$8&lt;=1.2,"TRUE","FALSE")</formula>
    </cfRule>
  </conditionalFormatting>
  <conditionalFormatting sqref="D18">
    <cfRule type="cellIs" dxfId="166" priority="6" operator="equal">
      <formula>"Yes"</formula>
    </cfRule>
  </conditionalFormatting>
  <conditionalFormatting sqref="D6">
    <cfRule type="expression" dxfId="165" priority="1">
      <formula>IF($D$6=42,TRUE, FALSE)</formula>
    </cfRule>
  </conditionalFormatting>
  <dataValidations count="12">
    <dataValidation type="list" allowBlank="1" showInputMessage="1" showErrorMessage="1" sqref="AA3" xr:uid="{9449A26C-2C28-4361-B9E7-3B40606853B7}">
      <formula1>$AD$3:$AD$7</formula1>
    </dataValidation>
    <dataValidation type="list" allowBlank="1" showInputMessage="1" showErrorMessage="1" sqref="AA6" xr:uid="{7D21A054-3F71-418E-88D4-1A7ECC81554A}">
      <formula1>$AG$3:$AG$4</formula1>
    </dataValidation>
    <dataValidation type="list" allowBlank="1" showInputMessage="1" showErrorMessage="1" sqref="AA7" xr:uid="{04BAD476-54CE-44B4-B15D-440148D1DC92}">
      <formula1>$AH$3:$AH$5</formula1>
    </dataValidation>
    <dataValidation type="list" allowBlank="1" showInputMessage="1" showErrorMessage="1" sqref="AA8" xr:uid="{10EB14BB-CBEE-4941-8834-1A143883EDCC}">
      <formula1>$AI$3:$AI$5</formula1>
    </dataValidation>
    <dataValidation type="list" allowBlank="1" showInputMessage="1" showErrorMessage="1" sqref="AA9" xr:uid="{E9D0D3C1-0DEB-4642-9215-7E9FB952DD08}">
      <formula1>$AJ$3:$AJ$4</formula1>
    </dataValidation>
    <dataValidation type="list" allowBlank="1" showInputMessage="1" showErrorMessage="1" sqref="AA10:AA11" xr:uid="{B29E94C4-18C6-4263-A0CE-70FC5B479B1B}">
      <formula1>$AK$3:$AK$8</formula1>
    </dataValidation>
    <dataValidation type="list" allowBlank="1" showInputMessage="1" showErrorMessage="1" sqref="AA4" xr:uid="{715F4E9D-6B89-4867-AC45-12E0E72F7548}">
      <formula1>$AE$3:$AE$4</formula1>
    </dataValidation>
    <dataValidation type="list" allowBlank="1" showInputMessage="1" showErrorMessage="1" sqref="O6" xr:uid="{A47BD98D-8B48-4FD6-94A9-BD9DE73E39F6}">
      <formula1>".375,.5"</formula1>
    </dataValidation>
    <dataValidation type="list" allowBlank="1" showInputMessage="1" showErrorMessage="1" prompt="HBL = HERRINGBONE LAGGING_x000a_DGL = DIAMOND GROOVE LAGGING" sqref="O5" xr:uid="{E45006EC-BA3E-4C39-9E73-2D1DF52341D9}">
      <formula1>"HBL,DGL"</formula1>
    </dataValidation>
    <dataValidation type="list" allowBlank="1" showInputMessage="1" showErrorMessage="1" sqref="P4" xr:uid="{83505BCC-15C3-4F98-B307-58679846E72B}">
      <formula1>"MES,CF"</formula1>
    </dataValidation>
    <dataValidation type="list" allowBlank="1" showInputMessage="1" showErrorMessage="1" sqref="D48:E53" xr:uid="{86D0BD00-F9EF-4AEE-A87E-DDB7CEA50D06}">
      <formula1>"Project scope, Project quality, Project schedule, Procurement, Stakeholders, Project cost"</formula1>
    </dataValidation>
    <dataValidation type="list" allowBlank="1" showInputMessage="1" showErrorMessage="1" sqref="M48:N53" xr:uid="{A1412BEE-AEB0-4588-9A5F-1349005E547E}">
      <formula1>"5%, 25%, 50%, 75%, 100%"</formula1>
    </dataValidation>
  </dataValidations>
  <pageMargins left="0.7" right="0.7" top="0.75" bottom="0.75" header="0.3" footer="0.3"/>
  <pageSetup scale="52" fitToHeight="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BD05CEA-65D6-4681-B033-4FB2757C150D}">
          <x14:formula1>
            <xm:f>PURCHASED!$Q$62:$Q$81</xm:f>
          </x14:formula1>
          <xm:sqref>O3:P3</xm:sqref>
        </x14:dataValidation>
        <x14:dataValidation type="list" allowBlank="1" showInputMessage="1" showErrorMessage="1" xr:uid="{691CD4E9-E317-48E8-9AC0-B9371C9A7DF4}">
          <x14:formula1>
            <xm:f>_xlfn.ANCHORARRAY(PURCHASED!$T$62)</xm:f>
          </x14:formula1>
          <xm:sqref>P6</xm:sqref>
        </x14:dataValidation>
        <x14:dataValidation type="list" allowBlank="1" showInputMessage="1" showErrorMessage="1" prompt="HBL = HERRINGBONE LAGGING_x000a_DGL = DIAMOND GROOVE LAGGING" xr:uid="{E2F20532-427D-4294-8860-BAE918D6AB21}">
          <x14:formula1>
            <xm:f>_xlfn.ANCHORARRAY(PURCHASED!$S$62)</xm:f>
          </x14:formula1>
          <xm:sqref>P5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DA296-9D57-45D8-A176-4D8B8F78968C}">
  <sheetPr codeName="Sheet20">
    <tabColor theme="9" tint="0.39997558519241921"/>
  </sheetPr>
  <dimension ref="A1:AD180"/>
  <sheetViews>
    <sheetView tabSelected="1" topLeftCell="A144" zoomScaleNormal="100" workbookViewId="0">
      <selection activeCell="I155" sqref="I155:J155"/>
    </sheetView>
  </sheetViews>
  <sheetFormatPr defaultColWidth="9.28515625" defaultRowHeight="15" outlineLevelRow="1"/>
  <cols>
    <col min="1" max="3" width="11.7109375" style="404" customWidth="1"/>
    <col min="4" max="4" width="10.140625" style="404" customWidth="1"/>
    <col min="5" max="5" width="14.5703125" style="404" customWidth="1"/>
    <col min="6" max="6" width="11.7109375" style="404" customWidth="1"/>
    <col min="7" max="7" width="15" style="404" customWidth="1"/>
    <col min="8" max="8" width="13.7109375" style="404" bestFit="1" customWidth="1"/>
    <col min="9" max="10" width="12" style="404" customWidth="1"/>
    <col min="11" max="11" width="13.28515625" style="404" customWidth="1"/>
    <col min="12" max="13" width="12" style="404" customWidth="1"/>
    <col min="14" max="14" width="17.7109375" style="404" customWidth="1"/>
    <col min="15" max="15" width="21.42578125" style="404" bestFit="1" customWidth="1"/>
    <col min="16" max="16" width="17.85546875" style="404" customWidth="1"/>
    <col min="17" max="17" width="20" style="404" bestFit="1" customWidth="1"/>
    <col min="18" max="18" width="16.7109375" style="404" customWidth="1"/>
    <col min="19" max="19" width="13.28515625" style="404" bestFit="1" customWidth="1"/>
    <col min="20" max="20" width="11.7109375" style="404" bestFit="1" customWidth="1"/>
    <col min="21" max="22" width="9.28515625" style="404"/>
    <col min="23" max="23" width="12" style="404" bestFit="1" customWidth="1"/>
    <col min="24" max="24" width="15" style="404" bestFit="1" customWidth="1"/>
    <col min="25" max="25" width="9.28515625" style="404"/>
    <col min="26" max="26" width="11" style="404" bestFit="1" customWidth="1"/>
    <col min="27" max="27" width="11" style="404" customWidth="1"/>
    <col min="28" max="16384" width="9.28515625" style="404"/>
  </cols>
  <sheetData>
    <row r="1" spans="1:20" ht="15.75" thickBot="1">
      <c r="A1" s="1192"/>
      <c r="B1" s="1193"/>
      <c r="C1" s="1193"/>
      <c r="D1" s="1193"/>
      <c r="E1" s="1193"/>
      <c r="F1" s="1193"/>
      <c r="G1" s="1194"/>
      <c r="H1" s="402"/>
      <c r="I1" s="403"/>
      <c r="J1" s="1195"/>
      <c r="K1" s="1195"/>
      <c r="L1" s="1195"/>
      <c r="M1" s="1195"/>
      <c r="N1" s="1195"/>
      <c r="O1" s="1195"/>
      <c r="P1" s="1196"/>
    </row>
    <row r="2" spans="1:20" ht="15" customHeight="1">
      <c r="A2" s="405" t="s">
        <v>698</v>
      </c>
      <c r="B2" s="406" t="s">
        <v>645</v>
      </c>
      <c r="C2" s="406"/>
      <c r="D2" s="406"/>
      <c r="E2" s="406" t="s">
        <v>646</v>
      </c>
      <c r="F2" s="406" t="s">
        <v>648</v>
      </c>
      <c r="G2" s="407" t="s">
        <v>649</v>
      </c>
      <c r="I2" s="408"/>
      <c r="J2" s="1197"/>
      <c r="K2" s="1197"/>
      <c r="L2" s="1197"/>
      <c r="M2" s="1197"/>
      <c r="N2" s="1197"/>
      <c r="O2" s="1197"/>
      <c r="P2" s="1198"/>
      <c r="Q2" s="410" t="s">
        <v>417</v>
      </c>
      <c r="R2" s="1201" t="s">
        <v>699</v>
      </c>
      <c r="S2" s="1201"/>
      <c r="T2" s="411" t="s">
        <v>700</v>
      </c>
    </row>
    <row r="3" spans="1:20" ht="15.75" thickBot="1">
      <c r="A3" s="412">
        <v>10</v>
      </c>
      <c r="B3" s="1202" t="s">
        <v>650</v>
      </c>
      <c r="C3" s="1202"/>
      <c r="D3" s="1202"/>
      <c r="E3" s="413">
        <f>F3*G3</f>
        <v>0</v>
      </c>
      <c r="F3" s="414">
        <f>L29+K52+K64+L75+L107+L127+L150</f>
        <v>0</v>
      </c>
      <c r="G3" s="415">
        <v>110</v>
      </c>
      <c r="I3" s="416"/>
      <c r="J3" s="1197"/>
      <c r="K3" s="1197"/>
      <c r="L3" s="1197"/>
      <c r="M3" s="1197"/>
      <c r="N3" s="1197"/>
      <c r="O3" s="1197"/>
      <c r="P3" s="1198"/>
      <c r="Q3" s="417">
        <v>45292</v>
      </c>
      <c r="R3" s="1203" t="s">
        <v>701</v>
      </c>
      <c r="S3" s="1203"/>
      <c r="T3" s="418" t="s">
        <v>701</v>
      </c>
    </row>
    <row r="4" spans="1:20">
      <c r="A4" s="419">
        <v>20</v>
      </c>
      <c r="B4" s="1204" t="s">
        <v>702</v>
      </c>
      <c r="C4" s="1204"/>
      <c r="D4" s="1204"/>
      <c r="E4" s="420">
        <f>F4*G4</f>
        <v>0</v>
      </c>
      <c r="F4" s="421">
        <f>ROUND(N29+M52+M64+N75+N107+N127+N150,0)</f>
        <v>0</v>
      </c>
      <c r="G4" s="422">
        <v>119</v>
      </c>
      <c r="H4" s="404" t="s">
        <v>703</v>
      </c>
      <c r="I4" s="416"/>
      <c r="J4" s="1197"/>
      <c r="K4" s="1197"/>
      <c r="L4" s="1197"/>
      <c r="M4" s="1197"/>
      <c r="N4" s="1197"/>
      <c r="O4" s="1197"/>
      <c r="P4" s="1198"/>
    </row>
    <row r="5" spans="1:20">
      <c r="A5" s="419">
        <v>30</v>
      </c>
      <c r="B5" s="1204" t="s">
        <v>652</v>
      </c>
      <c r="C5" s="1204"/>
      <c r="D5" s="1204"/>
      <c r="E5" s="420">
        <f>F5*G5</f>
        <v>0</v>
      </c>
      <c r="F5" s="423">
        <f>H5*8</f>
        <v>0</v>
      </c>
      <c r="G5" s="422">
        <v>110</v>
      </c>
      <c r="H5" s="424">
        <v>0</v>
      </c>
      <c r="I5" s="416"/>
      <c r="J5" s="1197"/>
      <c r="K5" s="1197"/>
      <c r="L5" s="1197"/>
      <c r="M5" s="1197"/>
      <c r="N5" s="1197"/>
      <c r="O5" s="1197"/>
      <c r="P5" s="1198"/>
    </row>
    <row r="6" spans="1:20">
      <c r="A6" s="425">
        <v>40</v>
      </c>
      <c r="B6" s="1205" t="s">
        <v>653</v>
      </c>
      <c r="C6" s="1205"/>
      <c r="D6" s="1205"/>
      <c r="E6" s="426">
        <f>F6*G6</f>
        <v>0</v>
      </c>
      <c r="F6" s="427">
        <f>P29</f>
        <v>0</v>
      </c>
      <c r="G6" s="428">
        <v>1</v>
      </c>
      <c r="I6" s="416"/>
      <c r="J6" s="1197"/>
      <c r="K6" s="1197"/>
      <c r="L6" s="1197"/>
      <c r="M6" s="1197"/>
      <c r="N6" s="1197"/>
      <c r="O6" s="1197"/>
      <c r="P6" s="1198"/>
    </row>
    <row r="7" spans="1:20">
      <c r="A7" s="419">
        <v>50</v>
      </c>
      <c r="B7" s="1204" t="s">
        <v>654</v>
      </c>
      <c r="C7" s="1204"/>
      <c r="D7" s="1204"/>
      <c r="E7" s="429">
        <f>P52</f>
        <v>0</v>
      </c>
      <c r="F7" s="423"/>
      <c r="G7" s="420"/>
      <c r="H7" s="430"/>
      <c r="I7" s="420"/>
      <c r="J7" s="1197"/>
      <c r="K7" s="1197"/>
      <c r="L7" s="1197"/>
      <c r="M7" s="1197"/>
      <c r="N7" s="1197"/>
      <c r="O7" s="1197"/>
      <c r="P7" s="1198"/>
    </row>
    <row r="8" spans="1:20">
      <c r="A8" s="419">
        <v>60</v>
      </c>
      <c r="B8" s="1204" t="s">
        <v>656</v>
      </c>
      <c r="C8" s="1204"/>
      <c r="D8" s="1204"/>
      <c r="E8" s="429">
        <f>P64</f>
        <v>0</v>
      </c>
      <c r="F8" s="423"/>
      <c r="G8" s="420"/>
      <c r="H8" s="431"/>
      <c r="I8" s="420"/>
      <c r="J8" s="1197"/>
      <c r="K8" s="1197"/>
      <c r="L8" s="1197"/>
      <c r="M8" s="1197"/>
      <c r="N8" s="1197"/>
      <c r="O8" s="1197"/>
      <c r="P8" s="1198"/>
    </row>
    <row r="9" spans="1:20">
      <c r="A9" s="419">
        <v>70</v>
      </c>
      <c r="B9" s="1204" t="s">
        <v>658</v>
      </c>
      <c r="C9" s="1204"/>
      <c r="D9" s="1204"/>
      <c r="E9" s="429">
        <f>P75</f>
        <v>0</v>
      </c>
      <c r="F9" s="423"/>
      <c r="G9" s="420"/>
      <c r="H9" s="431"/>
      <c r="I9" s="420"/>
      <c r="J9" s="1197"/>
      <c r="K9" s="1197"/>
      <c r="L9" s="1197"/>
      <c r="M9" s="1197"/>
      <c r="N9" s="1197"/>
      <c r="O9" s="1197"/>
      <c r="P9" s="1198"/>
    </row>
    <row r="10" spans="1:20">
      <c r="A10" s="419">
        <v>80</v>
      </c>
      <c r="B10" s="1204" t="s">
        <v>660</v>
      </c>
      <c r="C10" s="1204"/>
      <c r="D10" s="1204"/>
      <c r="E10" s="429">
        <f>P107</f>
        <v>0</v>
      </c>
      <c r="F10" s="423"/>
      <c r="G10" s="420"/>
      <c r="H10" s="431"/>
      <c r="I10" s="420"/>
      <c r="J10" s="1197"/>
      <c r="K10" s="1197"/>
      <c r="L10" s="1197"/>
      <c r="M10" s="1197"/>
      <c r="N10" s="1197"/>
      <c r="O10" s="1197"/>
      <c r="P10" s="1198"/>
    </row>
    <row r="11" spans="1:20" ht="15.75" thickBot="1">
      <c r="A11" s="419">
        <v>90</v>
      </c>
      <c r="B11" s="1204" t="s">
        <v>662</v>
      </c>
      <c r="C11" s="1204"/>
      <c r="D11" s="1204"/>
      <c r="E11" s="429">
        <f>P127</f>
        <v>0</v>
      </c>
      <c r="F11" s="423"/>
      <c r="G11" s="420"/>
      <c r="H11" s="431"/>
      <c r="I11" s="420"/>
      <c r="J11" s="1199"/>
      <c r="K11" s="1199"/>
      <c r="L11" s="1199"/>
      <c r="M11" s="1199"/>
      <c r="N11" s="1199"/>
      <c r="O11" s="1199"/>
      <c r="P11" s="1200"/>
    </row>
    <row r="12" spans="1:20" ht="15" customHeight="1">
      <c r="A12" s="419">
        <v>160</v>
      </c>
      <c r="B12" s="1204" t="s">
        <v>664</v>
      </c>
      <c r="C12" s="1204"/>
      <c r="D12" s="1204"/>
      <c r="E12" s="429">
        <f>P138</f>
        <v>0</v>
      </c>
      <c r="F12" s="432" t="s">
        <v>659</v>
      </c>
      <c r="G12" s="433" t="s">
        <v>703</v>
      </c>
      <c r="H12" s="434" t="s">
        <v>704</v>
      </c>
      <c r="I12" s="433"/>
      <c r="J12" s="435" t="s">
        <v>705</v>
      </c>
      <c r="K12" s="436" t="s">
        <v>706</v>
      </c>
      <c r="L12" s="1213" t="s">
        <v>667</v>
      </c>
      <c r="M12" s="1213"/>
      <c r="N12" s="1214" t="s">
        <v>668</v>
      </c>
      <c r="O12" s="1214"/>
      <c r="P12" s="437" t="s">
        <v>707</v>
      </c>
      <c r="R12" s="1206" t="s">
        <v>708</v>
      </c>
      <c r="S12" s="1207"/>
    </row>
    <row r="13" spans="1:20" ht="15.75" thickBot="1">
      <c r="A13" s="419">
        <v>170</v>
      </c>
      <c r="B13" s="1204" t="s">
        <v>672</v>
      </c>
      <c r="C13" s="1204"/>
      <c r="D13" s="1204"/>
      <c r="E13" s="438">
        <f>((F13*1250)+(G13*389))+H13</f>
        <v>0</v>
      </c>
      <c r="F13" s="439">
        <v>0</v>
      </c>
      <c r="G13" s="440">
        <f>H5</f>
        <v>0</v>
      </c>
      <c r="H13" s="441">
        <f>P150</f>
        <v>0</v>
      </c>
      <c r="I13" s="420"/>
      <c r="J13" s="435" t="s">
        <v>674</v>
      </c>
      <c r="K13" s="442" t="e" cm="1">
        <f t="array" ref="K13">SalePrice(P13,N13,M13)</f>
        <v>#VALUE!</v>
      </c>
      <c r="L13" s="443" t="e" cm="1">
        <f t="array" ref="L13">(P13/(1-bisection(N13,P13,M13)))*M13</f>
        <v>#VALUE!</v>
      </c>
      <c r="M13" s="444">
        <v>0.08</v>
      </c>
      <c r="N13" s="445">
        <v>0.36</v>
      </c>
      <c r="O13" s="446" t="e">
        <f>K13*N13</f>
        <v>#VALUE!</v>
      </c>
      <c r="P13" s="447">
        <f>SUM(E$3:E$14)</f>
        <v>0</v>
      </c>
      <c r="R13" s="1208" t="e">
        <f>E14/SUM(E3:E13)</f>
        <v>#DIV/0!</v>
      </c>
      <c r="S13" s="1209"/>
    </row>
    <row r="14" spans="1:20">
      <c r="A14" s="425">
        <v>230</v>
      </c>
      <c r="B14" s="1205" t="s">
        <v>709</v>
      </c>
      <c r="C14" s="1205"/>
      <c r="D14" s="1205"/>
      <c r="E14" s="448">
        <f>P161</f>
        <v>0</v>
      </c>
      <c r="F14" s="449"/>
      <c r="G14" s="449"/>
      <c r="H14" s="450"/>
      <c r="I14" s="420"/>
      <c r="J14" s="435" t="s">
        <v>710</v>
      </c>
      <c r="K14" s="451" t="e" cm="1">
        <f t="array" ref="K14">SalePrice(P14,N14,M14)</f>
        <v>#VALUE!</v>
      </c>
      <c r="L14" s="452" t="e" cm="1">
        <f t="array" ref="L14">(P14/(1-bisection(N14,P14,M14)))*M14</f>
        <v>#VALUE!</v>
      </c>
      <c r="M14" s="444">
        <v>0.06</v>
      </c>
      <c r="N14" s="453">
        <v>0.33</v>
      </c>
      <c r="O14" s="446" t="e">
        <f t="shared" ref="O14:O16" si="0">K14*N14</f>
        <v>#VALUE!</v>
      </c>
      <c r="P14" s="447">
        <f t="shared" ref="P14:P16" si="1">SUM(E$3:E$14)</f>
        <v>0</v>
      </c>
    </row>
    <row r="15" spans="1:20">
      <c r="A15" s="1210" t="s">
        <v>711</v>
      </c>
      <c r="B15" s="1211"/>
      <c r="C15" s="1211"/>
      <c r="D15" s="1211"/>
      <c r="E15" s="426">
        <f>SUM(E3:E14)</f>
        <v>0</v>
      </c>
      <c r="F15" s="449"/>
      <c r="G15" s="449"/>
      <c r="J15" s="435" t="s">
        <v>678</v>
      </c>
      <c r="K15" s="454" t="e" cm="1">
        <f t="array" ref="K15">SalePrice(P15,N15,M15)</f>
        <v>#VALUE!</v>
      </c>
      <c r="L15" s="455" t="e" cm="1">
        <f t="array" ref="L15">(P15/(1-bisection(N15,P15,M15)))*M15</f>
        <v>#VALUE!</v>
      </c>
      <c r="M15" s="444">
        <v>0.04</v>
      </c>
      <c r="N15" s="456">
        <v>0.3</v>
      </c>
      <c r="O15" s="446" t="e">
        <f t="shared" si="0"/>
        <v>#VALUE!</v>
      </c>
      <c r="P15" s="447">
        <f t="shared" si="1"/>
        <v>0</v>
      </c>
    </row>
    <row r="16" spans="1:20">
      <c r="A16" s="425">
        <v>180</v>
      </c>
      <c r="B16" s="1212" t="s">
        <v>667</v>
      </c>
      <c r="C16" s="1212"/>
      <c r="D16" s="1212"/>
      <c r="E16" s="457">
        <f>_xlfn.XLOOKUP(F16,M13:M16,L13:L16)</f>
        <v>0</v>
      </c>
      <c r="F16" s="458">
        <v>0</v>
      </c>
      <c r="G16" s="459" t="s">
        <v>712</v>
      </c>
      <c r="J16" s="435" t="s">
        <v>713</v>
      </c>
      <c r="K16" s="460" t="e">
        <f>K13-L13</f>
        <v>#VALUE!</v>
      </c>
      <c r="L16" s="461">
        <v>0</v>
      </c>
      <c r="M16" s="444">
        <v>0</v>
      </c>
      <c r="N16" s="456" t="e">
        <f>(K16-P16)/K16</f>
        <v>#VALUE!</v>
      </c>
      <c r="O16" s="446" t="e">
        <f t="shared" si="0"/>
        <v>#VALUE!</v>
      </c>
      <c r="P16" s="447">
        <f t="shared" si="1"/>
        <v>0</v>
      </c>
    </row>
    <row r="17" spans="1:18" ht="15.75" thickBot="1">
      <c r="A17" s="462"/>
      <c r="B17" s="463" t="s">
        <v>714</v>
      </c>
      <c r="C17" s="463"/>
      <c r="D17" s="463"/>
      <c r="E17" s="464">
        <f>SUM(E15:E16)</f>
        <v>0</v>
      </c>
      <c r="F17" s="465"/>
      <c r="G17" s="466"/>
      <c r="H17" s="467"/>
      <c r="I17" s="467"/>
      <c r="J17" s="468"/>
      <c r="K17" s="469"/>
      <c r="L17" s="470"/>
      <c r="M17" s="469"/>
      <c r="N17" s="471"/>
      <c r="O17" s="472"/>
      <c r="P17" s="473"/>
    </row>
    <row r="18" spans="1:18">
      <c r="A18" s="474"/>
      <c r="B18" s="475"/>
      <c r="C18" s="475"/>
      <c r="D18" s="475"/>
      <c r="E18" s="476"/>
      <c r="F18" s="477"/>
      <c r="G18" s="474"/>
      <c r="J18" s="475"/>
      <c r="K18" s="478"/>
      <c r="L18" s="479"/>
      <c r="M18" s="478"/>
      <c r="N18" s="420"/>
      <c r="O18" s="480"/>
      <c r="P18" s="481"/>
    </row>
    <row r="19" spans="1:18" ht="16.5" customHeight="1" thickBot="1">
      <c r="A19" s="474"/>
      <c r="B19" s="474"/>
      <c r="C19" s="474"/>
      <c r="D19" s="474"/>
      <c r="E19" s="408"/>
      <c r="F19" s="474"/>
      <c r="G19" s="474"/>
    </row>
    <row r="20" spans="1:18" ht="16.5" customHeight="1" thickBot="1">
      <c r="A20" s="1221" t="s">
        <v>653</v>
      </c>
      <c r="B20" s="1222"/>
      <c r="C20" s="1222"/>
      <c r="D20" s="1222"/>
      <c r="E20" s="1222"/>
      <c r="F20" s="1222"/>
      <c r="G20" s="1222"/>
      <c r="H20" s="1222"/>
      <c r="I20" s="1222"/>
      <c r="J20" s="1222"/>
      <c r="K20" s="1222"/>
      <c r="L20" s="1222"/>
      <c r="M20" s="1222"/>
      <c r="N20" s="1222"/>
      <c r="O20" s="1222"/>
      <c r="P20" s="1223"/>
    </row>
    <row r="21" spans="1:18" ht="30.75" outlineLevel="1" thickBot="1">
      <c r="A21" s="482" t="s">
        <v>715</v>
      </c>
      <c r="B21" s="483" t="s">
        <v>716</v>
      </c>
      <c r="C21" s="1224" t="s">
        <v>717</v>
      </c>
      <c r="D21" s="1225"/>
      <c r="E21" s="1225"/>
      <c r="F21" s="1225"/>
      <c r="G21" s="1225"/>
      <c r="H21" s="485" t="s">
        <v>718</v>
      </c>
      <c r="I21" s="486" t="s">
        <v>719</v>
      </c>
      <c r="J21" s="486" t="s">
        <v>720</v>
      </c>
      <c r="K21" s="483" t="s">
        <v>721</v>
      </c>
      <c r="L21" s="483" t="s">
        <v>722</v>
      </c>
      <c r="M21" s="483" t="s">
        <v>723</v>
      </c>
      <c r="N21" s="483" t="s">
        <v>724</v>
      </c>
      <c r="O21" s="487" t="s">
        <v>725</v>
      </c>
      <c r="P21" s="488" t="s">
        <v>686</v>
      </c>
    </row>
    <row r="22" spans="1:18" ht="16.5" customHeight="1" outlineLevel="1">
      <c r="A22" s="489"/>
      <c r="B22" s="490"/>
      <c r="C22" s="1227"/>
      <c r="D22" s="1228"/>
      <c r="E22" s="1228"/>
      <c r="F22" s="1228"/>
      <c r="G22" s="1229"/>
      <c r="H22" s="491"/>
      <c r="I22" s="492"/>
      <c r="J22" s="492"/>
      <c r="K22" s="492"/>
      <c r="L22" s="492">
        <v>0</v>
      </c>
      <c r="M22" s="492">
        <v>0</v>
      </c>
      <c r="N22" s="492">
        <f t="shared" ref="N22:N28" si="2">M22*A22</f>
        <v>0</v>
      </c>
      <c r="O22" s="493">
        <v>0</v>
      </c>
      <c r="P22" s="591">
        <f t="shared" ref="P22:P28" si="3">O22*A22</f>
        <v>0</v>
      </c>
    </row>
    <row r="23" spans="1:18" ht="16.5" customHeight="1" outlineLevel="1">
      <c r="A23" s="489"/>
      <c r="B23" s="494"/>
      <c r="C23" s="1215"/>
      <c r="D23" s="1216"/>
      <c r="E23" s="1216"/>
      <c r="F23" s="1216"/>
      <c r="G23" s="1217"/>
      <c r="H23" s="495"/>
      <c r="I23" s="492"/>
      <c r="J23" s="492"/>
      <c r="K23" s="492"/>
      <c r="L23" s="492">
        <v>0</v>
      </c>
      <c r="M23" s="492">
        <v>0</v>
      </c>
      <c r="N23" s="492">
        <f t="shared" si="2"/>
        <v>0</v>
      </c>
      <c r="O23" s="496">
        <v>0</v>
      </c>
      <c r="P23" s="591">
        <f t="shared" si="3"/>
        <v>0</v>
      </c>
    </row>
    <row r="24" spans="1:18" ht="16.5" customHeight="1" outlineLevel="1">
      <c r="A24" s="489"/>
      <c r="B24" s="497"/>
      <c r="C24" s="1215"/>
      <c r="D24" s="1216"/>
      <c r="E24" s="1216"/>
      <c r="F24" s="1216"/>
      <c r="G24" s="1217"/>
      <c r="H24" s="495"/>
      <c r="I24" s="492"/>
      <c r="J24" s="492"/>
      <c r="K24" s="492"/>
      <c r="L24" s="492">
        <v>0</v>
      </c>
      <c r="M24" s="492">
        <v>0</v>
      </c>
      <c r="N24" s="492">
        <f t="shared" si="2"/>
        <v>0</v>
      </c>
      <c r="O24" s="496">
        <v>0</v>
      </c>
      <c r="P24" s="591">
        <f t="shared" si="3"/>
        <v>0</v>
      </c>
    </row>
    <row r="25" spans="1:18" ht="16.5" customHeight="1" outlineLevel="1">
      <c r="A25" s="489"/>
      <c r="B25" s="497"/>
      <c r="C25" s="1215"/>
      <c r="D25" s="1216"/>
      <c r="E25" s="1216"/>
      <c r="F25" s="1216"/>
      <c r="G25" s="1217"/>
      <c r="H25" s="495"/>
      <c r="I25" s="492"/>
      <c r="J25" s="492"/>
      <c r="K25" s="492"/>
      <c r="L25" s="492">
        <v>0</v>
      </c>
      <c r="M25" s="492">
        <v>0</v>
      </c>
      <c r="N25" s="492">
        <f t="shared" si="2"/>
        <v>0</v>
      </c>
      <c r="O25" s="496">
        <v>0</v>
      </c>
      <c r="P25" s="591">
        <f t="shared" si="3"/>
        <v>0</v>
      </c>
    </row>
    <row r="26" spans="1:18" ht="16.5" customHeight="1" outlineLevel="1">
      <c r="A26" s="498"/>
      <c r="B26" s="497"/>
      <c r="C26" s="1215"/>
      <c r="D26" s="1216"/>
      <c r="E26" s="1216"/>
      <c r="F26" s="1216"/>
      <c r="G26" s="1217"/>
      <c r="H26" s="495"/>
      <c r="I26" s="497"/>
      <c r="J26" s="492"/>
      <c r="K26" s="492"/>
      <c r="L26" s="492">
        <v>0</v>
      </c>
      <c r="M26" s="497">
        <v>0</v>
      </c>
      <c r="N26" s="492">
        <f t="shared" si="2"/>
        <v>0</v>
      </c>
      <c r="O26" s="499">
        <v>0</v>
      </c>
      <c r="P26" s="591">
        <f t="shared" si="3"/>
        <v>0</v>
      </c>
    </row>
    <row r="27" spans="1:18" ht="16.5" customHeight="1" outlineLevel="1">
      <c r="A27" s="500"/>
      <c r="B27" s="497"/>
      <c r="C27" s="1215"/>
      <c r="D27" s="1216"/>
      <c r="E27" s="1216"/>
      <c r="F27" s="1216"/>
      <c r="G27" s="1217"/>
      <c r="H27" s="495"/>
      <c r="I27" s="497"/>
      <c r="J27" s="492"/>
      <c r="K27" s="492"/>
      <c r="L27" s="492">
        <v>0</v>
      </c>
      <c r="M27" s="497">
        <v>0</v>
      </c>
      <c r="N27" s="492">
        <f t="shared" si="2"/>
        <v>0</v>
      </c>
      <c r="O27" s="501">
        <v>0</v>
      </c>
      <c r="P27" s="591">
        <f t="shared" si="3"/>
        <v>0</v>
      </c>
    </row>
    <row r="28" spans="1:18" ht="16.5" customHeight="1" outlineLevel="1" thickBot="1">
      <c r="A28" s="502"/>
      <c r="B28" s="503"/>
      <c r="C28" s="1215"/>
      <c r="D28" s="1216"/>
      <c r="E28" s="1216"/>
      <c r="F28" s="1216"/>
      <c r="G28" s="1217"/>
      <c r="H28" s="504"/>
      <c r="I28" s="503"/>
      <c r="J28" s="505"/>
      <c r="K28" s="492"/>
      <c r="L28" s="492">
        <v>0</v>
      </c>
      <c r="M28" s="503">
        <v>0</v>
      </c>
      <c r="N28" s="492">
        <f t="shared" si="2"/>
        <v>0</v>
      </c>
      <c r="O28" s="506">
        <v>0</v>
      </c>
      <c r="P28" s="591">
        <f t="shared" si="3"/>
        <v>0</v>
      </c>
    </row>
    <row r="29" spans="1:18" ht="16.5" customHeight="1" thickBot="1">
      <c r="A29" s="1218"/>
      <c r="B29" s="1219"/>
      <c r="C29" s="1219"/>
      <c r="D29" s="1219"/>
      <c r="E29" s="1219"/>
      <c r="F29" s="1219"/>
      <c r="G29" s="1219"/>
      <c r="H29" s="1219"/>
      <c r="I29" s="1219"/>
      <c r="J29" s="1219"/>
      <c r="K29" s="1220"/>
      <c r="L29" s="507">
        <f>SUM(L22:L28)</f>
        <v>0</v>
      </c>
      <c r="M29" s="508"/>
      <c r="N29" s="507">
        <f>SUM(N22:N28)</f>
        <v>0</v>
      </c>
      <c r="O29" s="509" t="s">
        <v>726</v>
      </c>
      <c r="P29" s="510">
        <f>SUM(P22:P28)</f>
        <v>0</v>
      </c>
    </row>
    <row r="30" spans="1:18" ht="16.5" customHeight="1">
      <c r="A30" s="474"/>
      <c r="B30" s="474"/>
      <c r="C30" s="474"/>
      <c r="D30" s="474"/>
      <c r="E30" s="408"/>
      <c r="F30" s="474"/>
      <c r="G30" s="474"/>
    </row>
    <row r="31" spans="1:18" ht="16.5" customHeight="1" thickBot="1">
      <c r="A31" s="474"/>
      <c r="B31" s="474"/>
      <c r="C31" s="474"/>
      <c r="D31" s="474"/>
      <c r="E31" s="408"/>
      <c r="F31" s="474"/>
      <c r="G31" s="474"/>
    </row>
    <row r="32" spans="1:18" ht="15.75" thickBot="1">
      <c r="A32" s="1221" t="s">
        <v>654</v>
      </c>
      <c r="B32" s="1222"/>
      <c r="C32" s="1222"/>
      <c r="D32" s="1222"/>
      <c r="E32" s="1222"/>
      <c r="F32" s="1222"/>
      <c r="G32" s="1222"/>
      <c r="H32" s="1222"/>
      <c r="I32" s="1222"/>
      <c r="J32" s="1222"/>
      <c r="K32" s="1222"/>
      <c r="L32" s="1222"/>
      <c r="M32" s="1222"/>
      <c r="N32" s="1222"/>
      <c r="O32" s="1222"/>
      <c r="P32" s="1223"/>
      <c r="Q32" s="511"/>
      <c r="R32" s="511"/>
    </row>
    <row r="33" spans="1:30" ht="30.75" customHeight="1" outlineLevel="1" thickBot="1">
      <c r="A33" s="512" t="s">
        <v>681</v>
      </c>
      <c r="B33" s="483" t="s">
        <v>716</v>
      </c>
      <c r="C33" s="1224" t="s">
        <v>717</v>
      </c>
      <c r="D33" s="1225"/>
      <c r="E33" s="1225"/>
      <c r="F33" s="1225"/>
      <c r="G33" s="1226"/>
      <c r="H33" s="483" t="s">
        <v>727</v>
      </c>
      <c r="I33" s="483" t="s">
        <v>728</v>
      </c>
      <c r="J33" s="483" t="s">
        <v>729</v>
      </c>
      <c r="K33" s="483" t="s">
        <v>722</v>
      </c>
      <c r="L33" s="483" t="s">
        <v>723</v>
      </c>
      <c r="M33" s="483" t="s">
        <v>724</v>
      </c>
      <c r="N33" s="483" t="s">
        <v>730</v>
      </c>
      <c r="O33" s="484" t="s">
        <v>731</v>
      </c>
      <c r="P33" s="513" t="s">
        <v>686</v>
      </c>
    </row>
    <row r="34" spans="1:30" outlineLevel="1">
      <c r="A34" s="514"/>
      <c r="B34" s="515"/>
      <c r="C34" s="1228"/>
      <c r="D34" s="1228"/>
      <c r="E34" s="1228"/>
      <c r="F34" s="1228"/>
      <c r="G34" s="1229"/>
      <c r="H34" s="959"/>
      <c r="I34" s="490"/>
      <c r="J34" s="490">
        <v>0</v>
      </c>
      <c r="K34" s="490">
        <f>A34*J34</f>
        <v>0</v>
      </c>
      <c r="L34" s="490">
        <v>0</v>
      </c>
      <c r="M34" s="490">
        <f>L34*A34</f>
        <v>0</v>
      </c>
      <c r="N34" s="490"/>
      <c r="O34" s="493">
        <v>0</v>
      </c>
      <c r="P34" s="591">
        <f t="shared" ref="P34" si="4">A34*H34*O34</f>
        <v>0</v>
      </c>
    </row>
    <row r="35" spans="1:30" outlineLevel="1">
      <c r="A35" s="489"/>
      <c r="B35" s="516"/>
      <c r="C35" s="1216"/>
      <c r="D35" s="1216"/>
      <c r="E35" s="1216"/>
      <c r="F35" s="1216"/>
      <c r="G35" s="1217"/>
      <c r="H35" s="517"/>
      <c r="I35" s="492"/>
      <c r="J35" s="492">
        <v>0</v>
      </c>
      <c r="K35" s="492">
        <f>A35*J35</f>
        <v>0</v>
      </c>
      <c r="L35" s="492">
        <v>0</v>
      </c>
      <c r="M35" s="492">
        <f>L35*A35</f>
        <v>0</v>
      </c>
      <c r="N35" s="492"/>
      <c r="O35" s="496">
        <v>0</v>
      </c>
      <c r="P35" s="591">
        <f>A35*H35*O35</f>
        <v>0</v>
      </c>
      <c r="Q35" s="518"/>
      <c r="AD35" s="519"/>
    </row>
    <row r="36" spans="1:30" outlineLevel="1">
      <c r="A36" s="489"/>
      <c r="B36" s="516"/>
      <c r="C36" s="1216"/>
      <c r="D36" s="1216"/>
      <c r="E36" s="1216"/>
      <c r="F36" s="1216"/>
      <c r="G36" s="1217"/>
      <c r="H36" s="517"/>
      <c r="I36" s="492"/>
      <c r="J36" s="492">
        <v>0</v>
      </c>
      <c r="K36" s="492">
        <f t="shared" ref="K36:K51" si="5">A36*J36</f>
        <v>0</v>
      </c>
      <c r="L36" s="492">
        <v>0</v>
      </c>
      <c r="M36" s="492">
        <f t="shared" ref="M36:M51" si="6">L36*A36</f>
        <v>0</v>
      </c>
      <c r="N36" s="492"/>
      <c r="O36" s="496">
        <v>0</v>
      </c>
      <c r="P36" s="591">
        <f>A36*H36*O36</f>
        <v>0</v>
      </c>
    </row>
    <row r="37" spans="1:30" outlineLevel="1">
      <c r="A37" s="498"/>
      <c r="B37" s="516"/>
      <c r="C37" s="1216"/>
      <c r="D37" s="1216"/>
      <c r="E37" s="1216"/>
      <c r="F37" s="1216"/>
      <c r="G37" s="1217"/>
      <c r="H37" s="960"/>
      <c r="I37" s="497"/>
      <c r="J37" s="492">
        <v>0</v>
      </c>
      <c r="K37" s="492">
        <f t="shared" si="5"/>
        <v>0</v>
      </c>
      <c r="L37" s="497">
        <v>0</v>
      </c>
      <c r="M37" s="492">
        <f t="shared" si="6"/>
        <v>0</v>
      </c>
      <c r="N37" s="497"/>
      <c r="O37" s="496">
        <v>0</v>
      </c>
      <c r="P37" s="591">
        <f t="shared" ref="P37:P51" si="7">A37*H37*O37</f>
        <v>0</v>
      </c>
      <c r="Q37" s="519"/>
    </row>
    <row r="38" spans="1:30" outlineLevel="1">
      <c r="A38" s="489"/>
      <c r="B38" s="515"/>
      <c r="C38" s="1231"/>
      <c r="D38" s="1231"/>
      <c r="E38" s="1231"/>
      <c r="F38" s="1231"/>
      <c r="G38" s="1232"/>
      <c r="H38" s="960"/>
      <c r="I38" s="497"/>
      <c r="J38" s="492">
        <v>0</v>
      </c>
      <c r="K38" s="492">
        <f t="shared" si="5"/>
        <v>0</v>
      </c>
      <c r="L38" s="497">
        <v>0</v>
      </c>
      <c r="M38" s="492">
        <f>L38*A38</f>
        <v>0</v>
      </c>
      <c r="N38" s="497"/>
      <c r="O38" s="496">
        <v>0</v>
      </c>
      <c r="P38" s="591">
        <f t="shared" si="7"/>
        <v>0</v>
      </c>
    </row>
    <row r="39" spans="1:30" outlineLevel="1">
      <c r="A39" s="489"/>
      <c r="B39" s="516"/>
      <c r="C39" s="1216"/>
      <c r="D39" s="1216"/>
      <c r="E39" s="1216"/>
      <c r="F39" s="1216"/>
      <c r="G39" s="1217"/>
      <c r="H39" s="517"/>
      <c r="I39" s="492"/>
      <c r="J39" s="492">
        <v>0</v>
      </c>
      <c r="K39" s="492">
        <f t="shared" si="5"/>
        <v>0</v>
      </c>
      <c r="L39" s="492">
        <v>0</v>
      </c>
      <c r="M39" s="492">
        <f>L39*A39</f>
        <v>0</v>
      </c>
      <c r="N39" s="492"/>
      <c r="O39" s="496">
        <v>0</v>
      </c>
      <c r="P39" s="591">
        <f t="shared" si="7"/>
        <v>0</v>
      </c>
      <c r="Q39" s="520"/>
    </row>
    <row r="40" spans="1:30" outlineLevel="1">
      <c r="A40" s="489"/>
      <c r="B40" s="516"/>
      <c r="C40" s="1216"/>
      <c r="D40" s="1216"/>
      <c r="E40" s="1216"/>
      <c r="F40" s="1216"/>
      <c r="G40" s="1217"/>
      <c r="H40" s="517"/>
      <c r="I40" s="497"/>
      <c r="J40" s="492">
        <v>0</v>
      </c>
      <c r="K40" s="492">
        <f t="shared" si="5"/>
        <v>0</v>
      </c>
      <c r="L40" s="497">
        <v>0</v>
      </c>
      <c r="M40" s="492">
        <f t="shared" si="6"/>
        <v>0</v>
      </c>
      <c r="N40" s="497"/>
      <c r="O40" s="496">
        <v>0</v>
      </c>
      <c r="P40" s="591">
        <f t="shared" si="7"/>
        <v>0</v>
      </c>
    </row>
    <row r="41" spans="1:30" outlineLevel="1">
      <c r="A41" s="498"/>
      <c r="B41" s="516"/>
      <c r="C41" s="1216"/>
      <c r="D41" s="1216"/>
      <c r="E41" s="1216"/>
      <c r="F41" s="1216"/>
      <c r="G41" s="1217"/>
      <c r="H41" s="517"/>
      <c r="I41" s="497"/>
      <c r="J41" s="492">
        <v>0</v>
      </c>
      <c r="K41" s="492">
        <f t="shared" si="5"/>
        <v>0</v>
      </c>
      <c r="L41" s="497">
        <v>0</v>
      </c>
      <c r="M41" s="492">
        <f t="shared" si="6"/>
        <v>0</v>
      </c>
      <c r="N41" s="497"/>
      <c r="O41" s="496">
        <v>0</v>
      </c>
      <c r="P41" s="591">
        <f t="shared" si="7"/>
        <v>0</v>
      </c>
    </row>
    <row r="42" spans="1:30" outlineLevel="1">
      <c r="A42" s="489"/>
      <c r="B42" s="516"/>
      <c r="C42" s="1216"/>
      <c r="D42" s="1216"/>
      <c r="E42" s="1216"/>
      <c r="F42" s="1216"/>
      <c r="G42" s="1217"/>
      <c r="H42" s="960"/>
      <c r="I42" s="497"/>
      <c r="J42" s="492">
        <v>0</v>
      </c>
      <c r="K42" s="492">
        <f t="shared" si="5"/>
        <v>0</v>
      </c>
      <c r="L42" s="497">
        <v>0</v>
      </c>
      <c r="M42" s="492">
        <f t="shared" si="6"/>
        <v>0</v>
      </c>
      <c r="N42" s="497"/>
      <c r="O42" s="496">
        <v>0</v>
      </c>
      <c r="P42" s="591">
        <f t="shared" si="7"/>
        <v>0</v>
      </c>
      <c r="Q42" s="520"/>
    </row>
    <row r="43" spans="1:30" outlineLevel="1">
      <c r="A43" s="489"/>
      <c r="B43" s="516"/>
      <c r="C43" s="1216"/>
      <c r="D43" s="1216"/>
      <c r="E43" s="1216"/>
      <c r="F43" s="1216"/>
      <c r="G43" s="1217"/>
      <c r="H43" s="517"/>
      <c r="I43" s="497"/>
      <c r="J43" s="492">
        <v>0</v>
      </c>
      <c r="K43" s="492">
        <f t="shared" si="5"/>
        <v>0</v>
      </c>
      <c r="L43" s="497">
        <v>0</v>
      </c>
      <c r="M43" s="492">
        <f t="shared" si="6"/>
        <v>0</v>
      </c>
      <c r="N43" s="497"/>
      <c r="O43" s="496">
        <v>0</v>
      </c>
      <c r="P43" s="591">
        <f t="shared" si="7"/>
        <v>0</v>
      </c>
    </row>
    <row r="44" spans="1:30" outlineLevel="1">
      <c r="A44" s="498"/>
      <c r="B44" s="516"/>
      <c r="C44" s="1216"/>
      <c r="D44" s="1216"/>
      <c r="E44" s="1216"/>
      <c r="F44" s="1216"/>
      <c r="G44" s="1217"/>
      <c r="H44" s="517"/>
      <c r="I44" s="497"/>
      <c r="J44" s="492">
        <v>0</v>
      </c>
      <c r="K44" s="492">
        <f t="shared" si="5"/>
        <v>0</v>
      </c>
      <c r="L44" s="497">
        <v>0</v>
      </c>
      <c r="M44" s="492">
        <f t="shared" si="6"/>
        <v>0</v>
      </c>
      <c r="N44" s="497"/>
      <c r="O44" s="496">
        <v>0</v>
      </c>
      <c r="P44" s="591">
        <f t="shared" si="7"/>
        <v>0</v>
      </c>
    </row>
    <row r="45" spans="1:30" outlineLevel="1">
      <c r="A45" s="489"/>
      <c r="B45" s="516"/>
      <c r="C45" s="1216"/>
      <c r="D45" s="1216"/>
      <c r="E45" s="1216"/>
      <c r="F45" s="1216"/>
      <c r="G45" s="1217"/>
      <c r="H45" s="960"/>
      <c r="I45" s="497"/>
      <c r="J45" s="492">
        <v>0</v>
      </c>
      <c r="K45" s="492">
        <f t="shared" si="5"/>
        <v>0</v>
      </c>
      <c r="L45" s="497">
        <v>0</v>
      </c>
      <c r="M45" s="492">
        <f t="shared" si="6"/>
        <v>0</v>
      </c>
      <c r="N45" s="497"/>
      <c r="O45" s="496">
        <v>0</v>
      </c>
      <c r="P45" s="591">
        <f t="shared" si="7"/>
        <v>0</v>
      </c>
      <c r="Q45" s="520"/>
    </row>
    <row r="46" spans="1:30" outlineLevel="1">
      <c r="A46" s="498"/>
      <c r="B46" s="516"/>
      <c r="C46" s="1216"/>
      <c r="D46" s="1216"/>
      <c r="E46" s="1216"/>
      <c r="F46" s="1216"/>
      <c r="G46" s="1217"/>
      <c r="H46" s="960"/>
      <c r="I46" s="497"/>
      <c r="J46" s="492">
        <v>0</v>
      </c>
      <c r="K46" s="492">
        <f t="shared" si="5"/>
        <v>0</v>
      </c>
      <c r="L46" s="497">
        <v>0</v>
      </c>
      <c r="M46" s="492">
        <f t="shared" si="6"/>
        <v>0</v>
      </c>
      <c r="N46" s="497"/>
      <c r="O46" s="496">
        <v>0</v>
      </c>
      <c r="P46" s="591">
        <f t="shared" si="7"/>
        <v>0</v>
      </c>
    </row>
    <row r="47" spans="1:30" outlineLevel="1">
      <c r="A47" s="498"/>
      <c r="B47" s="516"/>
      <c r="C47" s="1216"/>
      <c r="D47" s="1216"/>
      <c r="E47" s="1216"/>
      <c r="F47" s="1216"/>
      <c r="G47" s="1217"/>
      <c r="H47" s="960"/>
      <c r="I47" s="497"/>
      <c r="J47" s="492">
        <v>0</v>
      </c>
      <c r="K47" s="492">
        <f t="shared" si="5"/>
        <v>0</v>
      </c>
      <c r="L47" s="497">
        <v>0</v>
      </c>
      <c r="M47" s="492">
        <f t="shared" si="6"/>
        <v>0</v>
      </c>
      <c r="N47" s="497"/>
      <c r="O47" s="496">
        <v>0</v>
      </c>
      <c r="P47" s="591">
        <f t="shared" si="7"/>
        <v>0</v>
      </c>
    </row>
    <row r="48" spans="1:30" outlineLevel="1">
      <c r="A48" s="498"/>
      <c r="B48" s="516"/>
      <c r="C48" s="1216"/>
      <c r="D48" s="1216"/>
      <c r="E48" s="1216"/>
      <c r="F48" s="1216"/>
      <c r="G48" s="1217"/>
      <c r="H48" s="960"/>
      <c r="I48" s="497"/>
      <c r="J48" s="492">
        <v>0</v>
      </c>
      <c r="K48" s="492">
        <f t="shared" si="5"/>
        <v>0</v>
      </c>
      <c r="L48" s="497">
        <v>0</v>
      </c>
      <c r="M48" s="492">
        <f t="shared" si="6"/>
        <v>0</v>
      </c>
      <c r="N48" s="497"/>
      <c r="O48" s="496">
        <v>0</v>
      </c>
      <c r="P48" s="591">
        <f t="shared" si="7"/>
        <v>0</v>
      </c>
    </row>
    <row r="49" spans="1:18" outlineLevel="1">
      <c r="A49" s="498"/>
      <c r="B49" s="516"/>
      <c r="C49" s="1216"/>
      <c r="D49" s="1216"/>
      <c r="E49" s="1216"/>
      <c r="F49" s="1216"/>
      <c r="G49" s="1217"/>
      <c r="H49" s="960"/>
      <c r="I49" s="497"/>
      <c r="J49" s="492">
        <v>0</v>
      </c>
      <c r="K49" s="492">
        <f t="shared" si="5"/>
        <v>0</v>
      </c>
      <c r="L49" s="497">
        <v>0</v>
      </c>
      <c r="M49" s="492">
        <f t="shared" si="6"/>
        <v>0</v>
      </c>
      <c r="N49" s="497"/>
      <c r="O49" s="496">
        <v>0</v>
      </c>
      <c r="P49" s="591">
        <f t="shared" si="7"/>
        <v>0</v>
      </c>
    </row>
    <row r="50" spans="1:18" outlineLevel="1">
      <c r="A50" s="489"/>
      <c r="B50" s="516"/>
      <c r="C50" s="1216"/>
      <c r="D50" s="1216"/>
      <c r="E50" s="1216"/>
      <c r="F50" s="1216"/>
      <c r="G50" s="1217"/>
      <c r="H50" s="517"/>
      <c r="I50" s="497"/>
      <c r="J50" s="492">
        <v>0</v>
      </c>
      <c r="K50" s="492">
        <f t="shared" si="5"/>
        <v>0</v>
      </c>
      <c r="L50" s="497">
        <v>0</v>
      </c>
      <c r="M50" s="492">
        <f t="shared" si="6"/>
        <v>0</v>
      </c>
      <c r="N50" s="497"/>
      <c r="O50" s="496">
        <f>H50*3.5</f>
        <v>0</v>
      </c>
      <c r="P50" s="591">
        <f t="shared" si="7"/>
        <v>0</v>
      </c>
    </row>
    <row r="51" spans="1:18" ht="15.75" outlineLevel="1" thickBot="1">
      <c r="A51" s="502"/>
      <c r="B51" s="522"/>
      <c r="C51" s="1235"/>
      <c r="D51" s="1235"/>
      <c r="E51" s="1235"/>
      <c r="F51" s="1235"/>
      <c r="G51" s="1236"/>
      <c r="H51" s="961"/>
      <c r="I51" s="523"/>
      <c r="J51" s="492">
        <v>0</v>
      </c>
      <c r="K51" s="492">
        <f t="shared" si="5"/>
        <v>0</v>
      </c>
      <c r="L51" s="503">
        <v>0</v>
      </c>
      <c r="M51" s="524">
        <f t="shared" si="6"/>
        <v>0</v>
      </c>
      <c r="N51" s="523"/>
      <c r="O51" s="506">
        <v>0</v>
      </c>
      <c r="P51" s="592">
        <f t="shared" si="7"/>
        <v>0</v>
      </c>
    </row>
    <row r="52" spans="1:18" ht="15.75" thickBot="1">
      <c r="A52" s="1218"/>
      <c r="B52" s="1230"/>
      <c r="C52" s="1219"/>
      <c r="D52" s="1219"/>
      <c r="E52" s="1219"/>
      <c r="F52" s="1219"/>
      <c r="G52" s="1219"/>
      <c r="H52" s="1219"/>
      <c r="I52" s="1219"/>
      <c r="J52" s="1220"/>
      <c r="K52" s="507">
        <f>SUM(K34:K51)</f>
        <v>0</v>
      </c>
      <c r="L52" s="525"/>
      <c r="M52" s="507">
        <f>SUM(M34:M51)</f>
        <v>0</v>
      </c>
      <c r="N52" s="1233" t="s">
        <v>732</v>
      </c>
      <c r="O52" s="1234"/>
      <c r="P52" s="510">
        <f>SUM(P34:P51)</f>
        <v>0</v>
      </c>
    </row>
    <row r="53" spans="1:18">
      <c r="A53" s="433"/>
    </row>
    <row r="54" spans="1:18" ht="15.75" thickBot="1"/>
    <row r="55" spans="1:18" ht="15.75" customHeight="1" thickBot="1">
      <c r="A55" s="1221" t="s">
        <v>656</v>
      </c>
      <c r="B55" s="1222"/>
      <c r="C55" s="1222"/>
      <c r="D55" s="1222"/>
      <c r="E55" s="1222"/>
      <c r="F55" s="1222"/>
      <c r="G55" s="1222"/>
      <c r="H55" s="1222"/>
      <c r="I55" s="1222"/>
      <c r="J55" s="1222"/>
      <c r="K55" s="1222"/>
      <c r="L55" s="1222"/>
      <c r="M55" s="1222"/>
      <c r="N55" s="1222"/>
      <c r="O55" s="1222"/>
      <c r="P55" s="1223"/>
      <c r="Q55" s="511"/>
      <c r="R55" s="511"/>
    </row>
    <row r="56" spans="1:18" ht="45" customHeight="1" outlineLevel="1" thickBot="1">
      <c r="A56" s="512" t="s">
        <v>681</v>
      </c>
      <c r="B56" s="483" t="s">
        <v>716</v>
      </c>
      <c r="C56" s="1237" t="s">
        <v>419</v>
      </c>
      <c r="D56" s="1238"/>
      <c r="E56" s="1238"/>
      <c r="F56" s="1238"/>
      <c r="G56" s="1239"/>
      <c r="H56" s="483" t="s">
        <v>727</v>
      </c>
      <c r="I56" s="483" t="s">
        <v>728</v>
      </c>
      <c r="J56" s="483" t="s">
        <v>729</v>
      </c>
      <c r="K56" s="483" t="s">
        <v>722</v>
      </c>
      <c r="L56" s="483" t="s">
        <v>723</v>
      </c>
      <c r="M56" s="483" t="s">
        <v>724</v>
      </c>
      <c r="N56" s="483" t="s">
        <v>730</v>
      </c>
      <c r="O56" s="483" t="s">
        <v>731</v>
      </c>
      <c r="P56" s="488" t="s">
        <v>686</v>
      </c>
    </row>
    <row r="57" spans="1:18" outlineLevel="1">
      <c r="A57" s="489"/>
      <c r="B57" s="515"/>
      <c r="C57" s="1227"/>
      <c r="D57" s="1228"/>
      <c r="E57" s="1228"/>
      <c r="F57" s="1228"/>
      <c r="G57" s="1229"/>
      <c r="H57" s="517"/>
      <c r="I57" s="492"/>
      <c r="J57" s="492">
        <v>0</v>
      </c>
      <c r="K57" s="492">
        <f>J57*A57</f>
        <v>0</v>
      </c>
      <c r="L57" s="492">
        <v>0</v>
      </c>
      <c r="M57" s="492">
        <f>L57*A57</f>
        <v>0</v>
      </c>
      <c r="N57" s="492"/>
      <c r="O57" s="501">
        <v>0</v>
      </c>
      <c r="P57" s="591">
        <f t="shared" ref="P57:P63" si="8">A57*H57*O57</f>
        <v>0</v>
      </c>
    </row>
    <row r="58" spans="1:18" outlineLevel="1">
      <c r="A58" s="489"/>
      <c r="B58" s="516"/>
      <c r="C58" s="1215"/>
      <c r="D58" s="1216"/>
      <c r="E58" s="1216"/>
      <c r="F58" s="1216"/>
      <c r="G58" s="1217"/>
      <c r="H58" s="517"/>
      <c r="I58" s="492"/>
      <c r="J58" s="492">
        <v>0</v>
      </c>
      <c r="K58" s="492">
        <f t="shared" ref="K58:K63" si="9">J58*A58</f>
        <v>0</v>
      </c>
      <c r="L58" s="492">
        <v>0</v>
      </c>
      <c r="M58" s="492">
        <f>L58*A58</f>
        <v>0</v>
      </c>
      <c r="N58" s="492"/>
      <c r="O58" s="501">
        <v>0</v>
      </c>
      <c r="P58" s="591">
        <f t="shared" si="8"/>
        <v>0</v>
      </c>
    </row>
    <row r="59" spans="1:18" outlineLevel="1">
      <c r="A59" s="489"/>
      <c r="B59" s="516"/>
      <c r="C59" s="1215"/>
      <c r="D59" s="1216"/>
      <c r="E59" s="1216"/>
      <c r="F59" s="1216"/>
      <c r="G59" s="1217"/>
      <c r="H59" s="517"/>
      <c r="I59" s="492"/>
      <c r="J59" s="492">
        <v>0</v>
      </c>
      <c r="K59" s="492">
        <f t="shared" si="9"/>
        <v>0</v>
      </c>
      <c r="L59" s="492">
        <v>0</v>
      </c>
      <c r="M59" s="492">
        <f t="shared" ref="M59:M63" si="10">L59*A59</f>
        <v>0</v>
      </c>
      <c r="N59" s="492"/>
      <c r="O59" s="501">
        <v>0</v>
      </c>
      <c r="P59" s="591">
        <f t="shared" si="8"/>
        <v>0</v>
      </c>
    </row>
    <row r="60" spans="1:18" outlineLevel="1">
      <c r="A60" s="489"/>
      <c r="B60" s="516"/>
      <c r="C60" s="1215"/>
      <c r="D60" s="1216"/>
      <c r="E60" s="1216"/>
      <c r="F60" s="1216"/>
      <c r="G60" s="1217"/>
      <c r="H60" s="517"/>
      <c r="I60" s="492"/>
      <c r="J60" s="492">
        <v>0</v>
      </c>
      <c r="K60" s="492">
        <f t="shared" si="9"/>
        <v>0</v>
      </c>
      <c r="L60" s="492">
        <v>0</v>
      </c>
      <c r="M60" s="492">
        <f t="shared" si="10"/>
        <v>0</v>
      </c>
      <c r="N60" s="492"/>
      <c r="O60" s="501">
        <v>0</v>
      </c>
      <c r="P60" s="591">
        <f t="shared" si="8"/>
        <v>0</v>
      </c>
    </row>
    <row r="61" spans="1:18" outlineLevel="1">
      <c r="A61" s="498"/>
      <c r="B61" s="515"/>
      <c r="C61" s="1215"/>
      <c r="D61" s="1216"/>
      <c r="E61" s="1216"/>
      <c r="F61" s="1216"/>
      <c r="G61" s="1217"/>
      <c r="H61" s="962"/>
      <c r="I61" s="526"/>
      <c r="J61" s="492">
        <v>0</v>
      </c>
      <c r="K61" s="492">
        <f t="shared" si="9"/>
        <v>0</v>
      </c>
      <c r="L61" s="497">
        <v>0</v>
      </c>
      <c r="M61" s="492">
        <f t="shared" si="10"/>
        <v>0</v>
      </c>
      <c r="N61" s="526"/>
      <c r="O61" s="501">
        <v>0</v>
      </c>
      <c r="P61" s="591">
        <f t="shared" si="8"/>
        <v>0</v>
      </c>
    </row>
    <row r="62" spans="1:18" outlineLevel="1">
      <c r="A62" s="500"/>
      <c r="B62" s="516"/>
      <c r="C62" s="1215"/>
      <c r="D62" s="1216"/>
      <c r="E62" s="1216"/>
      <c r="F62" s="1216"/>
      <c r="G62" s="1217"/>
      <c r="H62" s="962"/>
      <c r="I62" s="526"/>
      <c r="J62" s="492">
        <v>0</v>
      </c>
      <c r="K62" s="492">
        <f t="shared" si="9"/>
        <v>0</v>
      </c>
      <c r="L62" s="497">
        <v>0</v>
      </c>
      <c r="M62" s="492">
        <f t="shared" si="10"/>
        <v>0</v>
      </c>
      <c r="N62" s="526"/>
      <c r="O62" s="501">
        <v>0</v>
      </c>
      <c r="P62" s="591">
        <f t="shared" si="8"/>
        <v>0</v>
      </c>
    </row>
    <row r="63" spans="1:18" ht="15.75" customHeight="1" outlineLevel="1" thickBot="1">
      <c r="A63" s="502"/>
      <c r="B63" s="516"/>
      <c r="C63" s="1215"/>
      <c r="D63" s="1216"/>
      <c r="E63" s="1216"/>
      <c r="F63" s="1216"/>
      <c r="G63" s="1217"/>
      <c r="H63" s="963"/>
      <c r="I63" s="523"/>
      <c r="J63" s="492">
        <v>0</v>
      </c>
      <c r="K63" s="492">
        <f t="shared" si="9"/>
        <v>0</v>
      </c>
      <c r="L63" s="503">
        <v>0</v>
      </c>
      <c r="M63" s="492">
        <f t="shared" si="10"/>
        <v>0</v>
      </c>
      <c r="N63" s="523"/>
      <c r="O63" s="506">
        <v>0</v>
      </c>
      <c r="P63" s="591">
        <f t="shared" si="8"/>
        <v>0</v>
      </c>
    </row>
    <row r="64" spans="1:18" ht="15.75" thickBot="1">
      <c r="A64" s="1218"/>
      <c r="B64" s="1219"/>
      <c r="C64" s="1219"/>
      <c r="D64" s="1219"/>
      <c r="E64" s="1219"/>
      <c r="F64" s="1219"/>
      <c r="G64" s="1219"/>
      <c r="H64" s="1219"/>
      <c r="I64" s="1219"/>
      <c r="J64" s="1220"/>
      <c r="K64" s="507">
        <f>SUM(K57:K63)</f>
        <v>0</v>
      </c>
      <c r="L64" s="525"/>
      <c r="M64" s="507">
        <f>SUM(M57:M63)</f>
        <v>0</v>
      </c>
      <c r="N64" s="1233" t="s">
        <v>733</v>
      </c>
      <c r="O64" s="1234"/>
      <c r="P64" s="510">
        <f>SUM(P57:P63)</f>
        <v>0</v>
      </c>
    </row>
    <row r="65" spans="1:18" ht="15.75" thickBot="1"/>
    <row r="66" spans="1:18" ht="15.75" customHeight="1" thickBot="1">
      <c r="A66" s="1221" t="s">
        <v>658</v>
      </c>
      <c r="B66" s="1222"/>
      <c r="C66" s="1222"/>
      <c r="D66" s="1222"/>
      <c r="E66" s="1222"/>
      <c r="F66" s="1222"/>
      <c r="G66" s="1222"/>
      <c r="H66" s="1222"/>
      <c r="I66" s="1222"/>
      <c r="J66" s="1222"/>
      <c r="K66" s="1222"/>
      <c r="L66" s="1222"/>
      <c r="M66" s="1222"/>
      <c r="N66" s="1222"/>
      <c r="O66" s="1222"/>
      <c r="P66" s="1223"/>
      <c r="Q66" s="511"/>
      <c r="R66" s="511"/>
    </row>
    <row r="67" spans="1:18" ht="30.75" outlineLevel="1" thickBot="1">
      <c r="A67" s="482" t="s">
        <v>715</v>
      </c>
      <c r="B67" s="483" t="s">
        <v>716</v>
      </c>
      <c r="C67" s="1224" t="s">
        <v>717</v>
      </c>
      <c r="D67" s="1225"/>
      <c r="E67" s="1225"/>
      <c r="F67" s="1225"/>
      <c r="G67" s="1226"/>
      <c r="H67" s="485" t="s">
        <v>718</v>
      </c>
      <c r="I67" s="486" t="s">
        <v>719</v>
      </c>
      <c r="J67" s="486" t="s">
        <v>720</v>
      </c>
      <c r="K67" s="483" t="s">
        <v>721</v>
      </c>
      <c r="L67" s="483" t="s">
        <v>722</v>
      </c>
      <c r="M67" s="483" t="s">
        <v>723</v>
      </c>
      <c r="N67" s="483" t="s">
        <v>724</v>
      </c>
      <c r="O67" s="487" t="s">
        <v>725</v>
      </c>
      <c r="P67" s="488" t="s">
        <v>686</v>
      </c>
    </row>
    <row r="68" spans="1:18" outlineLevel="1">
      <c r="A68" s="489"/>
      <c r="B68" s="490"/>
      <c r="C68" s="1227"/>
      <c r="D68" s="1228"/>
      <c r="E68" s="1228"/>
      <c r="F68" s="1228"/>
      <c r="G68" s="1229"/>
      <c r="H68" s="527"/>
      <c r="I68" s="492"/>
      <c r="J68" s="492"/>
      <c r="K68" s="492"/>
      <c r="L68" s="492">
        <v>0</v>
      </c>
      <c r="M68" s="492">
        <v>0</v>
      </c>
      <c r="N68" s="492">
        <f t="shared" ref="N68:N74" si="11">M68*A68</f>
        <v>0</v>
      </c>
      <c r="O68" s="493">
        <v>0</v>
      </c>
      <c r="P68" s="591">
        <f t="shared" ref="P68:P74" si="12">O68*A68</f>
        <v>0</v>
      </c>
    </row>
    <row r="69" spans="1:18" outlineLevel="1">
      <c r="A69" s="489"/>
      <c r="B69" s="494"/>
      <c r="C69" s="1215"/>
      <c r="D69" s="1216"/>
      <c r="E69" s="1216"/>
      <c r="F69" s="1216"/>
      <c r="G69" s="1217"/>
      <c r="H69" s="528"/>
      <c r="I69" s="492"/>
      <c r="J69" s="492"/>
      <c r="K69" s="492"/>
      <c r="L69" s="492">
        <v>0</v>
      </c>
      <c r="M69" s="492">
        <v>0</v>
      </c>
      <c r="N69" s="492">
        <f t="shared" si="11"/>
        <v>0</v>
      </c>
      <c r="O69" s="496">
        <v>0</v>
      </c>
      <c r="P69" s="591">
        <f t="shared" si="12"/>
        <v>0</v>
      </c>
    </row>
    <row r="70" spans="1:18" outlineLevel="1">
      <c r="A70" s="489"/>
      <c r="B70" s="497"/>
      <c r="C70" s="1215"/>
      <c r="D70" s="1216"/>
      <c r="E70" s="1216"/>
      <c r="F70" s="1216"/>
      <c r="G70" s="1217"/>
      <c r="H70" s="528"/>
      <c r="I70" s="492"/>
      <c r="J70" s="492"/>
      <c r="K70" s="492"/>
      <c r="L70" s="492">
        <v>0</v>
      </c>
      <c r="M70" s="492">
        <v>0</v>
      </c>
      <c r="N70" s="492">
        <f t="shared" si="11"/>
        <v>0</v>
      </c>
      <c r="O70" s="496">
        <v>0</v>
      </c>
      <c r="P70" s="591">
        <f t="shared" si="12"/>
        <v>0</v>
      </c>
    </row>
    <row r="71" spans="1:18" outlineLevel="1">
      <c r="A71" s="489"/>
      <c r="B71" s="497"/>
      <c r="C71" s="1215"/>
      <c r="D71" s="1216"/>
      <c r="E71" s="1216"/>
      <c r="F71" s="1216"/>
      <c r="G71" s="1217"/>
      <c r="H71" s="528"/>
      <c r="I71" s="492"/>
      <c r="J71" s="492"/>
      <c r="K71" s="492"/>
      <c r="L71" s="492">
        <v>0</v>
      </c>
      <c r="M71" s="492">
        <v>0</v>
      </c>
      <c r="N71" s="492">
        <f t="shared" si="11"/>
        <v>0</v>
      </c>
      <c r="O71" s="496">
        <v>0</v>
      </c>
      <c r="P71" s="591">
        <f t="shared" si="12"/>
        <v>0</v>
      </c>
    </row>
    <row r="72" spans="1:18" outlineLevel="1">
      <c r="A72" s="498"/>
      <c r="B72" s="497"/>
      <c r="C72" s="1215"/>
      <c r="D72" s="1216"/>
      <c r="E72" s="1216"/>
      <c r="F72" s="1216"/>
      <c r="G72" s="1217"/>
      <c r="H72" s="528"/>
      <c r="I72" s="497"/>
      <c r="J72" s="492"/>
      <c r="K72" s="492"/>
      <c r="L72" s="492">
        <v>0</v>
      </c>
      <c r="M72" s="497">
        <v>0</v>
      </c>
      <c r="N72" s="492">
        <f t="shared" si="11"/>
        <v>0</v>
      </c>
      <c r="O72" s="499">
        <v>0</v>
      </c>
      <c r="P72" s="591">
        <f t="shared" si="12"/>
        <v>0</v>
      </c>
    </row>
    <row r="73" spans="1:18" outlineLevel="1">
      <c r="A73" s="500"/>
      <c r="B73" s="497"/>
      <c r="C73" s="1215"/>
      <c r="D73" s="1216"/>
      <c r="E73" s="1216"/>
      <c r="F73" s="1216"/>
      <c r="G73" s="1217"/>
      <c r="H73" s="528"/>
      <c r="I73" s="497"/>
      <c r="J73" s="492"/>
      <c r="K73" s="492"/>
      <c r="L73" s="492">
        <v>0</v>
      </c>
      <c r="M73" s="497">
        <v>0</v>
      </c>
      <c r="N73" s="492">
        <f t="shared" si="11"/>
        <v>0</v>
      </c>
      <c r="O73" s="501">
        <v>0</v>
      </c>
      <c r="P73" s="591">
        <f t="shared" si="12"/>
        <v>0</v>
      </c>
    </row>
    <row r="74" spans="1:18" ht="15.75" customHeight="1" outlineLevel="1" thickBot="1">
      <c r="A74" s="502"/>
      <c r="B74" s="503"/>
      <c r="C74" s="1215"/>
      <c r="D74" s="1216"/>
      <c r="E74" s="1216"/>
      <c r="F74" s="1216"/>
      <c r="G74" s="1217"/>
      <c r="H74" s="529"/>
      <c r="I74" s="503"/>
      <c r="J74" s="505"/>
      <c r="K74" s="492"/>
      <c r="L74" s="492">
        <v>0</v>
      </c>
      <c r="M74" s="503">
        <v>0</v>
      </c>
      <c r="N74" s="492">
        <f t="shared" si="11"/>
        <v>0</v>
      </c>
      <c r="O74" s="506">
        <v>0</v>
      </c>
      <c r="P74" s="591">
        <f t="shared" si="12"/>
        <v>0</v>
      </c>
    </row>
    <row r="75" spans="1:18" ht="30.75" thickBot="1">
      <c r="A75" s="1218"/>
      <c r="B75" s="1219"/>
      <c r="C75" s="1219"/>
      <c r="D75" s="1219"/>
      <c r="E75" s="1219"/>
      <c r="F75" s="1219"/>
      <c r="G75" s="1219"/>
      <c r="H75" s="1219"/>
      <c r="I75" s="1219"/>
      <c r="J75" s="1219"/>
      <c r="K75" s="1220"/>
      <c r="L75" s="507">
        <f>SUM(L68:L74)</f>
        <v>0</v>
      </c>
      <c r="M75" s="508"/>
      <c r="N75" s="507">
        <f>SUM(N68:N74)</f>
        <v>0</v>
      </c>
      <c r="O75" s="509" t="s">
        <v>734</v>
      </c>
      <c r="P75" s="510">
        <f>SUM(P68:P74)</f>
        <v>0</v>
      </c>
    </row>
    <row r="77" spans="1:18" ht="15" customHeight="1" thickBot="1"/>
    <row r="78" spans="1:18" ht="15" customHeight="1" thickBot="1">
      <c r="A78" s="1221" t="s">
        <v>660</v>
      </c>
      <c r="B78" s="1222"/>
      <c r="C78" s="1222"/>
      <c r="D78" s="1222"/>
      <c r="E78" s="1222"/>
      <c r="F78" s="1222"/>
      <c r="G78" s="1222"/>
      <c r="H78" s="1222"/>
      <c r="I78" s="1222"/>
      <c r="J78" s="1222"/>
      <c r="K78" s="1222"/>
      <c r="L78" s="1222"/>
      <c r="M78" s="1222"/>
      <c r="N78" s="1222"/>
      <c r="O78" s="1222"/>
      <c r="P78" s="1223"/>
      <c r="Q78" s="511"/>
      <c r="R78" s="511"/>
    </row>
    <row r="79" spans="1:18" ht="30.75" outlineLevel="1" thickBot="1">
      <c r="A79" s="482" t="s">
        <v>715</v>
      </c>
      <c r="B79" s="483" t="s">
        <v>716</v>
      </c>
      <c r="C79" s="1224" t="s">
        <v>717</v>
      </c>
      <c r="D79" s="1225"/>
      <c r="E79" s="1225"/>
      <c r="F79" s="1225"/>
      <c r="G79" s="1226"/>
      <c r="H79" s="485" t="s">
        <v>718</v>
      </c>
      <c r="I79" s="486" t="s">
        <v>719</v>
      </c>
      <c r="J79" s="486" t="s">
        <v>720</v>
      </c>
      <c r="K79" s="483" t="s">
        <v>721</v>
      </c>
      <c r="L79" s="483" t="s">
        <v>722</v>
      </c>
      <c r="M79" s="483" t="s">
        <v>723</v>
      </c>
      <c r="N79" s="483" t="s">
        <v>724</v>
      </c>
      <c r="O79" s="487" t="s">
        <v>725</v>
      </c>
      <c r="P79" s="488" t="s">
        <v>686</v>
      </c>
    </row>
    <row r="80" spans="1:18" ht="15" customHeight="1" outlineLevel="1">
      <c r="A80" s="530"/>
      <c r="B80" s="531"/>
      <c r="C80" s="1240"/>
      <c r="D80" s="1241"/>
      <c r="E80" s="1241"/>
      <c r="F80" s="1241"/>
      <c r="G80" s="1242"/>
      <c r="H80" s="981"/>
      <c r="I80" s="532"/>
      <c r="J80" s="537"/>
      <c r="K80" s="532"/>
      <c r="L80" s="532">
        <v>0</v>
      </c>
      <c r="M80" s="532">
        <v>0</v>
      </c>
      <c r="N80" s="532">
        <f t="shared" ref="N80:N106" si="13">M80*A80</f>
        <v>0</v>
      </c>
      <c r="O80" s="533">
        <v>0</v>
      </c>
      <c r="P80" s="591">
        <f t="shared" ref="P80:P106" si="14">O80*A80</f>
        <v>0</v>
      </c>
    </row>
    <row r="81" spans="1:18" ht="15" customHeight="1" outlineLevel="1">
      <c r="A81" s="534"/>
      <c r="B81" s="531"/>
      <c r="C81" s="1215"/>
      <c r="D81" s="1216"/>
      <c r="E81" s="1216"/>
      <c r="F81" s="1216"/>
      <c r="G81" s="1217"/>
      <c r="H81" s="495"/>
      <c r="I81" s="541"/>
      <c r="J81" s="536"/>
      <c r="K81" s="537"/>
      <c r="L81" s="532">
        <v>0</v>
      </c>
      <c r="M81" s="532">
        <v>0</v>
      </c>
      <c r="N81" s="532">
        <f t="shared" si="13"/>
        <v>0</v>
      </c>
      <c r="O81" s="538">
        <v>0</v>
      </c>
      <c r="P81" s="591">
        <f t="shared" si="14"/>
        <v>0</v>
      </c>
    </row>
    <row r="82" spans="1:18" ht="15" customHeight="1" outlineLevel="1">
      <c r="A82" s="539"/>
      <c r="B82" s="531"/>
      <c r="C82" s="1215"/>
      <c r="D82" s="1216"/>
      <c r="E82" s="1216"/>
      <c r="F82" s="1216"/>
      <c r="G82" s="1217"/>
      <c r="H82" s="495"/>
      <c r="I82" s="541"/>
      <c r="J82" s="536"/>
      <c r="K82" s="532"/>
      <c r="L82" s="532">
        <v>0</v>
      </c>
      <c r="M82" s="532">
        <v>0</v>
      </c>
      <c r="N82" s="532">
        <f t="shared" ref="N82:N87" si="15">M82*A82</f>
        <v>0</v>
      </c>
      <c r="O82" s="538">
        <v>0</v>
      </c>
      <c r="P82" s="591">
        <f>O82*A82</f>
        <v>0</v>
      </c>
      <c r="Q82" s="520"/>
    </row>
    <row r="83" spans="1:18" ht="15" customHeight="1" outlineLevel="1">
      <c r="A83" s="540"/>
      <c r="B83" s="531"/>
      <c r="C83" s="1215"/>
      <c r="D83" s="1216"/>
      <c r="E83" s="1216"/>
      <c r="F83" s="1216"/>
      <c r="G83" s="1217"/>
      <c r="H83" s="495"/>
      <c r="I83" s="541"/>
      <c r="J83" s="536"/>
      <c r="K83" s="494"/>
      <c r="L83" s="532">
        <v>0</v>
      </c>
      <c r="M83" s="532">
        <v>0</v>
      </c>
      <c r="N83" s="532">
        <f t="shared" si="15"/>
        <v>0</v>
      </c>
      <c r="O83" s="538">
        <v>0</v>
      </c>
      <c r="P83" s="591">
        <f t="shared" si="14"/>
        <v>0</v>
      </c>
    </row>
    <row r="84" spans="1:18" ht="15" customHeight="1" outlineLevel="1">
      <c r="A84" s="534"/>
      <c r="B84" s="542"/>
      <c r="C84" s="1215"/>
      <c r="D84" s="1216"/>
      <c r="E84" s="1216"/>
      <c r="F84" s="1216"/>
      <c r="G84" s="1217"/>
      <c r="H84" s="495"/>
      <c r="I84" s="494"/>
      <c r="J84" s="536"/>
      <c r="K84" s="532"/>
      <c r="L84" s="532">
        <v>0</v>
      </c>
      <c r="M84" s="532">
        <v>0</v>
      </c>
      <c r="N84" s="532">
        <f t="shared" si="15"/>
        <v>0</v>
      </c>
      <c r="O84" s="538">
        <v>0</v>
      </c>
      <c r="P84" s="591">
        <f t="shared" si="14"/>
        <v>0</v>
      </c>
      <c r="Q84" s="409"/>
      <c r="R84" s="543"/>
    </row>
    <row r="85" spans="1:18" ht="15" customHeight="1" outlineLevel="1">
      <c r="A85" s="534"/>
      <c r="B85" s="542"/>
      <c r="C85" s="1215"/>
      <c r="D85" s="1216"/>
      <c r="E85" s="1216"/>
      <c r="F85" s="1216"/>
      <c r="G85" s="1217"/>
      <c r="H85" s="495"/>
      <c r="I85" s="494"/>
      <c r="J85" s="536"/>
      <c r="K85" s="532"/>
      <c r="L85" s="532">
        <v>0</v>
      </c>
      <c r="M85" s="532">
        <v>0</v>
      </c>
      <c r="N85" s="532">
        <f t="shared" si="15"/>
        <v>0</v>
      </c>
      <c r="O85" s="538">
        <v>0</v>
      </c>
      <c r="P85" s="591">
        <f t="shared" si="14"/>
        <v>0</v>
      </c>
      <c r="Q85" s="409"/>
      <c r="R85" s="543"/>
    </row>
    <row r="86" spans="1:18" ht="15" customHeight="1" outlineLevel="1">
      <c r="A86" s="534"/>
      <c r="B86" s="531"/>
      <c r="C86" s="1215"/>
      <c r="D86" s="1216"/>
      <c r="E86" s="1216"/>
      <c r="F86" s="1216"/>
      <c r="G86" s="1217"/>
      <c r="H86" s="495"/>
      <c r="I86" s="494"/>
      <c r="J86" s="536"/>
      <c r="K86" s="532"/>
      <c r="L86" s="532">
        <v>0</v>
      </c>
      <c r="M86" s="532">
        <v>0</v>
      </c>
      <c r="N86" s="532">
        <f t="shared" si="15"/>
        <v>0</v>
      </c>
      <c r="O86" s="538">
        <v>0</v>
      </c>
      <c r="P86" s="591">
        <f t="shared" si="14"/>
        <v>0</v>
      </c>
    </row>
    <row r="87" spans="1:18" ht="15" customHeight="1" outlineLevel="1">
      <c r="A87" s="540"/>
      <c r="B87" s="544"/>
      <c r="C87" s="1215"/>
      <c r="D87" s="1216"/>
      <c r="E87" s="1216"/>
      <c r="F87" s="1216"/>
      <c r="G87" s="1217"/>
      <c r="H87" s="495"/>
      <c r="I87" s="541"/>
      <c r="J87" s="1053"/>
      <c r="K87" s="494"/>
      <c r="L87" s="532">
        <v>0</v>
      </c>
      <c r="M87" s="532">
        <v>0</v>
      </c>
      <c r="N87" s="532">
        <f t="shared" si="15"/>
        <v>0</v>
      </c>
      <c r="O87" s="538">
        <v>0</v>
      </c>
      <c r="P87" s="591">
        <f t="shared" si="14"/>
        <v>0</v>
      </c>
    </row>
    <row r="88" spans="1:18" ht="15" customHeight="1" outlineLevel="1">
      <c r="A88" s="534"/>
      <c r="B88" s="544"/>
      <c r="C88" s="1215"/>
      <c r="D88" s="1216"/>
      <c r="E88" s="1216"/>
      <c r="F88" s="1216"/>
      <c r="G88" s="1217"/>
      <c r="H88" s="495"/>
      <c r="I88" s="494"/>
      <c r="J88" s="536"/>
      <c r="K88" s="532"/>
      <c r="L88" s="532">
        <v>0</v>
      </c>
      <c r="M88" s="532">
        <v>0</v>
      </c>
      <c r="N88" s="532">
        <f t="shared" si="13"/>
        <v>0</v>
      </c>
      <c r="O88" s="538">
        <v>0</v>
      </c>
      <c r="P88" s="591">
        <f t="shared" si="14"/>
        <v>0</v>
      </c>
    </row>
    <row r="89" spans="1:18" ht="15" customHeight="1" outlineLevel="1">
      <c r="A89" s="534"/>
      <c r="B89" s="545"/>
      <c r="C89" s="1215"/>
      <c r="D89" s="1216"/>
      <c r="E89" s="1216"/>
      <c r="F89" s="1216"/>
      <c r="G89" s="1217"/>
      <c r="H89" s="495"/>
      <c r="I89" s="494"/>
      <c r="J89" s="536"/>
      <c r="K89" s="532"/>
      <c r="L89" s="532">
        <v>0</v>
      </c>
      <c r="M89" s="532">
        <v>0</v>
      </c>
      <c r="N89" s="532">
        <f t="shared" si="13"/>
        <v>0</v>
      </c>
      <c r="O89" s="538">
        <v>0</v>
      </c>
      <c r="P89" s="591">
        <f t="shared" si="14"/>
        <v>0</v>
      </c>
    </row>
    <row r="90" spans="1:18" outlineLevel="1">
      <c r="A90" s="540"/>
      <c r="B90" s="544"/>
      <c r="C90" s="1215"/>
      <c r="D90" s="1216"/>
      <c r="E90" s="1216"/>
      <c r="F90" s="1216"/>
      <c r="G90" s="1217"/>
      <c r="H90" s="495"/>
      <c r="I90" s="541"/>
      <c r="J90" s="536"/>
      <c r="K90" s="494"/>
      <c r="L90" s="532">
        <v>0</v>
      </c>
      <c r="M90" s="494">
        <v>0</v>
      </c>
      <c r="N90" s="532">
        <f t="shared" si="13"/>
        <v>0</v>
      </c>
      <c r="O90" s="538">
        <v>0</v>
      </c>
      <c r="P90" s="591">
        <f t="shared" si="14"/>
        <v>0</v>
      </c>
    </row>
    <row r="91" spans="1:18" outlineLevel="1">
      <c r="A91" s="534"/>
      <c r="B91" s="531"/>
      <c r="C91" s="1215"/>
      <c r="D91" s="1216"/>
      <c r="E91" s="1216"/>
      <c r="F91" s="1216"/>
      <c r="G91" s="1217"/>
      <c r="H91" s="495"/>
      <c r="I91" s="494"/>
      <c r="J91" s="536"/>
      <c r="K91" s="532"/>
      <c r="L91" s="532">
        <v>0</v>
      </c>
      <c r="M91" s="532">
        <v>0</v>
      </c>
      <c r="N91" s="532">
        <f t="shared" si="13"/>
        <v>0</v>
      </c>
      <c r="O91" s="538">
        <v>0</v>
      </c>
      <c r="P91" s="591">
        <f t="shared" si="14"/>
        <v>0</v>
      </c>
    </row>
    <row r="92" spans="1:18" ht="15" customHeight="1" outlineLevel="1">
      <c r="A92" s="534"/>
      <c r="B92" s="531"/>
      <c r="C92" s="1215"/>
      <c r="D92" s="1216"/>
      <c r="E92" s="1216"/>
      <c r="F92" s="1216"/>
      <c r="G92" s="1217"/>
      <c r="H92" s="495"/>
      <c r="I92" s="494"/>
      <c r="J92" s="536"/>
      <c r="K92" s="532"/>
      <c r="L92" s="532">
        <v>0</v>
      </c>
      <c r="M92" s="532">
        <v>0</v>
      </c>
      <c r="N92" s="532">
        <f t="shared" si="13"/>
        <v>0</v>
      </c>
      <c r="O92" s="538">
        <v>0</v>
      </c>
      <c r="P92" s="591">
        <f t="shared" si="14"/>
        <v>0</v>
      </c>
      <c r="Q92" s="520"/>
    </row>
    <row r="93" spans="1:18" outlineLevel="1">
      <c r="A93" s="534"/>
      <c r="B93" s="531"/>
      <c r="C93" s="1215"/>
      <c r="D93" s="1216"/>
      <c r="E93" s="1216"/>
      <c r="F93" s="1216"/>
      <c r="G93" s="1217"/>
      <c r="H93" s="495"/>
      <c r="I93" s="494"/>
      <c r="J93" s="536"/>
      <c r="K93" s="532"/>
      <c r="L93" s="532">
        <v>0</v>
      </c>
      <c r="M93" s="532">
        <v>0</v>
      </c>
      <c r="N93" s="532">
        <f t="shared" si="13"/>
        <v>0</v>
      </c>
      <c r="O93" s="538">
        <v>0</v>
      </c>
      <c r="P93" s="591">
        <f t="shared" si="14"/>
        <v>0</v>
      </c>
    </row>
    <row r="94" spans="1:18" ht="15" customHeight="1" outlineLevel="1">
      <c r="A94" s="534"/>
      <c r="B94" s="531"/>
      <c r="C94" s="1215"/>
      <c r="D94" s="1216"/>
      <c r="E94" s="1216"/>
      <c r="F94" s="1216"/>
      <c r="G94" s="1217"/>
      <c r="H94" s="495"/>
      <c r="I94" s="494"/>
      <c r="J94" s="536"/>
      <c r="K94" s="532"/>
      <c r="L94" s="532">
        <v>0</v>
      </c>
      <c r="M94" s="532">
        <v>0</v>
      </c>
      <c r="N94" s="532">
        <f t="shared" si="13"/>
        <v>0</v>
      </c>
      <c r="O94" s="538">
        <v>0</v>
      </c>
      <c r="P94" s="591">
        <f t="shared" si="14"/>
        <v>0</v>
      </c>
    </row>
    <row r="95" spans="1:18" outlineLevel="1">
      <c r="A95" s="534"/>
      <c r="B95" s="531"/>
      <c r="C95" s="1215"/>
      <c r="D95" s="1216"/>
      <c r="E95" s="1216"/>
      <c r="F95" s="1216"/>
      <c r="G95" s="1217"/>
      <c r="H95" s="495"/>
      <c r="I95" s="494"/>
      <c r="J95" s="536"/>
      <c r="K95" s="532"/>
      <c r="L95" s="532">
        <v>0</v>
      </c>
      <c r="M95" s="532">
        <v>0</v>
      </c>
      <c r="N95" s="532">
        <f t="shared" si="13"/>
        <v>0</v>
      </c>
      <c r="O95" s="538">
        <v>0</v>
      </c>
      <c r="P95" s="591">
        <f t="shared" si="14"/>
        <v>0</v>
      </c>
    </row>
    <row r="96" spans="1:18" outlineLevel="1">
      <c r="A96" s="534"/>
      <c r="B96" s="531"/>
      <c r="C96" s="1215"/>
      <c r="D96" s="1216"/>
      <c r="E96" s="1216"/>
      <c r="F96" s="1216"/>
      <c r="G96" s="1217"/>
      <c r="H96" s="495"/>
      <c r="I96" s="494"/>
      <c r="J96" s="536"/>
      <c r="K96" s="532"/>
      <c r="L96" s="532">
        <v>0</v>
      </c>
      <c r="M96" s="532">
        <v>0</v>
      </c>
      <c r="N96" s="532">
        <f t="shared" si="13"/>
        <v>0</v>
      </c>
      <c r="O96" s="538">
        <v>0</v>
      </c>
      <c r="P96" s="591">
        <f t="shared" si="14"/>
        <v>0</v>
      </c>
      <c r="Q96" s="520"/>
    </row>
    <row r="97" spans="1:21" outlineLevel="1">
      <c r="A97" s="534"/>
      <c r="B97" s="531"/>
      <c r="C97" s="1215"/>
      <c r="D97" s="1216"/>
      <c r="E97" s="1216"/>
      <c r="F97" s="1216"/>
      <c r="G97" s="1217"/>
      <c r="H97" s="495"/>
      <c r="I97" s="494"/>
      <c r="J97" s="536"/>
      <c r="K97" s="532"/>
      <c r="L97" s="532">
        <v>0</v>
      </c>
      <c r="M97" s="532">
        <v>0</v>
      </c>
      <c r="N97" s="532">
        <f t="shared" si="13"/>
        <v>0</v>
      </c>
      <c r="O97" s="538">
        <v>0</v>
      </c>
      <c r="P97" s="591">
        <f t="shared" si="14"/>
        <v>0</v>
      </c>
      <c r="Q97" s="990"/>
    </row>
    <row r="98" spans="1:21" outlineLevel="1">
      <c r="A98" s="534"/>
      <c r="B98" s="531"/>
      <c r="C98" s="1215"/>
      <c r="D98" s="1216"/>
      <c r="E98" s="1216"/>
      <c r="F98" s="1216"/>
      <c r="G98" s="1217"/>
      <c r="H98" s="495"/>
      <c r="I98" s="494"/>
      <c r="J98" s="536"/>
      <c r="K98" s="532"/>
      <c r="L98" s="532">
        <v>0</v>
      </c>
      <c r="M98" s="532">
        <v>0</v>
      </c>
      <c r="N98" s="532">
        <f t="shared" si="13"/>
        <v>0</v>
      </c>
      <c r="O98" s="538">
        <v>0</v>
      </c>
      <c r="P98" s="591">
        <f t="shared" si="14"/>
        <v>0</v>
      </c>
    </row>
    <row r="99" spans="1:21" outlineLevel="1">
      <c r="A99" s="534"/>
      <c r="B99" s="531"/>
      <c r="C99" s="1215"/>
      <c r="D99" s="1216"/>
      <c r="E99" s="1216"/>
      <c r="F99" s="1216"/>
      <c r="G99" s="1217"/>
      <c r="H99" s="495"/>
      <c r="I99" s="494"/>
      <c r="J99" s="536"/>
      <c r="K99" s="532"/>
      <c r="L99" s="532">
        <v>0</v>
      </c>
      <c r="M99" s="532">
        <v>0</v>
      </c>
      <c r="N99" s="532">
        <f t="shared" si="13"/>
        <v>0</v>
      </c>
      <c r="O99" s="538">
        <v>0</v>
      </c>
      <c r="P99" s="591">
        <f t="shared" si="14"/>
        <v>0</v>
      </c>
      <c r="Q99" s="990"/>
    </row>
    <row r="100" spans="1:21" outlineLevel="1">
      <c r="A100" s="534"/>
      <c r="B100" s="531"/>
      <c r="C100" s="1215"/>
      <c r="D100" s="1216"/>
      <c r="E100" s="1216"/>
      <c r="F100" s="1216"/>
      <c r="G100" s="1217"/>
      <c r="H100" s="495"/>
      <c r="I100" s="494"/>
      <c r="J100" s="536"/>
      <c r="K100" s="532"/>
      <c r="L100" s="532">
        <v>0</v>
      </c>
      <c r="M100" s="532">
        <v>0</v>
      </c>
      <c r="N100" s="532">
        <f t="shared" si="13"/>
        <v>0</v>
      </c>
      <c r="O100" s="538">
        <v>0</v>
      </c>
      <c r="P100" s="591">
        <f t="shared" si="14"/>
        <v>0</v>
      </c>
      <c r="Q100" s="990"/>
    </row>
    <row r="101" spans="1:21" outlineLevel="1">
      <c r="A101" s="534"/>
      <c r="B101" s="531"/>
      <c r="C101" s="1215"/>
      <c r="D101" s="1216"/>
      <c r="E101" s="1216"/>
      <c r="F101" s="1216"/>
      <c r="G101" s="1217"/>
      <c r="H101" s="495"/>
      <c r="I101" s="494"/>
      <c r="J101" s="536"/>
      <c r="K101" s="532"/>
      <c r="L101" s="532">
        <v>0</v>
      </c>
      <c r="M101" s="532">
        <v>0</v>
      </c>
      <c r="N101" s="532">
        <f t="shared" si="13"/>
        <v>0</v>
      </c>
      <c r="O101" s="538">
        <v>0</v>
      </c>
      <c r="P101" s="591">
        <f t="shared" si="14"/>
        <v>0</v>
      </c>
      <c r="Q101" s="990"/>
    </row>
    <row r="102" spans="1:21" outlineLevel="1">
      <c r="A102" s="534"/>
      <c r="B102" s="531"/>
      <c r="C102" s="1215"/>
      <c r="D102" s="1216"/>
      <c r="E102" s="1216"/>
      <c r="F102" s="1216"/>
      <c r="G102" s="1217"/>
      <c r="H102" s="495"/>
      <c r="I102" s="494"/>
      <c r="J102" s="536"/>
      <c r="K102" s="532"/>
      <c r="L102" s="532">
        <v>0</v>
      </c>
      <c r="M102" s="532">
        <v>0</v>
      </c>
      <c r="N102" s="532">
        <f t="shared" si="13"/>
        <v>0</v>
      </c>
      <c r="O102" s="538">
        <v>0</v>
      </c>
      <c r="P102" s="591">
        <f t="shared" si="14"/>
        <v>0</v>
      </c>
      <c r="Q102" s="990"/>
    </row>
    <row r="103" spans="1:21" outlineLevel="1">
      <c r="A103" s="534"/>
      <c r="B103" s="531"/>
      <c r="C103" s="1215"/>
      <c r="D103" s="1216"/>
      <c r="E103" s="1216"/>
      <c r="F103" s="1216"/>
      <c r="G103" s="1217"/>
      <c r="H103" s="495"/>
      <c r="I103" s="494"/>
      <c r="J103" s="536"/>
      <c r="K103" s="532"/>
      <c r="L103" s="532">
        <v>0</v>
      </c>
      <c r="M103" s="532">
        <v>0</v>
      </c>
      <c r="N103" s="532">
        <f t="shared" si="13"/>
        <v>0</v>
      </c>
      <c r="O103" s="538">
        <v>0</v>
      </c>
      <c r="P103" s="591">
        <f t="shared" si="14"/>
        <v>0</v>
      </c>
      <c r="Q103" s="990"/>
    </row>
    <row r="104" spans="1:21" outlineLevel="1">
      <c r="A104" s="534"/>
      <c r="B104" s="531"/>
      <c r="C104" s="1215"/>
      <c r="D104" s="1216"/>
      <c r="E104" s="1216"/>
      <c r="F104" s="1216"/>
      <c r="G104" s="1217"/>
      <c r="H104" s="495"/>
      <c r="I104" s="494"/>
      <c r="J104" s="536"/>
      <c r="K104" s="532"/>
      <c r="L104" s="532">
        <v>0</v>
      </c>
      <c r="M104" s="532">
        <v>0</v>
      </c>
      <c r="N104" s="532">
        <f t="shared" si="13"/>
        <v>0</v>
      </c>
      <c r="O104" s="538">
        <v>0</v>
      </c>
      <c r="P104" s="591">
        <f t="shared" si="14"/>
        <v>0</v>
      </c>
      <c r="Q104" s="990"/>
    </row>
    <row r="105" spans="1:21" outlineLevel="1">
      <c r="A105" s="534"/>
      <c r="B105" s="531"/>
      <c r="C105" s="1215"/>
      <c r="D105" s="1216"/>
      <c r="E105" s="1216"/>
      <c r="F105" s="1216"/>
      <c r="G105" s="1217"/>
      <c r="H105" s="495"/>
      <c r="I105" s="494"/>
      <c r="J105" s="536"/>
      <c r="K105" s="532"/>
      <c r="L105" s="532">
        <v>0</v>
      </c>
      <c r="M105" s="532">
        <v>0</v>
      </c>
      <c r="N105" s="532">
        <f t="shared" si="13"/>
        <v>0</v>
      </c>
      <c r="O105" s="538">
        <v>0</v>
      </c>
      <c r="P105" s="591">
        <f t="shared" si="14"/>
        <v>0</v>
      </c>
      <c r="Q105" s="990"/>
    </row>
    <row r="106" spans="1:21" ht="15.75" outlineLevel="1" thickBot="1">
      <c r="A106" s="546"/>
      <c r="B106" s="547"/>
      <c r="C106" s="1215"/>
      <c r="D106" s="1216"/>
      <c r="E106" s="1216"/>
      <c r="F106" s="1216"/>
      <c r="G106" s="1217"/>
      <c r="H106" s="495"/>
      <c r="I106" s="547"/>
      <c r="J106" s="536"/>
      <c r="K106" s="532"/>
      <c r="L106" s="532">
        <v>0</v>
      </c>
      <c r="M106" s="532">
        <v>0</v>
      </c>
      <c r="N106" s="532">
        <f t="shared" si="13"/>
        <v>0</v>
      </c>
      <c r="O106" s="548">
        <v>0</v>
      </c>
      <c r="P106" s="593">
        <f t="shared" si="14"/>
        <v>0</v>
      </c>
      <c r="Q106" s="990"/>
    </row>
    <row r="107" spans="1:21" ht="33" customHeight="1" thickBot="1">
      <c r="A107" s="1243"/>
      <c r="B107" s="1244"/>
      <c r="C107" s="1244"/>
      <c r="D107" s="1244"/>
      <c r="E107" s="1244"/>
      <c r="F107" s="1244"/>
      <c r="G107" s="1244"/>
      <c r="H107" s="1244"/>
      <c r="I107" s="1244"/>
      <c r="J107" s="1244"/>
      <c r="K107" s="1245"/>
      <c r="L107" s="549">
        <f>SUM(L80:L106)</f>
        <v>0</v>
      </c>
      <c r="M107" s="550"/>
      <c r="N107" s="549">
        <f>SUM(N80:N106)</f>
        <v>0</v>
      </c>
      <c r="O107" s="551" t="s">
        <v>735</v>
      </c>
      <c r="P107" s="552">
        <f>SUM(P80:P106)</f>
        <v>0</v>
      </c>
      <c r="R107" s="481"/>
      <c r="U107" s="990"/>
    </row>
    <row r="109" spans="1:21" ht="15.75" thickBot="1">
      <c r="Q109" s="990"/>
    </row>
    <row r="110" spans="1:21" ht="15.75" customHeight="1" thickBot="1">
      <c r="A110" s="1221" t="s">
        <v>662</v>
      </c>
      <c r="B110" s="1222"/>
      <c r="C110" s="1222"/>
      <c r="D110" s="1222"/>
      <c r="E110" s="1222"/>
      <c r="F110" s="1222"/>
      <c r="G110" s="1222"/>
      <c r="H110" s="1222"/>
      <c r="I110" s="1222"/>
      <c r="J110" s="1222"/>
      <c r="K110" s="1222"/>
      <c r="L110" s="1222"/>
      <c r="M110" s="1222"/>
      <c r="N110" s="1222"/>
      <c r="O110" s="1222"/>
      <c r="P110" s="1223"/>
    </row>
    <row r="111" spans="1:21" ht="30.75" outlineLevel="1" thickBot="1">
      <c r="A111" s="482" t="s">
        <v>715</v>
      </c>
      <c r="B111" s="483" t="s">
        <v>716</v>
      </c>
      <c r="C111" s="1224" t="s">
        <v>717</v>
      </c>
      <c r="D111" s="1225"/>
      <c r="E111" s="1225"/>
      <c r="F111" s="1225"/>
      <c r="G111" s="1226"/>
      <c r="H111" s="485" t="s">
        <v>718</v>
      </c>
      <c r="I111" s="486" t="s">
        <v>719</v>
      </c>
      <c r="J111" s="486" t="s">
        <v>720</v>
      </c>
      <c r="K111" s="483" t="s">
        <v>721</v>
      </c>
      <c r="L111" s="483" t="s">
        <v>722</v>
      </c>
      <c r="M111" s="483" t="s">
        <v>723</v>
      </c>
      <c r="N111" s="483" t="s">
        <v>724</v>
      </c>
      <c r="O111" s="487" t="s">
        <v>725</v>
      </c>
      <c r="P111" s="488" t="s">
        <v>686</v>
      </c>
    </row>
    <row r="112" spans="1:21" outlineLevel="1">
      <c r="A112" s="530"/>
      <c r="B112" s="553"/>
      <c r="C112" s="1246"/>
      <c r="D112" s="1247"/>
      <c r="E112" s="1247"/>
      <c r="F112" s="1247"/>
      <c r="G112" s="1248"/>
      <c r="H112" s="554"/>
      <c r="I112" s="553"/>
      <c r="J112" s="553"/>
      <c r="K112" s="553"/>
      <c r="L112" s="553">
        <f>K112*A112</f>
        <v>0</v>
      </c>
      <c r="M112" s="553">
        <v>0</v>
      </c>
      <c r="N112" s="532">
        <f>M112*A112</f>
        <v>0</v>
      </c>
      <c r="O112" s="533">
        <v>0</v>
      </c>
      <c r="P112" s="591">
        <f t="shared" ref="P112:P126" si="16">O112*A112</f>
        <v>0</v>
      </c>
    </row>
    <row r="113" spans="1:18" ht="12.75" customHeight="1" outlineLevel="1">
      <c r="A113" s="534"/>
      <c r="B113" s="555"/>
      <c r="C113" s="1215"/>
      <c r="D113" s="1216"/>
      <c r="E113" s="1216"/>
      <c r="F113" s="1216"/>
      <c r="G113" s="1217"/>
      <c r="H113" s="556"/>
      <c r="I113" s="555"/>
      <c r="J113" s="557"/>
      <c r="K113" s="553"/>
      <c r="L113" s="553">
        <f t="shared" ref="L113:L126" si="17">K113*A113</f>
        <v>0</v>
      </c>
      <c r="M113" s="553">
        <v>0</v>
      </c>
      <c r="N113" s="532">
        <f t="shared" ref="N113:N126" si="18">M113*A113</f>
        <v>0</v>
      </c>
      <c r="O113" s="538">
        <v>0</v>
      </c>
      <c r="P113" s="594">
        <f t="shared" si="16"/>
        <v>0</v>
      </c>
    </row>
    <row r="114" spans="1:18" ht="15" customHeight="1" outlineLevel="1">
      <c r="A114" s="540"/>
      <c r="B114" s="542"/>
      <c r="C114" s="1215"/>
      <c r="D114" s="1216"/>
      <c r="E114" s="1216"/>
      <c r="F114" s="1216"/>
      <c r="G114" s="1217"/>
      <c r="H114" s="535"/>
      <c r="I114" s="541"/>
      <c r="J114" s="536"/>
      <c r="K114" s="553"/>
      <c r="L114" s="553">
        <f t="shared" si="17"/>
        <v>0</v>
      </c>
      <c r="M114" s="553">
        <v>0</v>
      </c>
      <c r="N114" s="532">
        <f t="shared" si="18"/>
        <v>0</v>
      </c>
      <c r="O114" s="538">
        <v>0</v>
      </c>
      <c r="P114" s="591">
        <f t="shared" si="16"/>
        <v>0</v>
      </c>
      <c r="Q114" s="409"/>
      <c r="R114" s="543"/>
    </row>
    <row r="115" spans="1:18" ht="15" customHeight="1" outlineLevel="1">
      <c r="A115" s="540"/>
      <c r="B115" s="542"/>
      <c r="C115" s="1215"/>
      <c r="D115" s="1216"/>
      <c r="E115" s="1216"/>
      <c r="F115" s="1216"/>
      <c r="G115" s="1217"/>
      <c r="H115" s="535"/>
      <c r="I115" s="541"/>
      <c r="J115" s="536"/>
      <c r="K115" s="553"/>
      <c r="L115" s="553">
        <f t="shared" si="17"/>
        <v>0</v>
      </c>
      <c r="M115" s="553">
        <v>0</v>
      </c>
      <c r="N115" s="532">
        <f t="shared" si="18"/>
        <v>0</v>
      </c>
      <c r="O115" s="538">
        <v>0</v>
      </c>
      <c r="P115" s="591">
        <f t="shared" si="16"/>
        <v>0</v>
      </c>
      <c r="Q115" s="409"/>
      <c r="R115" s="543"/>
    </row>
    <row r="116" spans="1:18" outlineLevel="1">
      <c r="A116" s="534"/>
      <c r="B116" s="558"/>
      <c r="C116" s="1215"/>
      <c r="D116" s="1216"/>
      <c r="E116" s="1216"/>
      <c r="F116" s="1216"/>
      <c r="G116" s="1217"/>
      <c r="H116" s="535"/>
      <c r="I116" s="494"/>
      <c r="J116" s="536"/>
      <c r="K116" s="553"/>
      <c r="L116" s="553">
        <f t="shared" si="17"/>
        <v>0</v>
      </c>
      <c r="M116" s="553">
        <v>0</v>
      </c>
      <c r="N116" s="532">
        <f t="shared" si="18"/>
        <v>0</v>
      </c>
      <c r="O116" s="538">
        <v>0</v>
      </c>
      <c r="P116" s="591">
        <f t="shared" si="16"/>
        <v>0</v>
      </c>
    </row>
    <row r="117" spans="1:18" ht="15" customHeight="1" outlineLevel="1">
      <c r="A117" s="534"/>
      <c r="B117" s="542"/>
      <c r="C117" s="1215"/>
      <c r="D117" s="1216"/>
      <c r="E117" s="1216"/>
      <c r="F117" s="1216"/>
      <c r="G117" s="1217"/>
      <c r="H117" s="535"/>
      <c r="I117" s="494"/>
      <c r="J117" s="536"/>
      <c r="K117" s="553"/>
      <c r="L117" s="553">
        <f t="shared" si="17"/>
        <v>0</v>
      </c>
      <c r="M117" s="553">
        <v>0</v>
      </c>
      <c r="N117" s="532">
        <f t="shared" si="18"/>
        <v>0</v>
      </c>
      <c r="O117" s="538">
        <v>0</v>
      </c>
      <c r="P117" s="591">
        <f t="shared" si="16"/>
        <v>0</v>
      </c>
      <c r="Q117" s="409"/>
      <c r="R117" s="543"/>
    </row>
    <row r="118" spans="1:18" ht="15" customHeight="1" outlineLevel="1">
      <c r="A118" s="534"/>
      <c r="B118" s="542"/>
      <c r="C118" s="1215"/>
      <c r="D118" s="1216"/>
      <c r="E118" s="1216"/>
      <c r="F118" s="1216"/>
      <c r="G118" s="1217"/>
      <c r="H118" s="535"/>
      <c r="I118" s="494"/>
      <c r="J118" s="536"/>
      <c r="K118" s="553"/>
      <c r="L118" s="553">
        <f t="shared" si="17"/>
        <v>0</v>
      </c>
      <c r="M118" s="553">
        <v>0</v>
      </c>
      <c r="N118" s="532">
        <f t="shared" si="18"/>
        <v>0</v>
      </c>
      <c r="O118" s="538">
        <v>0</v>
      </c>
      <c r="P118" s="591">
        <f t="shared" si="16"/>
        <v>0</v>
      </c>
      <c r="Q118" s="409"/>
      <c r="R118" s="543"/>
    </row>
    <row r="119" spans="1:18" ht="12.75" customHeight="1" outlineLevel="1">
      <c r="A119" s="534"/>
      <c r="B119" s="555"/>
      <c r="C119" s="1215"/>
      <c r="D119" s="1216"/>
      <c r="E119" s="1216"/>
      <c r="F119" s="1216"/>
      <c r="G119" s="1217"/>
      <c r="H119" s="556"/>
      <c r="I119" s="555"/>
      <c r="J119" s="557"/>
      <c r="K119" s="553"/>
      <c r="L119" s="553">
        <f t="shared" si="17"/>
        <v>0</v>
      </c>
      <c r="M119" s="553">
        <v>0</v>
      </c>
      <c r="N119" s="532">
        <f t="shared" si="18"/>
        <v>0</v>
      </c>
      <c r="O119" s="538">
        <v>0</v>
      </c>
      <c r="P119" s="594">
        <f t="shared" si="16"/>
        <v>0</v>
      </c>
    </row>
    <row r="120" spans="1:18" ht="12.75" customHeight="1" outlineLevel="1">
      <c r="A120" s="534"/>
      <c r="B120" s="555"/>
      <c r="C120" s="1215"/>
      <c r="D120" s="1216"/>
      <c r="E120" s="1216"/>
      <c r="F120" s="1216"/>
      <c r="G120" s="1217"/>
      <c r="H120" s="556"/>
      <c r="I120" s="555"/>
      <c r="J120" s="557"/>
      <c r="K120" s="553"/>
      <c r="L120" s="553">
        <f t="shared" si="17"/>
        <v>0</v>
      </c>
      <c r="M120" s="553">
        <v>0</v>
      </c>
      <c r="N120" s="532">
        <f t="shared" si="18"/>
        <v>0</v>
      </c>
      <c r="O120" s="538">
        <v>0</v>
      </c>
      <c r="P120" s="594">
        <f t="shared" si="16"/>
        <v>0</v>
      </c>
    </row>
    <row r="121" spans="1:18" ht="12.75" customHeight="1" outlineLevel="1">
      <c r="A121" s="534"/>
      <c r="B121" s="555"/>
      <c r="C121" s="1215"/>
      <c r="D121" s="1216"/>
      <c r="E121" s="1216"/>
      <c r="F121" s="1216"/>
      <c r="G121" s="1217"/>
      <c r="H121" s="556"/>
      <c r="I121" s="555"/>
      <c r="J121" s="555"/>
      <c r="K121" s="553"/>
      <c r="L121" s="553">
        <f t="shared" si="17"/>
        <v>0</v>
      </c>
      <c r="M121" s="553">
        <v>0</v>
      </c>
      <c r="N121" s="532">
        <f t="shared" si="18"/>
        <v>0</v>
      </c>
      <c r="O121" s="538">
        <v>0</v>
      </c>
      <c r="P121" s="594">
        <f t="shared" si="16"/>
        <v>0</v>
      </c>
    </row>
    <row r="122" spans="1:18" ht="12.75" customHeight="1" outlineLevel="1">
      <c r="A122" s="534"/>
      <c r="B122" s="555"/>
      <c r="C122" s="1215"/>
      <c r="D122" s="1216"/>
      <c r="E122" s="1216"/>
      <c r="F122" s="1216"/>
      <c r="G122" s="1217"/>
      <c r="H122" s="556"/>
      <c r="I122" s="555"/>
      <c r="J122" s="555"/>
      <c r="K122" s="553"/>
      <c r="L122" s="553">
        <f t="shared" si="17"/>
        <v>0</v>
      </c>
      <c r="M122" s="553">
        <v>0</v>
      </c>
      <c r="N122" s="532">
        <f t="shared" si="18"/>
        <v>0</v>
      </c>
      <c r="O122" s="538">
        <v>0</v>
      </c>
      <c r="P122" s="594">
        <f t="shared" si="16"/>
        <v>0</v>
      </c>
    </row>
    <row r="123" spans="1:18" ht="12.75" customHeight="1" outlineLevel="1">
      <c r="A123" s="534"/>
      <c r="B123" s="555"/>
      <c r="C123" s="1215"/>
      <c r="D123" s="1216"/>
      <c r="E123" s="1216"/>
      <c r="F123" s="1216"/>
      <c r="G123" s="1217"/>
      <c r="H123" s="556"/>
      <c r="I123" s="555"/>
      <c r="J123" s="555"/>
      <c r="K123" s="553"/>
      <c r="L123" s="553">
        <f t="shared" si="17"/>
        <v>0</v>
      </c>
      <c r="M123" s="553">
        <v>0</v>
      </c>
      <c r="N123" s="532">
        <f t="shared" si="18"/>
        <v>0</v>
      </c>
      <c r="O123" s="538">
        <v>0</v>
      </c>
      <c r="P123" s="594">
        <f t="shared" si="16"/>
        <v>0</v>
      </c>
    </row>
    <row r="124" spans="1:18" ht="12.75" customHeight="1" outlineLevel="1">
      <c r="A124" s="534"/>
      <c r="B124" s="555"/>
      <c r="C124" s="1215"/>
      <c r="D124" s="1216"/>
      <c r="E124" s="1216"/>
      <c r="F124" s="1216"/>
      <c r="G124" s="1217"/>
      <c r="H124" s="556"/>
      <c r="I124" s="555"/>
      <c r="J124" s="555"/>
      <c r="K124" s="553"/>
      <c r="L124" s="553">
        <f t="shared" si="17"/>
        <v>0</v>
      </c>
      <c r="M124" s="553">
        <v>0</v>
      </c>
      <c r="N124" s="532">
        <f t="shared" si="18"/>
        <v>0</v>
      </c>
      <c r="O124" s="538">
        <v>0</v>
      </c>
      <c r="P124" s="594">
        <f t="shared" si="16"/>
        <v>0</v>
      </c>
    </row>
    <row r="125" spans="1:18" ht="12.75" customHeight="1" outlineLevel="1">
      <c r="A125" s="534"/>
      <c r="B125" s="555"/>
      <c r="C125" s="1215"/>
      <c r="D125" s="1216"/>
      <c r="E125" s="1216"/>
      <c r="F125" s="1216"/>
      <c r="G125" s="1217"/>
      <c r="H125" s="556"/>
      <c r="I125" s="555"/>
      <c r="J125" s="555"/>
      <c r="K125" s="553"/>
      <c r="L125" s="553">
        <f t="shared" si="17"/>
        <v>0</v>
      </c>
      <c r="M125" s="553">
        <v>0</v>
      </c>
      <c r="N125" s="532">
        <f t="shared" si="18"/>
        <v>0</v>
      </c>
      <c r="O125" s="538">
        <v>0</v>
      </c>
      <c r="P125" s="594">
        <f t="shared" si="16"/>
        <v>0</v>
      </c>
    </row>
    <row r="126" spans="1:18" ht="12.75" customHeight="1" outlineLevel="1" thickBot="1">
      <c r="A126" s="546"/>
      <c r="B126" s="559"/>
      <c r="C126" s="1215"/>
      <c r="D126" s="1216"/>
      <c r="E126" s="1216"/>
      <c r="F126" s="1216"/>
      <c r="G126" s="1217"/>
      <c r="H126" s="560"/>
      <c r="I126" s="559"/>
      <c r="J126" s="559"/>
      <c r="K126" s="553"/>
      <c r="L126" s="553">
        <f t="shared" si="17"/>
        <v>0</v>
      </c>
      <c r="M126" s="553">
        <v>0</v>
      </c>
      <c r="N126" s="532">
        <f t="shared" si="18"/>
        <v>0</v>
      </c>
      <c r="O126" s="548">
        <v>0</v>
      </c>
      <c r="P126" s="593">
        <f t="shared" si="16"/>
        <v>0</v>
      </c>
    </row>
    <row r="127" spans="1:18" ht="15.75" thickBot="1">
      <c r="A127" s="1270"/>
      <c r="B127" s="1271"/>
      <c r="C127" s="1271"/>
      <c r="D127" s="1271"/>
      <c r="E127" s="1271"/>
      <c r="F127" s="1271"/>
      <c r="G127" s="1271"/>
      <c r="H127" s="1271"/>
      <c r="I127" s="1271"/>
      <c r="J127" s="1271"/>
      <c r="K127" s="1272"/>
      <c r="L127" s="549">
        <f>SUM(L112:L126)</f>
        <v>0</v>
      </c>
      <c r="M127" s="561"/>
      <c r="N127" s="549">
        <f>SUM(N112:N126)</f>
        <v>0</v>
      </c>
      <c r="O127" s="562" t="s">
        <v>736</v>
      </c>
      <c r="P127" s="563">
        <f>SUM(P112:P126)</f>
        <v>0</v>
      </c>
    </row>
    <row r="129" spans="1:16" ht="15.75" thickBot="1"/>
    <row r="130" spans="1:16" ht="15.75" customHeight="1" thickBot="1">
      <c r="A130" s="1221" t="s">
        <v>737</v>
      </c>
      <c r="B130" s="1222"/>
      <c r="C130" s="1222"/>
      <c r="D130" s="1222"/>
      <c r="E130" s="1222"/>
      <c r="F130" s="1222"/>
      <c r="G130" s="1222"/>
      <c r="H130" s="1222"/>
      <c r="I130" s="1222"/>
      <c r="J130" s="1222"/>
      <c r="K130" s="1222"/>
      <c r="L130" s="1222"/>
      <c r="M130" s="1222"/>
      <c r="N130" s="1222"/>
      <c r="O130" s="1222"/>
      <c r="P130" s="1223"/>
    </row>
    <row r="131" spans="1:16" ht="15.75" outlineLevel="1" thickBot="1">
      <c r="A131" s="1249"/>
      <c r="B131" s="1249"/>
      <c r="C131" s="1249"/>
      <c r="D131" s="1249"/>
      <c r="E131" s="1249"/>
      <c r="F131" s="1249"/>
      <c r="G131" s="1249"/>
      <c r="H131" s="1250"/>
      <c r="I131" s="1255" t="s">
        <v>738</v>
      </c>
      <c r="J131" s="1256"/>
      <c r="K131" s="1257"/>
      <c r="L131" s="564" t="s">
        <v>739</v>
      </c>
      <c r="M131" s="564" t="s">
        <v>740</v>
      </c>
      <c r="N131" s="564" t="s">
        <v>741</v>
      </c>
      <c r="O131" s="565" t="s">
        <v>742</v>
      </c>
      <c r="P131" s="566" t="s">
        <v>686</v>
      </c>
    </row>
    <row r="132" spans="1:16" ht="15" customHeight="1" outlineLevel="1">
      <c r="A132" s="1251"/>
      <c r="B132" s="1251"/>
      <c r="C132" s="1251"/>
      <c r="D132" s="1251"/>
      <c r="E132" s="1251"/>
      <c r="F132" s="1251"/>
      <c r="G132" s="1251"/>
      <c r="H132" s="1252"/>
      <c r="I132" s="1258" t="s">
        <v>743</v>
      </c>
      <c r="J132" s="1259"/>
      <c r="K132" s="1260"/>
      <c r="L132" s="567">
        <v>0</v>
      </c>
      <c r="M132" s="496">
        <v>3</v>
      </c>
      <c r="N132" s="568">
        <f>L132*M132</f>
        <v>0</v>
      </c>
      <c r="O132" s="567">
        <v>0</v>
      </c>
      <c r="P132" s="595">
        <f>O132*M132*L132</f>
        <v>0</v>
      </c>
    </row>
    <row r="133" spans="1:16" ht="15" customHeight="1" outlineLevel="1">
      <c r="A133" s="1251"/>
      <c r="B133" s="1251"/>
      <c r="C133" s="1251"/>
      <c r="D133" s="1251"/>
      <c r="E133" s="1251"/>
      <c r="F133" s="1251"/>
      <c r="G133" s="1251"/>
      <c r="H133" s="1252"/>
      <c r="I133" s="1261" t="s">
        <v>744</v>
      </c>
      <c r="J133" s="1262"/>
      <c r="K133" s="1263"/>
      <c r="L133" s="569">
        <v>0</v>
      </c>
      <c r="M133" s="521">
        <v>3</v>
      </c>
      <c r="N133" s="499">
        <f>L133*M133</f>
        <v>0</v>
      </c>
      <c r="O133" s="569">
        <v>0</v>
      </c>
      <c r="P133" s="596">
        <f>O133*M133*L133</f>
        <v>0</v>
      </c>
    </row>
    <row r="134" spans="1:16" outlineLevel="1">
      <c r="A134" s="1251"/>
      <c r="B134" s="1251"/>
      <c r="C134" s="1251"/>
      <c r="D134" s="1251"/>
      <c r="E134" s="1251"/>
      <c r="F134" s="1251"/>
      <c r="G134" s="1251"/>
      <c r="H134" s="1252"/>
      <c r="I134" s="1261"/>
      <c r="J134" s="1262"/>
      <c r="K134" s="1263"/>
      <c r="L134" s="569"/>
      <c r="M134" s="521"/>
      <c r="N134" s="521"/>
      <c r="O134" s="569"/>
      <c r="P134" s="596">
        <v>0</v>
      </c>
    </row>
    <row r="135" spans="1:16" outlineLevel="1">
      <c r="A135" s="1251"/>
      <c r="B135" s="1251"/>
      <c r="C135" s="1251"/>
      <c r="D135" s="1251"/>
      <c r="E135" s="1251"/>
      <c r="F135" s="1251"/>
      <c r="G135" s="1251"/>
      <c r="H135" s="1252"/>
      <c r="I135" s="1261"/>
      <c r="J135" s="1262"/>
      <c r="K135" s="1263"/>
      <c r="L135" s="569"/>
      <c r="M135" s="521"/>
      <c r="N135" s="521"/>
      <c r="O135" s="569"/>
      <c r="P135" s="596">
        <v>0</v>
      </c>
    </row>
    <row r="136" spans="1:16" ht="15" customHeight="1" outlineLevel="1">
      <c r="A136" s="1251"/>
      <c r="B136" s="1251"/>
      <c r="C136" s="1251"/>
      <c r="D136" s="1251"/>
      <c r="E136" s="1251"/>
      <c r="F136" s="1251"/>
      <c r="G136" s="1251"/>
      <c r="H136" s="1252"/>
      <c r="I136" s="1264" t="s">
        <v>745</v>
      </c>
      <c r="J136" s="1265"/>
      <c r="K136" s="1266"/>
      <c r="L136" s="570"/>
      <c r="M136" s="521"/>
      <c r="N136" s="521"/>
      <c r="O136" s="569"/>
      <c r="P136" s="596">
        <v>0</v>
      </c>
    </row>
    <row r="137" spans="1:16" ht="15.75" customHeight="1" outlineLevel="1" thickBot="1">
      <c r="A137" s="1253"/>
      <c r="B137" s="1253"/>
      <c r="C137" s="1253"/>
      <c r="D137" s="1253"/>
      <c r="E137" s="1253"/>
      <c r="F137" s="1253"/>
      <c r="G137" s="1253"/>
      <c r="H137" s="1254"/>
      <c r="I137" s="1267" t="s">
        <v>746</v>
      </c>
      <c r="J137" s="1268"/>
      <c r="K137" s="1269"/>
      <c r="L137" s="571"/>
      <c r="M137" s="572"/>
      <c r="N137" s="572"/>
      <c r="O137" s="573"/>
      <c r="P137" s="597">
        <v>0</v>
      </c>
    </row>
    <row r="138" spans="1:16" ht="15.75" thickBot="1">
      <c r="A138" s="1273" t="s">
        <v>747</v>
      </c>
      <c r="B138" s="1274"/>
      <c r="C138" s="1274"/>
      <c r="D138" s="1274"/>
      <c r="E138" s="1274"/>
      <c r="F138" s="1274"/>
      <c r="G138" s="1274"/>
      <c r="H138" s="1274"/>
      <c r="I138" s="1274"/>
      <c r="J138" s="1274"/>
      <c r="K138" s="1274"/>
      <c r="L138" s="1274"/>
      <c r="M138" s="1274"/>
      <c r="N138" s="1274"/>
      <c r="O138" s="1275"/>
      <c r="P138" s="552">
        <f>SUM(P132:P137)</f>
        <v>0</v>
      </c>
    </row>
    <row r="139" spans="1:16">
      <c r="A139" s="574"/>
      <c r="B139" s="574"/>
      <c r="C139" s="574"/>
      <c r="D139" s="574"/>
      <c r="E139" s="574"/>
      <c r="F139" s="574"/>
      <c r="G139" s="574"/>
      <c r="H139" s="574"/>
      <c r="I139" s="574"/>
      <c r="J139" s="574"/>
      <c r="K139" s="574"/>
      <c r="L139" s="574"/>
      <c r="M139" s="574"/>
      <c r="N139" s="574"/>
      <c r="O139" s="574"/>
      <c r="P139" s="575"/>
    </row>
    <row r="140" spans="1:16" ht="15.75" thickBot="1"/>
    <row r="141" spans="1:16" ht="16.5" customHeight="1" thickBot="1">
      <c r="A141" s="1221" t="s">
        <v>672</v>
      </c>
      <c r="B141" s="1222"/>
      <c r="C141" s="1222"/>
      <c r="D141" s="1222"/>
      <c r="E141" s="1222"/>
      <c r="F141" s="1222"/>
      <c r="G141" s="1222"/>
      <c r="H141" s="1222"/>
      <c r="I141" s="1222"/>
      <c r="J141" s="1222"/>
      <c r="K141" s="1222"/>
      <c r="L141" s="1222"/>
      <c r="M141" s="1222"/>
      <c r="N141" s="1222"/>
      <c r="O141" s="1222"/>
      <c r="P141" s="1223"/>
    </row>
    <row r="142" spans="1:16" ht="30.75" outlineLevel="1" thickBot="1">
      <c r="A142" s="482" t="s">
        <v>715</v>
      </c>
      <c r="B142" s="483" t="s">
        <v>716</v>
      </c>
      <c r="C142" s="1224" t="s">
        <v>717</v>
      </c>
      <c r="D142" s="1225"/>
      <c r="E142" s="1225"/>
      <c r="F142" s="1225"/>
      <c r="G142" s="1226"/>
      <c r="H142" s="485" t="s">
        <v>718</v>
      </c>
      <c r="I142" s="486" t="s">
        <v>719</v>
      </c>
      <c r="J142" s="486" t="s">
        <v>720</v>
      </c>
      <c r="K142" s="483" t="s">
        <v>721</v>
      </c>
      <c r="L142" s="483" t="s">
        <v>722</v>
      </c>
      <c r="M142" s="483" t="s">
        <v>723</v>
      </c>
      <c r="N142" s="483" t="s">
        <v>724</v>
      </c>
      <c r="O142" s="487" t="s">
        <v>725</v>
      </c>
      <c r="P142" s="488" t="s">
        <v>686</v>
      </c>
    </row>
    <row r="143" spans="1:16" ht="16.5" customHeight="1" outlineLevel="1">
      <c r="A143" s="530"/>
      <c r="B143" s="553"/>
      <c r="C143" s="1246"/>
      <c r="D143" s="1247"/>
      <c r="E143" s="1247"/>
      <c r="F143" s="1247"/>
      <c r="G143" s="1248"/>
      <c r="H143" s="554"/>
      <c r="I143" s="553"/>
      <c r="J143" s="553"/>
      <c r="K143" s="553"/>
      <c r="L143" s="553">
        <f>K143*A143</f>
        <v>0</v>
      </c>
      <c r="M143" s="553">
        <v>0</v>
      </c>
      <c r="N143" s="532">
        <f>M143*A143</f>
        <v>0</v>
      </c>
      <c r="O143" s="533">
        <v>0</v>
      </c>
      <c r="P143" s="591">
        <f t="shared" ref="P143:P149" si="19">O143*A143</f>
        <v>0</v>
      </c>
    </row>
    <row r="144" spans="1:16" ht="16.5" customHeight="1" outlineLevel="1">
      <c r="A144" s="534"/>
      <c r="B144" s="555"/>
      <c r="C144" s="1215"/>
      <c r="D144" s="1216"/>
      <c r="E144" s="1216"/>
      <c r="F144" s="1216"/>
      <c r="G144" s="1217"/>
      <c r="H144" s="556"/>
      <c r="I144" s="555"/>
      <c r="J144" s="557"/>
      <c r="K144" s="553"/>
      <c r="L144" s="553">
        <f t="shared" ref="L144:L149" si="20">K144*A144</f>
        <v>0</v>
      </c>
      <c r="M144" s="553">
        <v>0</v>
      </c>
      <c r="N144" s="532">
        <f t="shared" ref="N144:N149" si="21">M144*A144</f>
        <v>0</v>
      </c>
      <c r="O144" s="538">
        <v>0</v>
      </c>
      <c r="P144" s="594">
        <f t="shared" si="19"/>
        <v>0</v>
      </c>
    </row>
    <row r="145" spans="1:16" ht="16.5" customHeight="1" outlineLevel="1">
      <c r="A145" s="540"/>
      <c r="B145" s="542"/>
      <c r="C145" s="1215"/>
      <c r="D145" s="1216"/>
      <c r="E145" s="1216"/>
      <c r="F145" s="1216"/>
      <c r="G145" s="1217"/>
      <c r="H145" s="535"/>
      <c r="I145" s="541"/>
      <c r="J145" s="536"/>
      <c r="K145" s="553"/>
      <c r="L145" s="553">
        <f t="shared" si="20"/>
        <v>0</v>
      </c>
      <c r="M145" s="553">
        <v>0</v>
      </c>
      <c r="N145" s="532">
        <f t="shared" si="21"/>
        <v>0</v>
      </c>
      <c r="O145" s="538">
        <v>0</v>
      </c>
      <c r="P145" s="591">
        <f t="shared" si="19"/>
        <v>0</v>
      </c>
    </row>
    <row r="146" spans="1:16" ht="16.5" customHeight="1" outlineLevel="1">
      <c r="A146" s="540"/>
      <c r="B146" s="542"/>
      <c r="C146" s="1215"/>
      <c r="D146" s="1216"/>
      <c r="E146" s="1216"/>
      <c r="F146" s="1216"/>
      <c r="G146" s="1217"/>
      <c r="H146" s="535"/>
      <c r="I146" s="541"/>
      <c r="J146" s="536"/>
      <c r="K146" s="553"/>
      <c r="L146" s="553">
        <f t="shared" si="20"/>
        <v>0</v>
      </c>
      <c r="M146" s="553">
        <v>0</v>
      </c>
      <c r="N146" s="532">
        <f t="shared" si="21"/>
        <v>0</v>
      </c>
      <c r="O146" s="538">
        <v>0</v>
      </c>
      <c r="P146" s="591">
        <f t="shared" si="19"/>
        <v>0</v>
      </c>
    </row>
    <row r="147" spans="1:16" ht="16.5" customHeight="1" outlineLevel="1">
      <c r="A147" s="534"/>
      <c r="B147" s="558"/>
      <c r="C147" s="1215"/>
      <c r="D147" s="1216"/>
      <c r="E147" s="1216"/>
      <c r="F147" s="1216"/>
      <c r="G147" s="1217"/>
      <c r="H147" s="535"/>
      <c r="I147" s="494"/>
      <c r="J147" s="536"/>
      <c r="K147" s="553"/>
      <c r="L147" s="553">
        <f t="shared" si="20"/>
        <v>0</v>
      </c>
      <c r="M147" s="553">
        <v>0</v>
      </c>
      <c r="N147" s="532">
        <f t="shared" si="21"/>
        <v>0</v>
      </c>
      <c r="O147" s="538">
        <v>0</v>
      </c>
      <c r="P147" s="591">
        <f t="shared" si="19"/>
        <v>0</v>
      </c>
    </row>
    <row r="148" spans="1:16" ht="16.5" customHeight="1" outlineLevel="1">
      <c r="A148" s="534"/>
      <c r="B148" s="542"/>
      <c r="C148" s="1215"/>
      <c r="D148" s="1216"/>
      <c r="E148" s="1216"/>
      <c r="F148" s="1216"/>
      <c r="G148" s="1217"/>
      <c r="H148" s="535"/>
      <c r="I148" s="494"/>
      <c r="J148" s="536"/>
      <c r="K148" s="553"/>
      <c r="L148" s="553">
        <f t="shared" si="20"/>
        <v>0</v>
      </c>
      <c r="M148" s="553">
        <v>0</v>
      </c>
      <c r="N148" s="532">
        <f t="shared" si="21"/>
        <v>0</v>
      </c>
      <c r="O148" s="538">
        <v>0</v>
      </c>
      <c r="P148" s="591">
        <f t="shared" si="19"/>
        <v>0</v>
      </c>
    </row>
    <row r="149" spans="1:16" ht="16.5" customHeight="1" outlineLevel="1" thickBot="1">
      <c r="A149" s="534"/>
      <c r="B149" s="542"/>
      <c r="C149" s="1215"/>
      <c r="D149" s="1216"/>
      <c r="E149" s="1216"/>
      <c r="F149" s="1216"/>
      <c r="G149" s="1217"/>
      <c r="H149" s="535"/>
      <c r="I149" s="494"/>
      <c r="J149" s="536"/>
      <c r="K149" s="553"/>
      <c r="L149" s="553">
        <f t="shared" si="20"/>
        <v>0</v>
      </c>
      <c r="M149" s="553">
        <v>0</v>
      </c>
      <c r="N149" s="532">
        <f t="shared" si="21"/>
        <v>0</v>
      </c>
      <c r="O149" s="538">
        <v>0</v>
      </c>
      <c r="P149" s="591">
        <f t="shared" si="19"/>
        <v>0</v>
      </c>
    </row>
    <row r="150" spans="1:16" ht="16.5" customHeight="1" thickBot="1">
      <c r="A150" s="1218"/>
      <c r="B150" s="1219"/>
      <c r="C150" s="1219"/>
      <c r="D150" s="1219"/>
      <c r="E150" s="1219"/>
      <c r="F150" s="1219"/>
      <c r="G150" s="1219"/>
      <c r="H150" s="1219"/>
      <c r="I150" s="1219"/>
      <c r="J150" s="1219"/>
      <c r="K150" s="1220"/>
      <c r="L150" s="507">
        <f>SUM(L143:L149)</f>
        <v>0</v>
      </c>
      <c r="M150" s="508"/>
      <c r="N150" s="507">
        <f>SUM(N143:N149)</f>
        <v>0</v>
      </c>
      <c r="O150" s="509" t="s">
        <v>748</v>
      </c>
      <c r="P150" s="510">
        <f>SUM(P143:P149)</f>
        <v>0</v>
      </c>
    </row>
    <row r="151" spans="1:16" ht="15.75" thickBot="1"/>
    <row r="152" spans="1:16" ht="15.75" thickBot="1">
      <c r="A152" s="1221" t="s">
        <v>709</v>
      </c>
      <c r="B152" s="1222"/>
      <c r="C152" s="1222"/>
      <c r="D152" s="1222"/>
      <c r="E152" s="1222"/>
      <c r="F152" s="1222"/>
      <c r="G152" s="1222"/>
      <c r="H152" s="1222"/>
      <c r="I152" s="1222"/>
      <c r="J152" s="1222"/>
      <c r="K152" s="1222"/>
      <c r="L152" s="1222"/>
      <c r="M152" s="1222"/>
      <c r="N152" s="1222"/>
      <c r="O152" s="1222"/>
      <c r="P152" s="1223"/>
    </row>
    <row r="153" spans="1:16" ht="23.25" customHeight="1" outlineLevel="1">
      <c r="A153" s="576" t="s">
        <v>749</v>
      </c>
      <c r="B153" s="1290" t="s">
        <v>691</v>
      </c>
      <c r="C153" s="1290"/>
      <c r="D153" s="1291" t="s">
        <v>564</v>
      </c>
      <c r="E153" s="1292"/>
      <c r="F153" s="1291" t="s">
        <v>692</v>
      </c>
      <c r="G153" s="1293"/>
      <c r="H153" s="1292"/>
      <c r="I153" s="1290" t="s">
        <v>693</v>
      </c>
      <c r="J153" s="1290"/>
      <c r="K153" s="1290" t="s">
        <v>694</v>
      </c>
      <c r="L153" s="1290"/>
      <c r="M153" s="1290" t="s">
        <v>750</v>
      </c>
      <c r="N153" s="1290"/>
      <c r="O153" s="1276" t="s">
        <v>751</v>
      </c>
      <c r="P153" s="1277"/>
    </row>
    <row r="154" spans="1:16" ht="32.25" customHeight="1" outlineLevel="1">
      <c r="A154" s="577">
        <v>1</v>
      </c>
      <c r="B154" s="1278" t="s">
        <v>752</v>
      </c>
      <c r="C154" s="1278"/>
      <c r="D154" s="1279" t="s">
        <v>753</v>
      </c>
      <c r="E154" s="1280"/>
      <c r="F154" s="1281" t="s">
        <v>754</v>
      </c>
      <c r="G154" s="1282"/>
      <c r="H154" s="1283"/>
      <c r="I154" s="1284">
        <f>SUM($E$3:$E$13)</f>
        <v>0</v>
      </c>
      <c r="J154" s="1285"/>
      <c r="K154" s="1286">
        <v>0.05</v>
      </c>
      <c r="L154" s="1286"/>
      <c r="M154" s="1287">
        <f t="shared" ref="M154" si="22">I154*K154</f>
        <v>0</v>
      </c>
      <c r="N154" s="1287"/>
      <c r="O154" s="1288" t="s">
        <v>755</v>
      </c>
      <c r="P154" s="1289"/>
    </row>
    <row r="155" spans="1:16" ht="25.5" customHeight="1" outlineLevel="1">
      <c r="A155" s="577">
        <v>2</v>
      </c>
      <c r="B155" s="1294" t="s">
        <v>756</v>
      </c>
      <c r="C155" s="1294"/>
      <c r="D155" s="1279" t="s">
        <v>757</v>
      </c>
      <c r="E155" s="1280"/>
      <c r="F155" s="1281" t="s">
        <v>758</v>
      </c>
      <c r="G155" s="1282"/>
      <c r="H155" s="1283"/>
      <c r="I155" s="1287">
        <f>$E$7</f>
        <v>0</v>
      </c>
      <c r="J155" s="1287"/>
      <c r="K155" s="1295">
        <v>0.1</v>
      </c>
      <c r="L155" s="1295"/>
      <c r="M155" s="1287">
        <f t="shared" ref="M155:M156" si="23">I155*K155</f>
        <v>0</v>
      </c>
      <c r="N155" s="1287"/>
      <c r="O155" s="1288" t="s">
        <v>759</v>
      </c>
      <c r="P155" s="1289"/>
    </row>
    <row r="156" spans="1:16" ht="25.5" customHeight="1" outlineLevel="1">
      <c r="A156" s="577">
        <v>3</v>
      </c>
      <c r="B156" s="1294"/>
      <c r="C156" s="1294"/>
      <c r="D156" s="1279"/>
      <c r="E156" s="1280"/>
      <c r="F156" s="1281"/>
      <c r="G156" s="1282"/>
      <c r="H156" s="1283"/>
      <c r="I156" s="1287"/>
      <c r="J156" s="1287"/>
      <c r="K156" s="1295"/>
      <c r="L156" s="1295"/>
      <c r="M156" s="1296">
        <f t="shared" si="23"/>
        <v>0</v>
      </c>
      <c r="N156" s="1296"/>
      <c r="O156" s="1288"/>
      <c r="P156" s="1289"/>
    </row>
    <row r="157" spans="1:16" ht="25.5" customHeight="1" outlineLevel="1">
      <c r="A157" s="577">
        <v>4</v>
      </c>
      <c r="B157" s="1297"/>
      <c r="C157" s="1297"/>
      <c r="D157" s="1298"/>
      <c r="E157" s="1299"/>
      <c r="F157" s="1300"/>
      <c r="G157" s="1211"/>
      <c r="H157" s="1301"/>
      <c r="I157" s="1296"/>
      <c r="J157" s="1296"/>
      <c r="K157" s="1302"/>
      <c r="L157" s="1302"/>
      <c r="M157" s="1296">
        <f t="shared" ref="M157:M160" si="24">I157*K157</f>
        <v>0</v>
      </c>
      <c r="N157" s="1296"/>
      <c r="O157" s="1288"/>
      <c r="P157" s="1289"/>
    </row>
    <row r="158" spans="1:16" ht="25.5" customHeight="1" outlineLevel="1">
      <c r="A158" s="577">
        <v>5</v>
      </c>
      <c r="B158" s="1297"/>
      <c r="C158" s="1297"/>
      <c r="D158" s="1298"/>
      <c r="E158" s="1299"/>
      <c r="F158" s="1300"/>
      <c r="G158" s="1211"/>
      <c r="H158" s="1301"/>
      <c r="I158" s="1296"/>
      <c r="J158" s="1296"/>
      <c r="K158" s="1302"/>
      <c r="L158" s="1302"/>
      <c r="M158" s="1296">
        <f t="shared" si="24"/>
        <v>0</v>
      </c>
      <c r="N158" s="1296"/>
      <c r="O158" s="1288"/>
      <c r="P158" s="1289"/>
    </row>
    <row r="159" spans="1:16" ht="25.5" customHeight="1" outlineLevel="1">
      <c r="A159" s="577">
        <v>6</v>
      </c>
      <c r="B159" s="1297"/>
      <c r="C159" s="1297"/>
      <c r="D159" s="1298"/>
      <c r="E159" s="1299"/>
      <c r="F159" s="1300"/>
      <c r="G159" s="1211"/>
      <c r="H159" s="1301"/>
      <c r="I159" s="1296"/>
      <c r="J159" s="1296"/>
      <c r="K159" s="1302"/>
      <c r="L159" s="1302"/>
      <c r="M159" s="1296">
        <f t="shared" si="24"/>
        <v>0</v>
      </c>
      <c r="N159" s="1296"/>
      <c r="O159" s="1288"/>
      <c r="P159" s="1289"/>
    </row>
    <row r="160" spans="1:16" ht="25.5" customHeight="1" outlineLevel="1" thickBot="1">
      <c r="A160" s="578">
        <v>7</v>
      </c>
      <c r="B160" s="1315"/>
      <c r="C160" s="1315"/>
      <c r="D160" s="1316"/>
      <c r="E160" s="1317"/>
      <c r="F160" s="1318"/>
      <c r="G160" s="1319"/>
      <c r="H160" s="1320"/>
      <c r="I160" s="1321"/>
      <c r="J160" s="1321"/>
      <c r="K160" s="1322"/>
      <c r="L160" s="1322"/>
      <c r="M160" s="1321">
        <f t="shared" si="24"/>
        <v>0</v>
      </c>
      <c r="N160" s="1321"/>
      <c r="O160" s="1323"/>
      <c r="P160" s="1324"/>
    </row>
    <row r="161" spans="1:16" ht="15.75" thickBot="1">
      <c r="A161" s="1303" t="s">
        <v>760</v>
      </c>
      <c r="B161" s="1304"/>
      <c r="C161" s="1305"/>
      <c r="D161" s="1306">
        <f>COUNTA(D154:E160)</f>
        <v>2</v>
      </c>
      <c r="E161" s="1307"/>
      <c r="F161" s="1306"/>
      <c r="G161" s="1308"/>
      <c r="H161" s="1307"/>
      <c r="I161" s="1309">
        <f>SUM(I154:J160)</f>
        <v>0</v>
      </c>
      <c r="J161" s="1309"/>
      <c r="K161" s="1310" t="e">
        <f>P161/I161</f>
        <v>#DIV/0!</v>
      </c>
      <c r="L161" s="1311"/>
      <c r="M161" s="1312" t="s">
        <v>761</v>
      </c>
      <c r="N161" s="1313"/>
      <c r="O161" s="1314"/>
      <c r="P161" s="579">
        <f>SUM(M154:N160)</f>
        <v>0</v>
      </c>
    </row>
    <row r="164" spans="1:16">
      <c r="A164" s="580"/>
      <c r="B164" s="581"/>
      <c r="C164" s="581"/>
      <c r="D164" s="582"/>
      <c r="E164" s="583"/>
      <c r="F164" s="584"/>
      <c r="G164" s="583"/>
      <c r="H164" s="581"/>
    </row>
    <row r="165" spans="1:16">
      <c r="A165" s="580"/>
      <c r="B165" s="580"/>
      <c r="C165" s="580"/>
      <c r="D165" s="585"/>
      <c r="E165" s="580"/>
      <c r="F165" s="580"/>
      <c r="G165" s="580"/>
      <c r="H165" s="580"/>
    </row>
    <row r="166" spans="1:16">
      <c r="A166" s="580"/>
      <c r="B166" s="581"/>
      <c r="C166" s="581"/>
      <c r="D166" s="582"/>
      <c r="E166" s="586"/>
      <c r="F166" s="587"/>
      <c r="G166" s="586"/>
      <c r="H166" s="582"/>
    </row>
    <row r="167" spans="1:16">
      <c r="A167" s="580"/>
      <c r="B167" s="581"/>
      <c r="C167" s="581"/>
      <c r="D167" s="582"/>
      <c r="E167" s="586"/>
      <c r="F167" s="587"/>
      <c r="G167" s="586"/>
      <c r="H167" s="582"/>
    </row>
    <row r="168" spans="1:16">
      <c r="A168" s="580"/>
      <c r="B168" s="581"/>
      <c r="C168" s="581"/>
      <c r="D168" s="582"/>
      <c r="E168" s="586"/>
      <c r="F168" s="587"/>
      <c r="G168" s="586"/>
      <c r="H168" s="582"/>
    </row>
    <row r="169" spans="1:16">
      <c r="A169" s="580"/>
      <c r="B169" s="581"/>
      <c r="C169" s="581"/>
      <c r="D169" s="582"/>
      <c r="E169" s="586"/>
      <c r="F169" s="587"/>
      <c r="G169" s="586"/>
      <c r="H169" s="582"/>
    </row>
    <row r="170" spans="1:16">
      <c r="A170" s="580"/>
      <c r="B170" s="581"/>
      <c r="C170" s="581"/>
      <c r="D170" s="582"/>
      <c r="E170" s="586"/>
      <c r="F170" s="587"/>
      <c r="G170" s="586"/>
      <c r="H170" s="582"/>
    </row>
    <row r="171" spans="1:16">
      <c r="A171" s="580"/>
      <c r="B171" s="581"/>
      <c r="C171" s="581"/>
      <c r="D171" s="582"/>
      <c r="E171" s="586"/>
      <c r="F171" s="587"/>
      <c r="G171" s="586"/>
      <c r="H171" s="582"/>
    </row>
    <row r="172" spans="1:16">
      <c r="A172" s="580"/>
      <c r="B172" s="581"/>
      <c r="C172" s="581"/>
      <c r="D172" s="582"/>
      <c r="E172" s="586"/>
      <c r="F172" s="587"/>
      <c r="G172" s="586"/>
      <c r="H172" s="582"/>
    </row>
    <row r="173" spans="1:16">
      <c r="A173" s="580"/>
      <c r="B173" s="581"/>
      <c r="C173" s="581"/>
      <c r="D173" s="582"/>
      <c r="E173" s="586"/>
      <c r="F173" s="587"/>
      <c r="G173" s="586"/>
      <c r="H173" s="582"/>
    </row>
    <row r="174" spans="1:16">
      <c r="A174" s="580"/>
      <c r="B174" s="581"/>
      <c r="C174" s="581"/>
      <c r="D174" s="582"/>
      <c r="E174" s="586"/>
      <c r="F174" s="587"/>
      <c r="G174" s="586"/>
      <c r="H174" s="582"/>
    </row>
    <row r="175" spans="1:16">
      <c r="A175" s="580"/>
      <c r="B175" s="581"/>
      <c r="C175" s="581"/>
      <c r="D175" s="582"/>
      <c r="E175" s="586"/>
      <c r="F175" s="587"/>
      <c r="G175" s="586"/>
      <c r="H175" s="582"/>
    </row>
    <row r="176" spans="1:16">
      <c r="A176" s="580"/>
      <c r="B176" s="581"/>
      <c r="C176" s="581"/>
      <c r="D176" s="582"/>
      <c r="E176" s="586"/>
      <c r="F176" s="587"/>
      <c r="G176" s="586"/>
      <c r="H176" s="582"/>
    </row>
    <row r="177" spans="1:8">
      <c r="A177" s="580"/>
      <c r="B177" s="581"/>
      <c r="C177" s="581"/>
      <c r="D177" s="582"/>
      <c r="E177" s="586"/>
      <c r="F177" s="587"/>
      <c r="G177" s="586"/>
      <c r="H177" s="582"/>
    </row>
    <row r="178" spans="1:8">
      <c r="A178" s="580"/>
      <c r="B178" s="581"/>
      <c r="C178" s="581"/>
      <c r="D178" s="582"/>
      <c r="E178" s="586"/>
      <c r="F178" s="587"/>
      <c r="G178" s="586"/>
      <c r="H178" s="582"/>
    </row>
    <row r="179" spans="1:8">
      <c r="A179" s="580"/>
      <c r="B179" s="581"/>
      <c r="C179" s="581"/>
      <c r="D179" s="582"/>
      <c r="E179" s="586"/>
      <c r="F179" s="587"/>
      <c r="G179" s="586"/>
      <c r="H179" s="582"/>
    </row>
    <row r="180" spans="1:8">
      <c r="A180" s="580"/>
      <c r="B180" s="581"/>
      <c r="C180" s="581"/>
      <c r="D180" s="582"/>
      <c r="E180" s="586"/>
      <c r="F180" s="587"/>
      <c r="G180" s="586"/>
      <c r="H180" s="582"/>
    </row>
  </sheetData>
  <mergeCells count="206">
    <mergeCell ref="A161:C161"/>
    <mergeCell ref="D161:E161"/>
    <mergeCell ref="F161:H161"/>
    <mergeCell ref="I161:J161"/>
    <mergeCell ref="K161:L161"/>
    <mergeCell ref="M161:O161"/>
    <mergeCell ref="O159:P159"/>
    <mergeCell ref="B160:C160"/>
    <mergeCell ref="D160:E160"/>
    <mergeCell ref="F160:H160"/>
    <mergeCell ref="I160:J160"/>
    <mergeCell ref="K160:L160"/>
    <mergeCell ref="M160:N160"/>
    <mergeCell ref="O160:P160"/>
    <mergeCell ref="B159:C159"/>
    <mergeCell ref="D159:E159"/>
    <mergeCell ref="F159:H159"/>
    <mergeCell ref="I159:J159"/>
    <mergeCell ref="K159:L159"/>
    <mergeCell ref="M159:N159"/>
    <mergeCell ref="O157:P157"/>
    <mergeCell ref="B158:C158"/>
    <mergeCell ref="D158:E158"/>
    <mergeCell ref="F158:H158"/>
    <mergeCell ref="I158:J158"/>
    <mergeCell ref="K158:L158"/>
    <mergeCell ref="M158:N158"/>
    <mergeCell ref="O158:P158"/>
    <mergeCell ref="B157:C157"/>
    <mergeCell ref="D157:E157"/>
    <mergeCell ref="F157:H157"/>
    <mergeCell ref="I157:J157"/>
    <mergeCell ref="K157:L157"/>
    <mergeCell ref="M157:N157"/>
    <mergeCell ref="O155:P155"/>
    <mergeCell ref="B156:C156"/>
    <mergeCell ref="D156:E156"/>
    <mergeCell ref="F156:H156"/>
    <mergeCell ref="I156:J156"/>
    <mergeCell ref="K156:L156"/>
    <mergeCell ref="M156:N156"/>
    <mergeCell ref="O156:P156"/>
    <mergeCell ref="B155:C155"/>
    <mergeCell ref="D155:E155"/>
    <mergeCell ref="F155:H155"/>
    <mergeCell ref="I155:J155"/>
    <mergeCell ref="K155:L155"/>
    <mergeCell ref="M155:N155"/>
    <mergeCell ref="O153:P153"/>
    <mergeCell ref="B154:C154"/>
    <mergeCell ref="D154:E154"/>
    <mergeCell ref="F154:H154"/>
    <mergeCell ref="I154:J154"/>
    <mergeCell ref="K154:L154"/>
    <mergeCell ref="M154:N154"/>
    <mergeCell ref="O154:P154"/>
    <mergeCell ref="B153:C153"/>
    <mergeCell ref="D153:E153"/>
    <mergeCell ref="F153:H153"/>
    <mergeCell ref="I153:J153"/>
    <mergeCell ref="K153:L153"/>
    <mergeCell ref="M153:N153"/>
    <mergeCell ref="C146:G146"/>
    <mergeCell ref="C147:G147"/>
    <mergeCell ref="C148:G148"/>
    <mergeCell ref="C149:G149"/>
    <mergeCell ref="A150:K150"/>
    <mergeCell ref="A152:P152"/>
    <mergeCell ref="A138:O138"/>
    <mergeCell ref="A141:P141"/>
    <mergeCell ref="C142:G142"/>
    <mergeCell ref="C143:G143"/>
    <mergeCell ref="C144:G144"/>
    <mergeCell ref="C145:G145"/>
    <mergeCell ref="A131:H137"/>
    <mergeCell ref="I131:K131"/>
    <mergeCell ref="I132:K132"/>
    <mergeCell ref="I133:K133"/>
    <mergeCell ref="I134:K134"/>
    <mergeCell ref="I135:K135"/>
    <mergeCell ref="I136:K136"/>
    <mergeCell ref="I137:K137"/>
    <mergeCell ref="C123:G123"/>
    <mergeCell ref="C124:G124"/>
    <mergeCell ref="C125:G125"/>
    <mergeCell ref="C126:G126"/>
    <mergeCell ref="A127:K127"/>
    <mergeCell ref="A130:P130"/>
    <mergeCell ref="C117:G117"/>
    <mergeCell ref="C118:G118"/>
    <mergeCell ref="C119:G119"/>
    <mergeCell ref="C120:G120"/>
    <mergeCell ref="C121:G121"/>
    <mergeCell ref="C122:G122"/>
    <mergeCell ref="C111:G111"/>
    <mergeCell ref="C112:G112"/>
    <mergeCell ref="C113:G113"/>
    <mergeCell ref="C114:G114"/>
    <mergeCell ref="C115:G115"/>
    <mergeCell ref="C116:G116"/>
    <mergeCell ref="C103:G103"/>
    <mergeCell ref="C104:G104"/>
    <mergeCell ref="C105:G105"/>
    <mergeCell ref="C106:G106"/>
    <mergeCell ref="A107:K107"/>
    <mergeCell ref="A110:P110"/>
    <mergeCell ref="C97:G97"/>
    <mergeCell ref="C98:G98"/>
    <mergeCell ref="C99:G99"/>
    <mergeCell ref="C100:G100"/>
    <mergeCell ref="C101:G101"/>
    <mergeCell ref="C102:G102"/>
    <mergeCell ref="C91:G91"/>
    <mergeCell ref="C92:G92"/>
    <mergeCell ref="C93:G93"/>
    <mergeCell ref="C94:G94"/>
    <mergeCell ref="C95:G95"/>
    <mergeCell ref="C96:G96"/>
    <mergeCell ref="C85:G85"/>
    <mergeCell ref="C86:G86"/>
    <mergeCell ref="C87:G87"/>
    <mergeCell ref="C88:G88"/>
    <mergeCell ref="C89:G89"/>
    <mergeCell ref="C90:G90"/>
    <mergeCell ref="C79:G79"/>
    <mergeCell ref="C80:G80"/>
    <mergeCell ref="C81:G81"/>
    <mergeCell ref="C82:G82"/>
    <mergeCell ref="C83:G83"/>
    <mergeCell ref="C84:G84"/>
    <mergeCell ref="C71:G71"/>
    <mergeCell ref="C72:G72"/>
    <mergeCell ref="C73:G73"/>
    <mergeCell ref="C74:G74"/>
    <mergeCell ref="A75:K75"/>
    <mergeCell ref="A78:P78"/>
    <mergeCell ref="A66:P66"/>
    <mergeCell ref="C67:G67"/>
    <mergeCell ref="C68:G68"/>
    <mergeCell ref="C69:G69"/>
    <mergeCell ref="C70:G70"/>
    <mergeCell ref="A64:J64"/>
    <mergeCell ref="C59:G59"/>
    <mergeCell ref="C60:G60"/>
    <mergeCell ref="C61:G61"/>
    <mergeCell ref="C62:G62"/>
    <mergeCell ref="C63:G63"/>
    <mergeCell ref="N52:O52"/>
    <mergeCell ref="A55:P55"/>
    <mergeCell ref="C46:G46"/>
    <mergeCell ref="C47:G47"/>
    <mergeCell ref="C48:G48"/>
    <mergeCell ref="C49:G49"/>
    <mergeCell ref="C50:G50"/>
    <mergeCell ref="C51:G51"/>
    <mergeCell ref="N64:O64"/>
    <mergeCell ref="C56:G56"/>
    <mergeCell ref="C57:G57"/>
    <mergeCell ref="C58:G58"/>
    <mergeCell ref="C40:G40"/>
    <mergeCell ref="C41:G41"/>
    <mergeCell ref="C42:G42"/>
    <mergeCell ref="C43:G43"/>
    <mergeCell ref="C44:G44"/>
    <mergeCell ref="C45:G45"/>
    <mergeCell ref="A52:J52"/>
    <mergeCell ref="C34:G34"/>
    <mergeCell ref="C35:G35"/>
    <mergeCell ref="C36:G36"/>
    <mergeCell ref="C37:G37"/>
    <mergeCell ref="C38:G38"/>
    <mergeCell ref="C39:G39"/>
    <mergeCell ref="C26:G26"/>
    <mergeCell ref="C27:G27"/>
    <mergeCell ref="C28:G28"/>
    <mergeCell ref="A29:K29"/>
    <mergeCell ref="A32:P32"/>
    <mergeCell ref="C33:G33"/>
    <mergeCell ref="A20:P20"/>
    <mergeCell ref="C21:G21"/>
    <mergeCell ref="C22:G22"/>
    <mergeCell ref="C23:G23"/>
    <mergeCell ref="C24:G24"/>
    <mergeCell ref="C25:G25"/>
    <mergeCell ref="R12:S12"/>
    <mergeCell ref="B13:D13"/>
    <mergeCell ref="R13:S13"/>
    <mergeCell ref="B14:D14"/>
    <mergeCell ref="A15:D15"/>
    <mergeCell ref="B16:D16"/>
    <mergeCell ref="B9:D9"/>
    <mergeCell ref="B10:D10"/>
    <mergeCell ref="B11:D11"/>
    <mergeCell ref="B12:D12"/>
    <mergeCell ref="L12:M12"/>
    <mergeCell ref="N12:O12"/>
    <mergeCell ref="A1:G1"/>
    <mergeCell ref="J1:P11"/>
    <mergeCell ref="R2:S2"/>
    <mergeCell ref="B3:D3"/>
    <mergeCell ref="R3:S3"/>
    <mergeCell ref="B4:D4"/>
    <mergeCell ref="B5:D5"/>
    <mergeCell ref="B6:D6"/>
    <mergeCell ref="B7:D7"/>
    <mergeCell ref="B8:D8"/>
  </mergeCells>
  <dataValidations disablePrompts="1" count="2">
    <dataValidation allowBlank="1" showInputMessage="1" showErrorMessage="1" prompt="Include PE Stamp cost" sqref="H13" xr:uid="{2077C779-EC7B-499F-A050-11C7BC030EDA}"/>
    <dataValidation type="list" allowBlank="1" showInputMessage="1" showErrorMessage="1" sqref="F16" xr:uid="{3F07DD85-7225-4BEE-B553-5393A1C68F14}">
      <formula1>$M$13:$M$16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472E8-9D00-41C5-B19F-82B27E69E793}">
  <sheetPr codeName="Sheet1">
    <tabColor theme="9" tint="0.39997558519241921"/>
  </sheetPr>
  <dimension ref="A1:N123"/>
  <sheetViews>
    <sheetView workbookViewId="0">
      <selection activeCell="F58" sqref="F58"/>
    </sheetView>
  </sheetViews>
  <sheetFormatPr defaultRowHeight="12.75"/>
  <cols>
    <col min="1" max="1" width="15.85546875" customWidth="1"/>
    <col min="2" max="2" width="13.85546875" customWidth="1"/>
    <col min="3" max="3" width="61.7109375" bestFit="1" customWidth="1"/>
    <col min="4" max="4" width="12.5703125" style="6" customWidth="1"/>
    <col min="6" max="6" width="13.85546875" customWidth="1"/>
    <col min="7" max="7" width="12.85546875" customWidth="1"/>
    <col min="8" max="8" width="10.140625" bestFit="1" customWidth="1"/>
    <col min="9" max="11" width="11.28515625" bestFit="1" customWidth="1"/>
  </cols>
  <sheetData>
    <row r="1" spans="1:11">
      <c r="A1" s="3" t="s">
        <v>762</v>
      </c>
    </row>
    <row r="2" spans="1:11" ht="15.75" thickBot="1">
      <c r="A2" s="360" t="s">
        <v>763</v>
      </c>
      <c r="B2" s="360" t="s">
        <v>544</v>
      </c>
      <c r="C2" s="662" t="s">
        <v>764</v>
      </c>
      <c r="D2" s="360" t="s">
        <v>623</v>
      </c>
      <c r="E2" s="360" t="s">
        <v>728</v>
      </c>
      <c r="F2" s="921" t="s">
        <v>765</v>
      </c>
      <c r="G2" s="360" t="s">
        <v>766</v>
      </c>
      <c r="H2" s="360" t="s">
        <v>767</v>
      </c>
    </row>
    <row r="3" spans="1:11" ht="13.5" thickBot="1">
      <c r="A3" cm="1">
        <f t="array" ref="A3">_xlfn.XLOOKUP(B3,SM_TBL[[#All],[Thickness]],SM_TBL[[#All],[MoC_PN]])</f>
        <v>101874</v>
      </c>
      <c r="B3">
        <v>3.5000000000000003E-2</v>
      </c>
      <c r="C3" t="str" cm="1">
        <f t="array" ref="C3">_xlfn.XLOOKUP(A3,RAW_100[[#All],[PartNum]],RAW_100[[#All],[PartDescription]])</f>
        <v>SHEET 0.035" 20GA T-316L SS PER A240 2B FINISH</v>
      </c>
      <c r="D3" s="920">
        <f>SUMIF('TAIL-HEAD SECTIONS'!B$92:B$101,BOM!A3,'TAIL-HEAD SECTIONS'!H$92:H$101)+SUMIF(STANDARDS!B$236:B$251,BOM!A3,STANDARDS!H$236:H$251)+SUMIF('COST PER FT'!B$139:B$143,BOM!A3,'COST PER FT'!H$139:H$144)</f>
        <v>0</v>
      </c>
      <c r="E3" s="919" t="s">
        <v>768</v>
      </c>
      <c r="F3" s="922" cm="1">
        <f t="array" ref="F3">_xlfn.XLOOKUP(A3,MET_PRICE[[#All],[Part Number]],MET_PRICE[[#All],[Price ($/lb) Domestic]])</f>
        <v>2.97</v>
      </c>
      <c r="G3" s="923">
        <f>D3*F3</f>
        <v>0</v>
      </c>
      <c r="H3" t="e">
        <f>RANK(G3,G$3:G$27,0)</f>
        <v>#VALUE!</v>
      </c>
      <c r="J3" s="1052" t="e">
        <f>MAX(MET_TBL[RANK])</f>
        <v>#VALUE!</v>
      </c>
      <c r="K3" s="3" t="s">
        <v>769</v>
      </c>
    </row>
    <row r="4" spans="1:11">
      <c r="A4" cm="1">
        <f t="array" ref="A4">_xlfn.XLOOKUP(B4,SM_TBL[[#All],[Thickness]],SM_TBL[[#All],[MoC_PN]])</f>
        <v>101872</v>
      </c>
      <c r="B4">
        <v>5.9499999999999997E-2</v>
      </c>
      <c r="C4" t="str" cm="1">
        <f t="array" ref="C4">_xlfn.XLOOKUP(A4,RAW_100[[#All],[PartNum]],RAW_100[[#All],[PartDescription]])</f>
        <v>SHEET 0.059" 16GA T-316L SS PER A240 2B FINISH</v>
      </c>
      <c r="D4" s="920" t="e">
        <f>SUMIF('TAIL-HEAD SECTIONS'!B$92:B$101,BOM!A4,'TAIL-HEAD SECTIONS'!H$92:H$101)+SUMIF(STANDARDS!B$236:B$251,BOM!A4,STANDARDS!H$236:H$251)+SUMIF('COST PER FT'!B$139:B$143,BOM!A4,'COST PER FT'!H$139:H$144)</f>
        <v>#VALUE!</v>
      </c>
      <c r="E4" s="919" t="s">
        <v>768</v>
      </c>
      <c r="F4" s="922" cm="1">
        <f t="array" ref="F4">_xlfn.XLOOKUP(A4,MET_PRICE[[#All],[Part Number]],MET_PRICE[[#All],[Price ($/lb) Domestic]])</f>
        <v>2.9</v>
      </c>
      <c r="G4" s="923" t="e">
        <f t="shared" ref="G4:G27" si="0">D4*F4</f>
        <v>#VALUE!</v>
      </c>
      <c r="H4" t="e">
        <f t="shared" ref="H4:H27" si="1">RANK(G4,G$3:G$27,0)</f>
        <v>#VALUE!</v>
      </c>
    </row>
    <row r="5" spans="1:11">
      <c r="A5" cm="1">
        <f t="array" ref="A5">_xlfn.XLOOKUP(B5,SM_TBL[[#All],[Thickness]],SM_TBL[[#All],[MoC_PN]])</f>
        <v>101871</v>
      </c>
      <c r="B5">
        <v>7.51E-2</v>
      </c>
      <c r="C5" t="str" cm="1">
        <f t="array" ref="C5">_xlfn.XLOOKUP(A5,RAW_100[[#All],[PartNum]],RAW_100[[#All],[PartDescription]])</f>
        <v>SHEET 0.075" 14GA T-316L SS PER A240 2B FINISH</v>
      </c>
      <c r="D5" s="920" t="e">
        <f>SUMIF('TAIL-HEAD SECTIONS'!B$92:B$101,BOM!A5,'TAIL-HEAD SECTIONS'!H$92:H$101)+SUMIF(STANDARDS!B$236:B$251,BOM!A5,STANDARDS!H$236:H$251)+SUMIF('COST PER FT'!B$139:B$143,BOM!A5,'COST PER FT'!H$139:H$144)</f>
        <v>#VALUE!</v>
      </c>
      <c r="E5" s="919" t="s">
        <v>768</v>
      </c>
      <c r="F5" s="922" cm="1">
        <f t="array" ref="F5">_xlfn.XLOOKUP(A5,MET_PRICE[[#All],[Part Number]],MET_PRICE[[#All],[Price ($/lb) Domestic]])</f>
        <v>2.89</v>
      </c>
      <c r="G5" s="923" t="e">
        <f t="shared" si="0"/>
        <v>#VALUE!</v>
      </c>
      <c r="H5" t="e">
        <f t="shared" si="1"/>
        <v>#VALUE!</v>
      </c>
    </row>
    <row r="6" spans="1:11">
      <c r="A6" cm="1">
        <f t="array" ref="A6">_xlfn.XLOOKUP(B6,SM_TBL[[#All],[Thickness]],SM_TBL[[#All],[MoC_PN]])</f>
        <v>101869</v>
      </c>
      <c r="B6">
        <v>0.12</v>
      </c>
      <c r="C6" t="str" cm="1">
        <f t="array" ref="C6">_xlfn.XLOOKUP(A6,RAW_100[[#All],[PartNum]],RAW_100[[#All],[PartDescription]])</f>
        <v>SHEET 0.120" 11GA T-316L SS PER A240 2B FINISH</v>
      </c>
      <c r="D6" s="920" t="e">
        <f>SUMIF('TAIL-HEAD SECTIONS'!B$92:B$101,BOM!A6,'TAIL-HEAD SECTIONS'!H$92:H$101)+SUMIF(STANDARDS!B$236:B$251,BOM!A6,STANDARDS!H$236:H$251)+SUMIF('COST PER FT'!B$139:B$143,BOM!A6,'COST PER FT'!H$139:H$144)</f>
        <v>#VALUE!</v>
      </c>
      <c r="E6" s="919" t="s">
        <v>768</v>
      </c>
      <c r="F6" s="922" cm="1">
        <f t="array" ref="F6">_xlfn.XLOOKUP(A6,MET_PRICE[[#All],[Part Number]],MET_PRICE[[#All],[Price ($/lb) Domestic]])</f>
        <v>2.89</v>
      </c>
      <c r="G6" s="923" t="e">
        <f t="shared" si="0"/>
        <v>#VALUE!</v>
      </c>
      <c r="H6" t="e">
        <f t="shared" si="1"/>
        <v>#VALUE!</v>
      </c>
    </row>
    <row r="7" spans="1:11">
      <c r="A7" cm="1">
        <f t="array" ref="A7">_xlfn.XLOOKUP(B7,SM_TBL[[#All],[Thickness]],SM_TBL[[#All],[MoC_PN]])</f>
        <v>101964</v>
      </c>
      <c r="B7">
        <v>0.1875</v>
      </c>
      <c r="C7" t="str" cm="1">
        <f t="array" ref="C7">_xlfn.XLOOKUP(A7,RAW_100[[#All],[PartNum]],RAW_100[[#All],[PartDescription]])</f>
        <v>PLATE 3/16" T-316L SS PER A240 2B FINISH</v>
      </c>
      <c r="D7" s="920">
        <f>SUMIF('TAIL-HEAD SECTIONS'!B$92:B$101,BOM!A7,'TAIL-HEAD SECTIONS'!H$92:H$101)+SUMIF(STANDARDS!B$236:B$251,BOM!A7,STANDARDS!H$236:H$251)+SUMIF('COST PER FT'!B$139:B$143,BOM!A7,'COST PER FT'!H$139:H$144)</f>
        <v>0</v>
      </c>
      <c r="E7" s="919" t="s">
        <v>768</v>
      </c>
      <c r="F7" s="922" cm="1">
        <f t="array" ref="F7">_xlfn.XLOOKUP(A7,MET_PRICE[[#All],[Part Number]],MET_PRICE[[#All],[Price ($/lb) Domestic]])</f>
        <v>2.59</v>
      </c>
      <c r="G7" s="923">
        <f t="shared" si="0"/>
        <v>0</v>
      </c>
      <c r="H7" t="e">
        <f t="shared" si="1"/>
        <v>#VALUE!</v>
      </c>
      <c r="K7" s="305"/>
    </row>
    <row r="8" spans="1:11">
      <c r="A8" cm="1">
        <f t="array" ref="A8">_xlfn.XLOOKUP(B8,SM_TBL[[#All],[Thickness]],SM_TBL[[#All],[MoC_PN]])</f>
        <v>101963</v>
      </c>
      <c r="B8">
        <v>0.25</v>
      </c>
      <c r="C8" t="str" cm="1">
        <f t="array" ref="C8">_xlfn.XLOOKUP(A8,RAW_100[[#All],[PartNum]],RAW_100[[#All],[PartDescription]])</f>
        <v>PLATE 1/4" T-316L SS PER A240 2B FINISH</v>
      </c>
      <c r="D8" s="920" t="e">
        <f>SUMIF('TAIL-HEAD SECTIONS'!B$92:B$101,BOM!A8,'TAIL-HEAD SECTIONS'!H$92:H$101)+SUMIF(STANDARDS!B$236:B$251,BOM!A8,STANDARDS!H$236:H$251)+SUMIF('COST PER FT'!B$139:B$143,BOM!A8,'COST PER FT'!H$139:H$144)</f>
        <v>#VALUE!</v>
      </c>
      <c r="E8" s="919" t="s">
        <v>768</v>
      </c>
      <c r="F8" s="922" cm="1">
        <f t="array" ref="F8">_xlfn.XLOOKUP(A8,MET_PRICE[[#All],[Part Number]],MET_PRICE[[#All],[Price ($/lb) Domestic]])</f>
        <v>2.65</v>
      </c>
      <c r="G8" s="923" t="e">
        <f t="shared" si="0"/>
        <v>#VALUE!</v>
      </c>
      <c r="H8" t="e">
        <f t="shared" si="1"/>
        <v>#VALUE!</v>
      </c>
    </row>
    <row r="9" spans="1:11">
      <c r="A9" cm="1">
        <f t="array" ref="A9">_xlfn.XLOOKUP(B9,SM_TBL[[#All],[Thickness]],SM_TBL[[#All],[MoC_PN]])</f>
        <v>101962</v>
      </c>
      <c r="B9">
        <v>0.3125</v>
      </c>
      <c r="C9" t="str" cm="1">
        <f t="array" ref="C9">_xlfn.XLOOKUP(A9,RAW_100[[#All],[PartNum]],RAW_100[[#All],[PartDescription]])</f>
        <v>PLATE 5/16" T-316L SS PER A240 2B FINISH</v>
      </c>
      <c r="D9" s="920">
        <f>SUMIF('TAIL-HEAD SECTIONS'!B$92:B$101,BOM!A9,'TAIL-HEAD SECTIONS'!H$92:H$101)+SUMIF(STANDARDS!B$236:B$251,BOM!A9,STANDARDS!H$236:H$251)+SUMIF('COST PER FT'!B$139:B$143,BOM!A9,'COST PER FT'!H$139:H$144)</f>
        <v>0</v>
      </c>
      <c r="E9" s="919" t="s">
        <v>768</v>
      </c>
      <c r="F9" s="922" cm="1">
        <f t="array" ref="F9">_xlfn.XLOOKUP(A9,MET_PRICE[[#All],[Part Number]],MET_PRICE[[#All],[Price ($/lb) Domestic]])</f>
        <v>2.7</v>
      </c>
      <c r="G9" s="923">
        <f t="shared" si="0"/>
        <v>0</v>
      </c>
      <c r="H9" t="e">
        <f t="shared" si="1"/>
        <v>#VALUE!</v>
      </c>
    </row>
    <row r="10" spans="1:11">
      <c r="A10" cm="1">
        <f t="array" ref="A10">_xlfn.XLOOKUP(B10,SM_TBL[[#All],[Thickness]],SM_TBL[[#All],[MoC_PN]])</f>
        <v>101961</v>
      </c>
      <c r="B10">
        <v>0.375</v>
      </c>
      <c r="C10" t="str" cm="1">
        <f t="array" ref="C10">_xlfn.XLOOKUP(A10,RAW_100[[#All],[PartNum]],RAW_100[[#All],[PartDescription]])</f>
        <v>PLATE 3/8" T-316L SS PER A240 2B FINISH</v>
      </c>
      <c r="D10" s="920" t="e">
        <f>SUMIF('TAIL-HEAD SECTIONS'!B$92:B$101,BOM!A10,'TAIL-HEAD SECTIONS'!H$92:H$101)+SUMIF(STANDARDS!B$236:B$251,BOM!A10,STANDARDS!H$236:H$251)+SUMIF('COST PER FT'!B$139:B$143,BOM!A10,'COST PER FT'!H$139:H$144)</f>
        <v>#VALUE!</v>
      </c>
      <c r="E10" s="919" t="s">
        <v>768</v>
      </c>
      <c r="F10" s="922" cm="1">
        <f t="array" ref="F10">_xlfn.XLOOKUP(A10,MET_PRICE[[#All],[Part Number]],MET_PRICE[[#All],[Price ($/lb) Domestic]])</f>
        <v>2.7</v>
      </c>
      <c r="G10" s="923" t="e">
        <f t="shared" si="0"/>
        <v>#VALUE!</v>
      </c>
      <c r="H10" t="e">
        <f t="shared" si="1"/>
        <v>#VALUE!</v>
      </c>
    </row>
    <row r="11" spans="1:11">
      <c r="A11" cm="1">
        <f t="array" ref="A11">_xlfn.XLOOKUP(B11,SM_TBL[[#All],[Thickness]],SM_TBL[[#All],[MoC_PN]])</f>
        <v>101960</v>
      </c>
      <c r="B11">
        <v>0.5</v>
      </c>
      <c r="C11" t="str" cm="1">
        <f t="array" ref="C11">_xlfn.XLOOKUP(A11,RAW_100[[#All],[PartNum]],RAW_100[[#All],[PartDescription]])</f>
        <v>PLATE 1/2" T-316L SS PER A240 2B FINISH</v>
      </c>
      <c r="D11" s="920">
        <f>SUMIF('TAIL-HEAD SECTIONS'!B$92:B$101,BOM!A11,'TAIL-HEAD SECTIONS'!H$92:H$101)+SUMIF(STANDARDS!B$236:B$251,BOM!A11,STANDARDS!H$236:H$251)+SUMIF('COST PER FT'!B$139:B$143,BOM!A11,'COST PER FT'!H$139:H$144)</f>
        <v>9.1938124999999999</v>
      </c>
      <c r="E11" s="919" t="s">
        <v>768</v>
      </c>
      <c r="F11" s="922" cm="1">
        <f t="array" ref="F11">_xlfn.XLOOKUP(A11,MET_PRICE[[#All],[Part Number]],MET_PRICE[[#All],[Price ($/lb) Domestic]])</f>
        <v>3.15</v>
      </c>
      <c r="G11" s="923">
        <f t="shared" si="0"/>
        <v>28.960509374999997</v>
      </c>
      <c r="H11" t="e">
        <f t="shared" si="1"/>
        <v>#VALUE!</v>
      </c>
    </row>
    <row r="12" spans="1:11">
      <c r="A12">
        <f>'MATERIAL COST'!F75</f>
        <v>105787</v>
      </c>
      <c r="C12" t="str" cm="1">
        <f t="array" ref="C12">_xlfn.XLOOKUP(A12,RAW_100[[#All],[PartNum]],RAW_100[[#All],[PartDescription]])</f>
        <v>PIPE Ø3/4" NOM X .113" SCH 40 T-316L SS PER A312 MILL FINISH</v>
      </c>
      <c r="D12" s="920">
        <f>SUMIF('TAIL-HEAD SECTIONS'!B$92:B$101,BOM!A12,'TAIL-HEAD SECTIONS'!H$92:H$101)+SUMIF(STANDARDS!B$236:B$251,BOM!A12,STANDARDS!H$236:H$251)+SUMIF('COST PER FT'!B$139:B$143,BOM!A12,'COST PER FT'!H$139:H$144)</f>
        <v>0</v>
      </c>
      <c r="E12" s="919" t="s">
        <v>28</v>
      </c>
      <c r="F12" s="924" cm="1">
        <f t="array" ref="F12">_xlfn.XLOOKUP(A12,RAW_100[[#All],[PartNum]],RAW_100[[#All],[UnitCost]])</f>
        <v>0</v>
      </c>
      <c r="G12" s="923">
        <f t="shared" si="0"/>
        <v>0</v>
      </c>
      <c r="H12" t="e">
        <f t="shared" si="1"/>
        <v>#VALUE!</v>
      </c>
    </row>
    <row r="13" spans="1:11">
      <c r="A13">
        <f>'MATERIAL COST'!F76</f>
        <v>105771</v>
      </c>
      <c r="C13" t="str" cm="1">
        <f t="array" ref="C13">_xlfn.XLOOKUP(A13,RAW_100[[#All],[PartNum]],RAW_100[[#All],[PartDescription]])</f>
        <v>PIPE Ø1" NOM X .133" SCH 40 T-316L SS PER A312 MILL FINISH</v>
      </c>
      <c r="D13" s="920" t="e">
        <f>SUMIF('TAIL-HEAD SECTIONS'!B$92:B$101,BOM!A13,'TAIL-HEAD SECTIONS'!H$92:H$101)+SUMIF(STANDARDS!B$236:B$251,BOM!A13,STANDARDS!H$236:H$251)+SUMIF('COST PER FT'!B$139:B$143,BOM!A13,'COST PER FT'!H$139:H$144)</f>
        <v>#VALUE!</v>
      </c>
      <c r="E13" s="919" t="s">
        <v>28</v>
      </c>
      <c r="F13" s="924" cm="1">
        <f t="array" ref="F13">_xlfn.XLOOKUP(A13,RAW_100[[#All],[PartNum]],RAW_100[[#All],[UnitCost]])</f>
        <v>9</v>
      </c>
      <c r="G13" s="923" t="e">
        <f t="shared" si="0"/>
        <v>#VALUE!</v>
      </c>
      <c r="H13" t="e">
        <f t="shared" si="1"/>
        <v>#VALUE!</v>
      </c>
    </row>
    <row r="14" spans="1:11">
      <c r="A14">
        <f>'MATERIAL COST'!F77</f>
        <v>105467</v>
      </c>
      <c r="C14" t="str" cm="1">
        <f t="array" ref="C14">_xlfn.XLOOKUP(A14,RAW_100[[#All],[PartNum]],RAW_100[[#All],[PartDescription]])</f>
        <v>PIPE Ø2" NOM X .343" SCH 160 T-316L SS PER A312 MILL FINISH</v>
      </c>
      <c r="D14" s="920">
        <f>SUMIF('TAIL-HEAD SECTIONS'!B$92:B$101,BOM!A14,'TAIL-HEAD SECTIONS'!H$92:H$101)+SUMIF(STANDARDS!B$236:B$251,BOM!A14,STANDARDS!H$236:H$251)+SUMIF('COST PER FT'!B$139:B$143,BOM!A14,'COST PER FT'!H$139:H$144)</f>
        <v>0</v>
      </c>
      <c r="E14" s="919" t="s">
        <v>28</v>
      </c>
      <c r="F14" s="924" cm="1">
        <f t="array" ref="F14">_xlfn.XLOOKUP(A14,RAW_100[[#All],[PartNum]],RAW_100[[#All],[UnitCost]])</f>
        <v>97.5</v>
      </c>
      <c r="G14" s="923">
        <f t="shared" si="0"/>
        <v>0</v>
      </c>
      <c r="H14" t="e">
        <f t="shared" si="1"/>
        <v>#VALUE!</v>
      </c>
    </row>
    <row r="15" spans="1:11">
      <c r="A15">
        <f>'MATERIAL COST'!F78</f>
        <v>105707</v>
      </c>
      <c r="C15" t="str" cm="1">
        <f t="array" ref="C15">_xlfn.XLOOKUP(A15,RAW_100[[#All],[PartNum]],RAW_100[[#All],[PartDescription]])</f>
        <v>PIPE Ø2 1/2" NOM X .203" SCH 40 T-316L SS PER A312 MILL FINISH</v>
      </c>
      <c r="D15" s="920">
        <f>SUMIF('TAIL-HEAD SECTIONS'!B$92:B$101,BOM!A15,'TAIL-HEAD SECTIONS'!H$92:H$101)+SUMIF(STANDARDS!B$236:B$251,BOM!A15,STANDARDS!H$236:H$251)+SUMIF('COST PER FT'!B$139:B$143,BOM!A15,'COST PER FT'!H$139:H$144)</f>
        <v>3.6666666666666665</v>
      </c>
      <c r="E15" s="919" t="s">
        <v>28</v>
      </c>
      <c r="F15" s="924" cm="1">
        <f t="array" ref="F15">_xlfn.XLOOKUP(A15,RAW_100[[#All],[PartNum]],RAW_100[[#All],[UnitCost]])</f>
        <v>35</v>
      </c>
      <c r="G15" s="923">
        <f t="shared" si="0"/>
        <v>128.33333333333331</v>
      </c>
      <c r="H15" t="e">
        <f t="shared" si="1"/>
        <v>#VALUE!</v>
      </c>
    </row>
    <row r="16" spans="1:11">
      <c r="A16">
        <f>'MATERIAL COST'!F79</f>
        <v>105627</v>
      </c>
      <c r="C16" t="str" cm="1">
        <f t="array" ref="C16">_xlfn.XLOOKUP(A16,RAW_100[[#All],[PartNum]],RAW_100[[#All],[PartDescription]])</f>
        <v>PIPE Ø6" NOM X .280" SCH 40 T-316L SS PER A312 MILL FINISH</v>
      </c>
      <c r="D16" s="920" t="e">
        <f>SUMIF('TAIL-HEAD SECTIONS'!B$92:B$101,BOM!A16,'TAIL-HEAD SECTIONS'!H$92:H$101)+SUMIF(STANDARDS!B$236:B$251,BOM!A16,STANDARDS!H$236:H$251)+SUMIF('COST PER FT'!B$139:B$143,BOM!A16,'COST PER FT'!H$139:H$144)</f>
        <v>#VALUE!</v>
      </c>
      <c r="E16" s="919" t="s">
        <v>28</v>
      </c>
      <c r="F16" s="924" cm="1">
        <f t="array" ref="F16">_xlfn.XLOOKUP(A16,RAW_100[[#All],[PartNum]],RAW_100[[#All],[UnitCost]])</f>
        <v>70</v>
      </c>
      <c r="G16" s="923" t="e">
        <f t="shared" si="0"/>
        <v>#VALUE!</v>
      </c>
      <c r="H16" t="e">
        <f t="shared" si="1"/>
        <v>#VALUE!</v>
      </c>
    </row>
    <row r="17" spans="1:9">
      <c r="A17">
        <f>'MATERIAL COST'!F84</f>
        <v>104755</v>
      </c>
      <c r="C17" t="str" cm="1">
        <f t="array" ref="C17">_xlfn.XLOOKUP(A17,RAW_100[[#All],[PartNum]],RAW_100[[#All],[PartDescription]])</f>
        <v>BAR RD Ø3/4" OD T-316L SS PER A276 MILL FINISH</v>
      </c>
      <c r="D17" s="920">
        <f>SUMIF('TAIL-HEAD SECTIONS'!B$92:B$101,BOM!A17,'TAIL-HEAD SECTIONS'!H$92:H$101)+SUMIF(STANDARDS!B$236:B$251,BOM!A17,STANDARDS!H$236:H$251)+SUMIF('COST PER FT'!B$139:B$143,BOM!A17,'COST PER FT'!H$139:H$144)</f>
        <v>0.31770833333333331</v>
      </c>
      <c r="E17" s="919" t="s">
        <v>28</v>
      </c>
      <c r="F17" s="924" cm="1">
        <f t="array" ref="F17">_xlfn.XLOOKUP(A17,RAW_100[[#All],[PartNum]],RAW_100[[#All],[UnitCost]])</f>
        <v>6.3</v>
      </c>
      <c r="G17" s="923">
        <f t="shared" si="0"/>
        <v>2.0015624999999999</v>
      </c>
      <c r="H17" t="e">
        <f t="shared" si="1"/>
        <v>#VALUE!</v>
      </c>
    </row>
    <row r="18" spans="1:9">
      <c r="A18">
        <f>'MATERIAL COST'!F85</f>
        <v>104752</v>
      </c>
      <c r="C18" t="str" cm="1">
        <f t="array" ref="C18">_xlfn.XLOOKUP(A18,RAW_100[[#All],[PartNum]],RAW_100[[#All],[PartDescription]])</f>
        <v>BAR RD Ø1 1/4" OD T-316L SS PER A276 MILL FINISH</v>
      </c>
      <c r="D18" s="920" t="e">
        <f>SUMIF('TAIL-HEAD SECTIONS'!B$92:B$101,BOM!A18,'TAIL-HEAD SECTIONS'!H$92:H$101)+SUMIF(STANDARDS!B$236:B$251,BOM!A18,STANDARDS!H$236:H$251)+SUMIF('COST PER FT'!B$139:B$143,BOM!A18,'COST PER FT'!H$139:H$144)</f>
        <v>#VALUE!</v>
      </c>
      <c r="E18" s="919" t="s">
        <v>28</v>
      </c>
      <c r="F18" s="924" cm="1">
        <f t="array" ref="F18">_xlfn.XLOOKUP(A18,RAW_100[[#All],[PartNum]],RAW_100[[#All],[UnitCost]])</f>
        <v>20</v>
      </c>
      <c r="G18" s="923" t="e">
        <f t="shared" si="0"/>
        <v>#VALUE!</v>
      </c>
      <c r="H18" t="e">
        <f t="shared" si="1"/>
        <v>#VALUE!</v>
      </c>
    </row>
    <row r="19" spans="1:9">
      <c r="A19">
        <f>'MATERIAL COST'!F86</f>
        <v>104748</v>
      </c>
      <c r="C19" t="str" cm="1">
        <f t="array" ref="C19">_xlfn.XLOOKUP(A19,RAW_100[[#All],[PartNum]],RAW_100[[#All],[PartDescription]])</f>
        <v>BAR RD Ø1 1/2" OD T-316L SS PER A276 MILL FINISH</v>
      </c>
      <c r="D19" s="920">
        <f>SUMIF('TAIL-HEAD SECTIONS'!B$92:B$101,BOM!A19,'TAIL-HEAD SECTIONS'!H$92:H$101)+SUMIF(STANDARDS!B$236:B$251,BOM!A19,STANDARDS!H$236:H$251)+SUMIF('COST PER FT'!B$139:B$143,BOM!A19,'COST PER FT'!H$139:H$144)</f>
        <v>0</v>
      </c>
      <c r="E19" s="919" t="s">
        <v>28</v>
      </c>
      <c r="F19" s="924" cm="1">
        <f t="array" ref="F19">_xlfn.XLOOKUP(A19,RAW_100[[#All],[PartNum]],RAW_100[[#All],[UnitCost]])</f>
        <v>57</v>
      </c>
      <c r="G19" s="923">
        <f t="shared" si="0"/>
        <v>0</v>
      </c>
      <c r="H19" t="e">
        <f t="shared" si="1"/>
        <v>#VALUE!</v>
      </c>
    </row>
    <row r="20" spans="1:9">
      <c r="A20">
        <f>'MATERIAL COST'!F87</f>
        <v>104745</v>
      </c>
      <c r="C20" t="str" cm="1">
        <f t="array" ref="C20">_xlfn.XLOOKUP(A20,RAW_100[[#All],[PartNum]],RAW_100[[#All],[PartDescription]])</f>
        <v>BAR RD Ø1 15/16" OD T-316L SS PER A276 MILL FINISH</v>
      </c>
      <c r="D20" s="920">
        <f>SUMIF('TAIL-HEAD SECTIONS'!B$92:B$101,BOM!A20,'TAIL-HEAD SECTIONS'!H$92:H$101)+SUMIF(STANDARDS!B$236:B$251,BOM!A20,STANDARDS!H$236:H$251)+SUMIF('COST PER FT'!B$139:B$143,BOM!A20,'COST PER FT'!H$139:H$144)</f>
        <v>0</v>
      </c>
      <c r="E20" s="919" t="s">
        <v>28</v>
      </c>
      <c r="F20" s="924" cm="1">
        <f t="array" ref="F20">_xlfn.XLOOKUP(A20,RAW_100[[#All],[PartNum]],RAW_100[[#All],[UnitCost]])</f>
        <v>95</v>
      </c>
      <c r="G20" s="923">
        <f t="shared" si="0"/>
        <v>0</v>
      </c>
      <c r="H20" t="e">
        <f t="shared" si="1"/>
        <v>#VALUE!</v>
      </c>
    </row>
    <row r="21" spans="1:9">
      <c r="A21">
        <f>'MATERIAL COST'!F88</f>
        <v>104714</v>
      </c>
      <c r="C21" t="str" cm="1">
        <f t="array" ref="C21">_xlfn.XLOOKUP(A21,RAW_100[[#All],[PartNum]],RAW_100[[#All],[PartDescription]])</f>
        <v>BAR RD Ø2" OD T-316L SS PER A276 MILL FINISH</v>
      </c>
      <c r="D21" s="920">
        <f>SUMIF('TAIL-HEAD SECTIONS'!B$92:B$101,BOM!A21,'TAIL-HEAD SECTIONS'!H$92:H$101)+SUMIF(STANDARDS!B$236:B$251,BOM!A21,STANDARDS!H$236:H$251)+SUMIF('COST PER FT'!B$139:B$143,BOM!A21,'COST PER FT'!H$139:H$144)</f>
        <v>0</v>
      </c>
      <c r="E21" s="919" t="s">
        <v>28</v>
      </c>
      <c r="F21" s="924" cm="1">
        <f t="array" ref="F21">_xlfn.XLOOKUP(A21,RAW_100[[#All],[PartNum]],RAW_100[[#All],[UnitCost]])</f>
        <v>116.6666</v>
      </c>
      <c r="G21" s="923">
        <f t="shared" si="0"/>
        <v>0</v>
      </c>
      <c r="H21" t="e">
        <f t="shared" si="1"/>
        <v>#VALUE!</v>
      </c>
    </row>
    <row r="22" spans="1:9">
      <c r="A22">
        <f>'MATERIAL COST'!F89</f>
        <v>104709</v>
      </c>
      <c r="C22" t="str" cm="1">
        <f t="array" ref="C22">_xlfn.XLOOKUP(A22,RAW_100[[#All],[PartNum]],RAW_100[[#All],[PartDescription]])</f>
        <v>BAR RD Ø2 7/16" OD T-316L SS PER A276 MILL FINISH</v>
      </c>
      <c r="D22" s="920">
        <f>SUMIF('TAIL-HEAD SECTIONS'!B$92:B$101,BOM!A22,'TAIL-HEAD SECTIONS'!H$92:H$101)+SUMIF(STANDARDS!B$236:B$251,BOM!A22,STANDARDS!H$236:H$251)+SUMIF('COST PER FT'!B$139:B$143,BOM!A22,'COST PER FT'!H$139:H$144)</f>
        <v>0</v>
      </c>
      <c r="E22" s="919" t="s">
        <v>28</v>
      </c>
      <c r="F22" s="924" cm="1">
        <f t="array" ref="F22">_xlfn.XLOOKUP(A22,RAW_100[[#All],[PartNum]],RAW_100[[#All],[UnitCost]])</f>
        <v>218.75</v>
      </c>
      <c r="G22" s="923">
        <f t="shared" si="0"/>
        <v>0</v>
      </c>
      <c r="H22" t="e">
        <f t="shared" si="1"/>
        <v>#VALUE!</v>
      </c>
    </row>
    <row r="23" spans="1:9">
      <c r="A23">
        <f>'MATERIAL COST'!F90</f>
        <v>104705</v>
      </c>
      <c r="C23" t="str" cm="1">
        <f t="array" ref="C23">_xlfn.XLOOKUP(A23,RAW_100[[#All],[PartNum]],RAW_100[[#All],[PartDescription]])</f>
        <v>BAR RD Ø2 15/16" OD T-316L SS PER A276 MILL FINISH</v>
      </c>
      <c r="D23" s="920">
        <f>SUMIF('TAIL-HEAD SECTIONS'!B$92:B$101,BOM!A23,'TAIL-HEAD SECTIONS'!H$92:H$101)+SUMIF(STANDARDS!B$236:B$251,BOM!A23,STANDARDS!H$236:H$251)+SUMIF('COST PER FT'!B$139:B$143,BOM!A23,'COST PER FT'!H$139:H$144)</f>
        <v>0</v>
      </c>
      <c r="E23" s="919" t="s">
        <v>28</v>
      </c>
      <c r="F23" s="924" cm="1">
        <f t="array" ref="F23">_xlfn.XLOOKUP(A23,RAW_100[[#All],[PartNum]],RAW_100[[#All],[UnitCost]])</f>
        <v>0</v>
      </c>
      <c r="G23" s="923">
        <f t="shared" si="0"/>
        <v>0</v>
      </c>
      <c r="H23" t="e">
        <f t="shared" si="1"/>
        <v>#VALUE!</v>
      </c>
    </row>
    <row r="24" spans="1:9">
      <c r="A24">
        <f>'MATERIAL COST'!F91</f>
        <v>104674</v>
      </c>
      <c r="C24" t="str" cm="1">
        <f t="array" ref="C24">_xlfn.XLOOKUP(A24,RAW_100[[#All],[PartNum]],RAW_100[[#All],[PartDescription]])</f>
        <v>BAR RD Ø3" OD T-316L SS PER A276 MILL FINISH</v>
      </c>
      <c r="D24" s="920">
        <f>SUMIF('TAIL-HEAD SECTIONS'!B$92:B$101,BOM!A24,'TAIL-HEAD SECTIONS'!H$92:H$101)+SUMIF(STANDARDS!B$236:B$251,BOM!A24,STANDARDS!H$236:H$251)+SUMIF('COST PER FT'!B$139:B$143,BOM!A24,'COST PER FT'!H$139:H$144)</f>
        <v>0</v>
      </c>
      <c r="E24" s="919" t="s">
        <v>28</v>
      </c>
      <c r="F24" s="924" cm="1">
        <f t="array" ref="F24">_xlfn.XLOOKUP(A24,RAW_100[[#All],[PartNum]],RAW_100[[#All],[UnitCost]])</f>
        <v>130</v>
      </c>
      <c r="G24" s="923">
        <f t="shared" si="0"/>
        <v>0</v>
      </c>
      <c r="H24" t="e">
        <f t="shared" si="1"/>
        <v>#VALUE!</v>
      </c>
    </row>
    <row r="25" spans="1:9">
      <c r="A25">
        <f>'MATERIAL COST'!F92</f>
        <v>104669</v>
      </c>
      <c r="C25" t="str" cm="1">
        <f t="array" ref="C25">_xlfn.XLOOKUP(A25,RAW_100[[#All],[PartNum]],RAW_100[[#All],[PartDescription]])</f>
        <v>BAR RD Ø3 7/16" OD T-316L SS PER A276 MILL FINISH</v>
      </c>
      <c r="D25" s="920">
        <f>SUMIF('TAIL-HEAD SECTIONS'!B$92:B$101,BOM!A25,'TAIL-HEAD SECTIONS'!H$92:H$101)+SUMIF(STANDARDS!B$236:B$251,BOM!A25,STANDARDS!H$236:H$251)+SUMIF('COST PER FT'!B$139:B$143,BOM!A25,'COST PER FT'!H$139:H$144)</f>
        <v>0</v>
      </c>
      <c r="E25" s="919" t="s">
        <v>28</v>
      </c>
      <c r="F25" s="924" cm="1">
        <f t="array" ref="F25">_xlfn.XLOOKUP(A25,RAW_100[[#All],[PartNum]],RAW_100[[#All],[UnitCost]])</f>
        <v>0</v>
      </c>
      <c r="G25" s="923">
        <f t="shared" si="0"/>
        <v>0</v>
      </c>
      <c r="H25" t="e">
        <f t="shared" si="1"/>
        <v>#VALUE!</v>
      </c>
    </row>
    <row r="26" spans="1:9">
      <c r="A26">
        <v>103761</v>
      </c>
      <c r="C26" t="s">
        <v>770</v>
      </c>
      <c r="D26" s="920" t="e">
        <f>SUMIF('TAIL-HEAD SECTIONS'!B$92:B$101,BOM!A26,'TAIL-HEAD SECTIONS'!H$92:H$101)+SUMIF(STANDARDS!B$236:B$251,BOM!A26,STANDARDS!H$236:H$251)+SUMIF('COST PER FT'!B$139:B$143,BOM!A26,'COST PER FT'!H$139:H$144)</f>
        <v>#VALUE!</v>
      </c>
      <c r="E26" s="919" t="s">
        <v>28</v>
      </c>
      <c r="F26" s="924" cm="1">
        <f t="array" ref="F26">_xlfn.XLOOKUP(A26,RAW_100[[#All],[PartNum]],RAW_100[[#All],[UnitCost]])</f>
        <v>5</v>
      </c>
      <c r="G26" s="923" t="e">
        <f t="shared" si="0"/>
        <v>#VALUE!</v>
      </c>
      <c r="H26" t="e">
        <f t="shared" si="1"/>
        <v>#VALUE!</v>
      </c>
    </row>
    <row r="27" spans="1:9">
      <c r="A27">
        <f>'MATERIAL COST'!$F$97</f>
        <v>109640</v>
      </c>
      <c r="C27" t="str" cm="1">
        <f t="array" ref="C27">_xlfn.XLOOKUP(A27,RAW_100[[#All],[PartNum]],RAW_100[[#All],[PartDescription]])</f>
        <v>ANGLE L2 1/2" X 2 1/2" X 1/4" T-316L SS PER A276 MILL FINISH</v>
      </c>
      <c r="D27" s="920" t="e">
        <f>SUMIF('TAIL-HEAD SECTIONS'!B$92:B$101,BOM!A27,'TAIL-HEAD SECTIONS'!H$92:H$101)+SUMIF(STANDARDS!B$236:B$251,BOM!A27,STANDARDS!H$236:H$251)+SUMIF('COST PER FT'!B$139:B$143,BOM!A27,'COST PER FT'!H$139:H$144)</f>
        <v>#N/A</v>
      </c>
      <c r="E27" s="919" t="s">
        <v>28</v>
      </c>
      <c r="F27" s="924" cm="1">
        <f t="array" ref="F27">_xlfn.XLOOKUP(A27,RAW_100[[#All],[PartNum]],RAW_100[[#All],[UnitCost]])</f>
        <v>15.2</v>
      </c>
      <c r="G27" s="923" t="e">
        <f t="shared" si="0"/>
        <v>#N/A</v>
      </c>
      <c r="H27" t="e">
        <f t="shared" si="1"/>
        <v>#N/A</v>
      </c>
    </row>
    <row r="29" spans="1:9">
      <c r="G29" s="923" t="e">
        <f>SUM(G3:G28)</f>
        <v>#VALUE!</v>
      </c>
      <c r="I29" s="925" t="e">
        <f>'MATERIAL COST'!S10</f>
        <v>#VALUE!</v>
      </c>
    </row>
    <row r="31" spans="1:9">
      <c r="A31" s="3" t="s">
        <v>771</v>
      </c>
    </row>
    <row r="32" spans="1:9" ht="15.75" thickBot="1">
      <c r="A32" s="360" t="s">
        <v>763</v>
      </c>
      <c r="B32" s="360" t="s">
        <v>544</v>
      </c>
      <c r="C32" s="662" t="s">
        <v>764</v>
      </c>
      <c r="D32" s="360" t="s">
        <v>623</v>
      </c>
      <c r="E32" s="360" t="s">
        <v>728</v>
      </c>
      <c r="F32" s="921" t="s">
        <v>765</v>
      </c>
      <c r="G32" s="360" t="s">
        <v>766</v>
      </c>
      <c r="H32" s="360" t="s">
        <v>767</v>
      </c>
    </row>
    <row r="33" spans="1:14" ht="13.5" thickBot="1">
      <c r="A33">
        <v>131858</v>
      </c>
      <c r="C33" t="s">
        <v>772</v>
      </c>
      <c r="D33" s="927">
        <f>SUMIF('TAIL-HEAD SECTIONS'!B$91:B$121,BOM!A33,'TAIL-HEAD SECTIONS'!H$91:H$121)+SUMIF(STANDARDS!B$235:B$322,BOM!A33,STANDARDS!H$235:H$322)+SUMIF('COST PER FT'!B$138:B$164,BOM!A33,'COST PER FT'!H$138:H$164)</f>
        <v>0</v>
      </c>
      <c r="E33" s="6" t="str" cm="1">
        <f t="array" ref="E33">_xlfn.XLOOKUP(BOM!A33,RAW_100[[#All],[PartNum]],RAW_100[[#All],[PODetail_PUM]])</f>
        <v>SQFT</v>
      </c>
      <c r="F33" s="926" cm="1">
        <f t="array" ref="F33">_xlfn.XLOOKUP(BOM!A33,RAW_100[[#All],[PartNum]],RAW_100[[#All],[UnitCost]])</f>
        <v>16.7347</v>
      </c>
      <c r="G33" s="925">
        <f>D33*F33</f>
        <v>0</v>
      </c>
      <c r="H33" t="e">
        <f>RANK(G33,G$33:G$41,0)</f>
        <v>#VALUE!</v>
      </c>
      <c r="J33" s="1052" t="e">
        <f>MAX(NMET_TBL[RANK])</f>
        <v>#VALUE!</v>
      </c>
      <c r="K33" s="3" t="s">
        <v>773</v>
      </c>
    </row>
    <row r="34" spans="1:14">
      <c r="A34">
        <v>131861</v>
      </c>
      <c r="C34" t="s">
        <v>774</v>
      </c>
      <c r="D34" s="927" t="e">
        <f>SUMIF('TAIL-HEAD SECTIONS'!B$91:B$121,BOM!A34,'TAIL-HEAD SECTIONS'!H$91:H$121)+SUMIF(STANDARDS!B$235:B$322,BOM!A34,STANDARDS!H$235:H$322)+SUMIF('COST PER FT'!B$138:B$164,BOM!A34,'COST PER FT'!H$138:H$164)</f>
        <v>#VALUE!</v>
      </c>
      <c r="E34" s="6" t="str" cm="1">
        <f t="array" ref="E34">_xlfn.XLOOKUP(BOM!A34,RAW_100[[#All],[PartNum]],RAW_100[[#All],[PODetail_PUM]])</f>
        <v>SQFT</v>
      </c>
      <c r="F34" s="926" cm="1">
        <f t="array" ref="F34">_xlfn.XLOOKUP(BOM!A34,RAW_100[[#All],[PartNum]],RAW_100[[#All],[UnitCost]])</f>
        <v>8.5350000000000001</v>
      </c>
      <c r="G34" s="925" t="e">
        <f t="shared" ref="G34:G41" si="2">D34*F34</f>
        <v>#VALUE!</v>
      </c>
      <c r="H34" t="e">
        <f t="shared" ref="H34:H41" si="3">RANK(G34,G$33:G$41,0)</f>
        <v>#VALUE!</v>
      </c>
    </row>
    <row r="35" spans="1:14">
      <c r="A35">
        <v>131862</v>
      </c>
      <c r="C35" t="s">
        <v>775</v>
      </c>
      <c r="D35" s="927" t="e">
        <f>SUMIF('TAIL-HEAD SECTIONS'!B$91:B$121,BOM!A35,'TAIL-HEAD SECTIONS'!H$91:H$121)+SUMIF(STANDARDS!B$235:B$322,BOM!A35,STANDARDS!H$235:H$322)+SUMIF('COST PER FT'!B$138:B$164,BOM!A35,'COST PER FT'!H$138:H$164)</f>
        <v>#VALUE!</v>
      </c>
      <c r="E35" s="6" t="str" cm="1">
        <f t="array" ref="E35">_xlfn.XLOOKUP(BOM!A35,RAW_100[[#All],[PartNum]],RAW_100[[#All],[PODetail_PUM]])</f>
        <v>SQFT</v>
      </c>
      <c r="F35" s="926" cm="1">
        <f t="array" ref="F35">_xlfn.XLOOKUP(BOM!A35,RAW_100[[#All],[PartNum]],RAW_100[[#All],[UnitCost]])</f>
        <v>6.9522000000000004</v>
      </c>
      <c r="G35" s="925" t="e">
        <f t="shared" si="2"/>
        <v>#VALUE!</v>
      </c>
      <c r="H35" t="e">
        <f t="shared" si="3"/>
        <v>#VALUE!</v>
      </c>
    </row>
    <row r="36" spans="1:14">
      <c r="A36">
        <v>131864</v>
      </c>
      <c r="C36" t="s">
        <v>776</v>
      </c>
      <c r="D36" s="927">
        <f>SUMIF('TAIL-HEAD SECTIONS'!B$91:B$121,BOM!A36,'TAIL-HEAD SECTIONS'!H$91:H$121)+SUMIF(STANDARDS!B$235:B$322,BOM!A36,STANDARDS!H$235:H$322)+SUMIF('COST PER FT'!B$138:B$164,BOM!A36,'COST PER FT'!H$138:H$164)</f>
        <v>0</v>
      </c>
      <c r="E36" s="6" t="str" cm="1">
        <f t="array" ref="E36">_xlfn.XLOOKUP(BOM!A36,RAW_100[[#All],[PartNum]],RAW_100[[#All],[PODetail_PUM]])</f>
        <v>SQFT</v>
      </c>
      <c r="F36" s="926" cm="1">
        <f t="array" ref="F36">_xlfn.XLOOKUP(BOM!A36,RAW_100[[#All],[PartNum]],RAW_100[[#All],[UnitCost]])</f>
        <v>4</v>
      </c>
      <c r="G36" s="925">
        <f t="shared" si="2"/>
        <v>0</v>
      </c>
      <c r="H36" t="e">
        <f t="shared" si="3"/>
        <v>#VALUE!</v>
      </c>
    </row>
    <row r="37" spans="1:14">
      <c r="A37">
        <v>131905</v>
      </c>
      <c r="C37" t="s">
        <v>777</v>
      </c>
      <c r="D37" s="927" t="e">
        <f>SUMIF('TAIL-HEAD SECTIONS'!B$91:B$121,BOM!A37,'TAIL-HEAD SECTIONS'!H$91:H$121)+SUMIF(STANDARDS!B$235:B$322,BOM!A37,STANDARDS!H$235:H$322)+SUMIF('COST PER FT'!B$138:B$164,BOM!A37,'COST PER FT'!H$138:H$164)</f>
        <v>#VALUE!</v>
      </c>
      <c r="E37" s="6" t="str" cm="1">
        <f t="array" ref="E37">_xlfn.XLOOKUP(BOM!A37,RAW_100[[#All],[PartNum]],RAW_100[[#All],[PODetail_PUM]])</f>
        <v>SQFT</v>
      </c>
      <c r="F37" s="926" cm="1">
        <f t="array" ref="F37">_xlfn.XLOOKUP(BOM!A37,RAW_100[[#All],[PartNum]],RAW_100[[#All],[UnitCost]])</f>
        <v>13.92</v>
      </c>
      <c r="G37" s="925" t="e">
        <f t="shared" si="2"/>
        <v>#VALUE!</v>
      </c>
      <c r="H37" t="e">
        <f t="shared" si="3"/>
        <v>#VALUE!</v>
      </c>
    </row>
    <row r="38" spans="1:14">
      <c r="A38">
        <v>133659</v>
      </c>
      <c r="C38" t="s">
        <v>778</v>
      </c>
      <c r="D38" s="927">
        <f>SUMIF('TAIL-HEAD SECTIONS'!B$91:B$121,BOM!A38,'TAIL-HEAD SECTIONS'!H$91:H$121)+SUMIF(STANDARDS!B$235:B$322,BOM!A38,STANDARDS!H$235:H$322)+SUMIF('COST PER FT'!B$138:B$164,BOM!A38,'COST PER FT'!H$138:H$164)</f>
        <v>0</v>
      </c>
      <c r="E38" s="6" cm="1">
        <f t="array" ref="E38">_xlfn.XLOOKUP(BOM!A38,RAW_100[[#All],[PartNum]],RAW_100[[#All],[PODetail_PUM]])</f>
        <v>0</v>
      </c>
      <c r="F38" s="1082" cm="1">
        <f t="array" ref="F38">_xlfn.XLOOKUP(BOM!A38,RAW_100[[#All],[PartNum]],RAW_100[[#All],[UnitCost]])</f>
        <v>0</v>
      </c>
      <c r="G38" s="925">
        <f t="shared" si="2"/>
        <v>0</v>
      </c>
      <c r="H38" t="e">
        <f t="shared" si="3"/>
        <v>#VALUE!</v>
      </c>
    </row>
    <row r="39" spans="1:14">
      <c r="A39">
        <v>133689</v>
      </c>
      <c r="C39" t="s">
        <v>779</v>
      </c>
      <c r="D39" s="927">
        <f>SUMIF('TAIL-HEAD SECTIONS'!B$91:B$121,BOM!A39,'TAIL-HEAD SECTIONS'!H$91:H$121)+SUMIF(STANDARDS!B$235:B$322,BOM!A39,STANDARDS!H$235:H$322)+SUMIF('COST PER FT'!B$138:B$164,BOM!A39,'COST PER FT'!H$138:H$164)</f>
        <v>0</v>
      </c>
      <c r="E39" s="6" t="str" cm="1">
        <f t="array" ref="E39">_xlfn.XLOOKUP(BOM!A39,RAW_100[[#All],[PartNum]],RAW_100[[#All],[PODetail_PUM]])</f>
        <v>FT</v>
      </c>
      <c r="F39" s="926" cm="1">
        <f t="array" ref="F39">_xlfn.XLOOKUP(BOM!A39,RAW_100[[#All],[PartNum]],RAW_100[[#All],[UnitCost]])</f>
        <v>2.4500000000000002</v>
      </c>
      <c r="G39" s="925">
        <f t="shared" si="2"/>
        <v>0</v>
      </c>
      <c r="H39" t="e">
        <f t="shared" si="3"/>
        <v>#VALUE!</v>
      </c>
    </row>
    <row r="40" spans="1:14">
      <c r="A40">
        <v>133691</v>
      </c>
      <c r="C40" t="s">
        <v>780</v>
      </c>
      <c r="D40" s="927" t="e">
        <f>SUMIF('TAIL-HEAD SECTIONS'!B$91:B$121,BOM!A40,'TAIL-HEAD SECTIONS'!H$91:H$121)+SUMIF(STANDARDS!B$235:B$322,BOM!A40,STANDARDS!H$235:H$322)+SUMIF('COST PER FT'!B$138:B$164,BOM!A40,'COST PER FT'!H$138:H$164)</f>
        <v>#VALUE!</v>
      </c>
      <c r="E40" s="6" t="str" cm="1">
        <f t="array" ref="E40">_xlfn.XLOOKUP(BOM!A40,RAW_100[[#All],[PartNum]],RAW_100[[#All],[PODetail_PUM]])</f>
        <v>FT</v>
      </c>
      <c r="F40" s="926" cm="1">
        <f t="array" ref="F40">_xlfn.XLOOKUP(BOM!A40,RAW_100[[#All],[PartNum]],RAW_100[[#All],[UnitCost]])</f>
        <v>10.16</v>
      </c>
      <c r="G40" s="925" t="e">
        <f t="shared" si="2"/>
        <v>#VALUE!</v>
      </c>
      <c r="H40" t="e">
        <f t="shared" si="3"/>
        <v>#VALUE!</v>
      </c>
    </row>
    <row r="41" spans="1:14">
      <c r="A41">
        <v>135799</v>
      </c>
      <c r="C41" t="s">
        <v>781</v>
      </c>
      <c r="D41" s="927">
        <f>SUMIF('TAIL-HEAD SECTIONS'!B$91:B$121,BOM!A41,'TAIL-HEAD SECTIONS'!H$91:H$121)+SUMIF(STANDARDS!B$235:B$322,BOM!A41,STANDARDS!H$235:H$322)+SUMIF('COST PER FT'!B$138:B$164,BOM!A41,'COST PER FT'!H$138:H$164)</f>
        <v>0</v>
      </c>
      <c r="E41" s="6" t="str" cm="1">
        <f t="array" ref="E41">_xlfn.XLOOKUP(BOM!A41,RAW_100[[#All],[PartNum]],RAW_100[[#All],[PODetail_PUM]])</f>
        <v>FT</v>
      </c>
      <c r="F41" s="1082" cm="1">
        <f t="array" ref="F41">_xlfn.XLOOKUP(BOM!A41,RAW_100[[#All],[PartNum]],RAW_100[[#All],[UnitCost]])</f>
        <v>0</v>
      </c>
      <c r="G41" s="925">
        <f t="shared" si="2"/>
        <v>0</v>
      </c>
      <c r="H41" t="e">
        <f t="shared" si="3"/>
        <v>#VALUE!</v>
      </c>
    </row>
    <row r="43" spans="1:14">
      <c r="G43" s="923" t="e">
        <f>SUM(G33:G42)</f>
        <v>#VALUE!</v>
      </c>
      <c r="I43" s="925">
        <f>'MATERIAL COST'!S12</f>
        <v>0</v>
      </c>
    </row>
    <row r="45" spans="1:14">
      <c r="A45" s="3" t="s">
        <v>782</v>
      </c>
    </row>
    <row r="46" spans="1:14" ht="15">
      <c r="A46" s="360" t="s">
        <v>763</v>
      </c>
      <c r="B46" s="360" t="s">
        <v>544</v>
      </c>
      <c r="C46" s="662" t="s">
        <v>764</v>
      </c>
      <c r="D46" s="360" t="s">
        <v>623</v>
      </c>
      <c r="E46" s="360" t="s">
        <v>728</v>
      </c>
      <c r="F46" s="921" t="s">
        <v>765</v>
      </c>
      <c r="G46" s="360" t="s">
        <v>766</v>
      </c>
      <c r="H46" s="921" t="s">
        <v>767</v>
      </c>
      <c r="I46" s="921" t="s">
        <v>783</v>
      </c>
      <c r="J46" s="921" t="s">
        <v>784</v>
      </c>
      <c r="K46" s="921" t="s">
        <v>785</v>
      </c>
    </row>
    <row r="47" spans="1:14" ht="15">
      <c r="A47">
        <v>409802</v>
      </c>
      <c r="C47" s="928" t="s">
        <v>786</v>
      </c>
      <c r="D47" s="927">
        <f>SUMIF('TAIL-HEAD SECTIONS'!B$91:B$121,BOM!A47,'TAIL-HEAD SECTIONS'!H$91:H$121)+SUMIF(STANDARDS!B$235:B$322,BOM!A47,STANDARDS!H$235:H$322)+SUMIF('COST PER FT'!B$138:B$164,BOM!A47,'COST PER FT'!H$138:H$164)</f>
        <v>0</v>
      </c>
      <c r="F47" s="918">
        <v>0.56999999999999995</v>
      </c>
      <c r="G47" s="923">
        <f>D47*F47</f>
        <v>0</v>
      </c>
      <c r="H47" t="e">
        <f t="shared" ref="H47:H84" si="4">RANK(G47,G$47:G$84,0)</f>
        <v>#N/A</v>
      </c>
      <c r="I47" t="str" cm="1">
        <f t="array" ref="I47">_xlfn.IFNA(_xlfn.XLOOKUP(PP_COST[[#This Row],[PART NUMBER]],PC_500[[#All],[Part_PartNum]],PC_500[[#All],[Vendor_Name]]),"")</f>
        <v/>
      </c>
      <c r="J47" s="930" t="str" cm="1">
        <f t="array" ref="J47">_xlfn.IFNA(_xlfn.XLOOKUP(PP_COST[[#This Row],[PART NUMBER]],PC_500[[#All],[Part_PartNum]],PC_500[[#All],[Order_Date]]),"")</f>
        <v/>
      </c>
      <c r="K47" t="str" cm="1">
        <f t="array" ref="K47">_xlfn.IFNA(_xlfn.XLOOKUP(PP_COST[[#This Row],[PART NUMBER]],PC_500[[#All],[Part_PartNum]],PC_500[[#All],[PO_NUM]]),"")</f>
        <v/>
      </c>
      <c r="M47" s="3" t="e">
        <f>MAX(PP_COST[RANK])</f>
        <v>#N/A</v>
      </c>
      <c r="N47" s="2" t="s">
        <v>787</v>
      </c>
    </row>
    <row r="48" spans="1:14" ht="15">
      <c r="A48">
        <v>501005</v>
      </c>
      <c r="C48" s="56" t="s">
        <v>788</v>
      </c>
      <c r="D48" s="927">
        <f>SUMIF('TAIL-HEAD SECTIONS'!B$91:B$121,BOM!A48,'TAIL-HEAD SECTIONS'!H$91:H$121)+SUMIF(STANDARDS!B$235:B$322,BOM!A48,STANDARDS!H$235:H$322)+SUMIF('COST PER FT'!B$138:B$164,BOM!A48,'COST PER FT'!H$138:H$164)</f>
        <v>0</v>
      </c>
      <c r="F48" s="925" cm="1">
        <f t="array" ref="F48">_xlfn.IFNA(_xlfn.XLOOKUP(A48,PC_500[[#All],[Part_PartNum]],PC_500[[#All],[Unit_Cost]]),0)</f>
        <v>30.007999999999999</v>
      </c>
      <c r="G48" s="923">
        <f>D48*F48</f>
        <v>0</v>
      </c>
      <c r="H48" t="e">
        <f t="shared" si="4"/>
        <v>#N/A</v>
      </c>
      <c r="I48" t="str" cm="1">
        <f t="array" ref="I48">_xlfn.IFNA(_xlfn.XLOOKUP(PP_COST[[#This Row],[PART NUMBER]],PC_500[[#All],[Part_PartNum]],PC_500[[#All],[Vendor_Name]]),"")</f>
        <v>HILTI INC*</v>
      </c>
      <c r="J48" s="930" cm="1">
        <f t="array" ref="J48">_xlfn.IFNA(_xlfn.XLOOKUP(PP_COST[[#This Row],[PART NUMBER]],PC_500[[#All],[Part_PartNum]],PC_500[[#All],[Order_Date]]),"")</f>
        <v>45525</v>
      </c>
      <c r="K48" cm="1">
        <f t="array" ref="K48">_xlfn.IFNA(_xlfn.XLOOKUP(PP_COST[[#This Row],[PART NUMBER]],PC_500[[#All],[Part_PartNum]],PC_500[[#All],[PO_NUM]]),"")</f>
        <v>409010</v>
      </c>
    </row>
    <row r="49" spans="1:11" ht="15">
      <c r="A49" s="56">
        <v>501048</v>
      </c>
      <c r="B49" s="56"/>
      <c r="C49" s="56" t="s">
        <v>789</v>
      </c>
      <c r="D49" s="927">
        <f>SUMIF('TAIL-HEAD SECTIONS'!B$91:B$121,BOM!A49,'TAIL-HEAD SECTIONS'!H$91:H$121)+SUMIF(STANDARDS!B$235:B$322,BOM!A49,STANDARDS!H$235:H$322)+SUMIF('COST PER FT'!B$138:B$164,BOM!A49,'COST PER FT'!H$138:H$164)</f>
        <v>0</v>
      </c>
      <c r="F49" s="925" cm="1">
        <f t="array" ref="F49">_xlfn.IFNA(_xlfn.XLOOKUP(A49,PC_500[[#All],[Part_PartNum]],PC_500[[#All],[Unit_Cost]]),0)</f>
        <v>26.56</v>
      </c>
      <c r="G49" s="923">
        <f t="shared" ref="G49:G81" si="5">D49*F49</f>
        <v>0</v>
      </c>
      <c r="H49" t="e">
        <f t="shared" si="4"/>
        <v>#N/A</v>
      </c>
      <c r="I49" t="str" cm="1">
        <f t="array" ref="I49">_xlfn.IFNA(_xlfn.XLOOKUP(PP_COST[[#This Row],[PART NUMBER]],PC_500[[#All],[Part_PartNum]],PC_500[[#All],[Vendor_Name]]),"")</f>
        <v>MCMASTER-CARR SUPPLY CO*</v>
      </c>
      <c r="J49" s="930" cm="1">
        <f t="array" ref="J49">_xlfn.IFNA(_xlfn.XLOOKUP(PP_COST[[#This Row],[PART NUMBER]],PC_500[[#All],[Part_PartNum]],PC_500[[#All],[Order_Date]]),"")</f>
        <v>45663</v>
      </c>
      <c r="K49" cm="1">
        <f t="array" ref="K49">_xlfn.IFNA(_xlfn.XLOOKUP(PP_COST[[#This Row],[PART NUMBER]],PC_500[[#All],[Part_PartNum]],PC_500[[#All],[PO_NUM]]),"")</f>
        <v>409621</v>
      </c>
    </row>
    <row r="50" spans="1:11" ht="15">
      <c r="A50" s="56">
        <v>501070</v>
      </c>
      <c r="B50" s="56"/>
      <c r="C50" s="56" t="s">
        <v>790</v>
      </c>
      <c r="D50" s="927">
        <f>SUMIF('TAIL-HEAD SECTIONS'!B$91:B$121,BOM!A50,'TAIL-HEAD SECTIONS'!H$91:H$121)+SUMIF(STANDARDS!B$235:B$322,BOM!A50,STANDARDS!H$235:H$322)+SUMIF('COST PER FT'!B$138:B$164,BOM!A50,'COST PER FT'!H$138:H$164)</f>
        <v>4</v>
      </c>
      <c r="F50" s="925" cm="1">
        <f t="array" ref="F50">_xlfn.IFNA(_xlfn.XLOOKUP(A50,PC_500[[#All],[Part_PartNum]],PC_500[[#All],[Unit_Cost]]),0)</f>
        <v>12.81</v>
      </c>
      <c r="G50" s="923">
        <f t="shared" si="5"/>
        <v>51.24</v>
      </c>
      <c r="H50" t="e">
        <f t="shared" si="4"/>
        <v>#N/A</v>
      </c>
      <c r="I50" t="str" cm="1">
        <f t="array" ref="I50">_xlfn.IFNA(_xlfn.XLOOKUP(PP_COST[[#This Row],[PART NUMBER]],PC_500[[#All],[Part_PartNum]],PC_500[[#All],[Vendor_Name]]),"")</f>
        <v>MCMASTER-CARR SUPPLY CO*</v>
      </c>
      <c r="J50" s="930" cm="1">
        <f t="array" ref="J50">_xlfn.IFNA(_xlfn.XLOOKUP(PP_COST[[#This Row],[PART NUMBER]],PC_500[[#All],[Part_PartNum]],PC_500[[#All],[Order_Date]]),"")</f>
        <v>45764</v>
      </c>
      <c r="K50" cm="1">
        <f t="array" ref="K50">_xlfn.IFNA(_xlfn.XLOOKUP(PP_COST[[#This Row],[PART NUMBER]],PC_500[[#All],[Part_PartNum]],PC_500[[#All],[PO_NUM]]),"")</f>
        <v>410185</v>
      </c>
    </row>
    <row r="51" spans="1:11" ht="15">
      <c r="A51" s="56">
        <v>501100</v>
      </c>
      <c r="B51" s="56"/>
      <c r="C51" s="56" t="s">
        <v>791</v>
      </c>
      <c r="D51" s="927">
        <f>SUMIF('TAIL-HEAD SECTIONS'!B$91:B$121,BOM!A51,'TAIL-HEAD SECTIONS'!H$91:H$121)+SUMIF(STANDARDS!B$235:B$322,BOM!A51,STANDARDS!H$235:H$322)+SUMIF('COST PER FT'!B$138:B$164,BOM!A51,'COST PER FT'!H$138:H$164)</f>
        <v>2</v>
      </c>
      <c r="F51" s="925" cm="1">
        <f t="array" ref="F51">_xlfn.IFNA(_xlfn.XLOOKUP(A51,PC_500[[#All],[Part_PartNum]],PC_500[[#All],[Unit_Cost]]),0)</f>
        <v>21.56</v>
      </c>
      <c r="G51" s="923">
        <f t="shared" si="5"/>
        <v>43.12</v>
      </c>
      <c r="H51" t="e">
        <f t="shared" si="4"/>
        <v>#N/A</v>
      </c>
      <c r="I51" t="str" cm="1">
        <f t="array" ref="I51">_xlfn.IFNA(_xlfn.XLOOKUP(PP_COST[[#This Row],[PART NUMBER]],PC_500[[#All],[Part_PartNum]],PC_500[[#All],[Vendor_Name]]),"")</f>
        <v>MCMASTER-CARR SUPPLY CO*</v>
      </c>
      <c r="J51" s="930" cm="1">
        <f t="array" ref="J51">_xlfn.IFNA(_xlfn.XLOOKUP(PP_COST[[#This Row],[PART NUMBER]],PC_500[[#All],[Part_PartNum]],PC_500[[#All],[Order_Date]]),"")</f>
        <v>45587</v>
      </c>
      <c r="K51" cm="1">
        <f t="array" ref="K51">_xlfn.IFNA(_xlfn.XLOOKUP(PP_COST[[#This Row],[PART NUMBER]],PC_500[[#All],[Part_PartNum]],PC_500[[#All],[PO_NUM]]),"")</f>
        <v>409322</v>
      </c>
    </row>
    <row r="52" spans="1:11" ht="15">
      <c r="A52" s="56">
        <v>501143</v>
      </c>
      <c r="B52" s="56"/>
      <c r="C52" s="56" t="s">
        <v>792</v>
      </c>
      <c r="D52" s="927">
        <f>SUMIF('TAIL-HEAD SECTIONS'!B$91:B$121,BOM!A52,'TAIL-HEAD SECTIONS'!H$91:H$121)+SUMIF(STANDARDS!B$235:B$322,BOM!A52,STANDARDS!H$235:H$322)+SUMIF('COST PER FT'!B$138:B$164,BOM!A52,'COST PER FT'!H$138:H$164)</f>
        <v>0</v>
      </c>
      <c r="F52" s="925" cm="1">
        <f t="array" ref="F52">_xlfn.IFNA(_xlfn.XLOOKUP(A52,PC_500[[#All],[Part_PartNum]],PC_500[[#All],[Unit_Cost]]),0)</f>
        <v>59.31</v>
      </c>
      <c r="G52" s="923">
        <f t="shared" si="5"/>
        <v>0</v>
      </c>
      <c r="H52" t="e">
        <f t="shared" si="4"/>
        <v>#N/A</v>
      </c>
      <c r="I52" t="str" cm="1">
        <f t="array" ref="I52">_xlfn.IFNA(_xlfn.XLOOKUP(PP_COST[[#This Row],[PART NUMBER]],PC_500[[#All],[Part_PartNum]],PC_500[[#All],[Vendor_Name]]),"")</f>
        <v>ATLANTIC DRIVES &amp; BEARING INC*</v>
      </c>
      <c r="J52" s="930" cm="1">
        <f t="array" ref="J52">_xlfn.IFNA(_xlfn.XLOOKUP(PP_COST[[#This Row],[PART NUMBER]],PC_500[[#All],[Part_PartNum]],PC_500[[#All],[Order_Date]]),"")</f>
        <v>45427</v>
      </c>
      <c r="K52" cm="1">
        <f t="array" ref="K52">_xlfn.IFNA(_xlfn.XLOOKUP(PP_COST[[#This Row],[PART NUMBER]],PC_500[[#All],[Part_PartNum]],PC_500[[#All],[PO_NUM]]),"")</f>
        <v>408525</v>
      </c>
    </row>
    <row r="53" spans="1:11" ht="15">
      <c r="A53" s="56">
        <v>501337</v>
      </c>
      <c r="B53" s="56"/>
      <c r="C53" s="56" t="s">
        <v>793</v>
      </c>
      <c r="D53" s="927">
        <f>SUMIF('TAIL-HEAD SECTIONS'!B$91:B$121,BOM!A53,'TAIL-HEAD SECTIONS'!H$91:H$121)+SUMIF(STANDARDS!B$235:B$322,BOM!A53,STANDARDS!H$235:H$322)+SUMIF('COST PER FT'!B$138:B$164,BOM!A53,'COST PER FT'!H$138:H$164)</f>
        <v>0</v>
      </c>
      <c r="F53" s="925" cm="1">
        <f t="array" ref="F53">_xlfn.IFNA(_xlfn.XLOOKUP(A53,PC_500[[#All],[Part_PartNum]],PC_500[[#All],[Unit_Cost]]),0)</f>
        <v>0.7</v>
      </c>
      <c r="G53" s="923">
        <f>D53*F53</f>
        <v>0</v>
      </c>
      <c r="H53" t="e">
        <f t="shared" si="4"/>
        <v>#N/A</v>
      </c>
      <c r="I53" t="str" cm="1">
        <f t="array" ref="I53">_xlfn.IFNA(_xlfn.XLOOKUP(PP_COST[[#This Row],[PART NUMBER]],PC_500[[#All],[Part_PartNum]],PC_500[[#All],[Vendor_Name]]),"")</f>
        <v>HARRINGTON INDUST PLASTICS*</v>
      </c>
      <c r="J53" s="930" cm="1">
        <f t="array" ref="J53">_xlfn.IFNA(_xlfn.XLOOKUP(PP_COST[[#This Row],[PART NUMBER]],PC_500[[#All],[Part_PartNum]],PC_500[[#All],[Order_Date]]),"")</f>
        <v>44932</v>
      </c>
      <c r="K53" cm="1">
        <f t="array" ref="K53">_xlfn.IFNA(_xlfn.XLOOKUP(PP_COST[[#This Row],[PART NUMBER]],PC_500[[#All],[Part_PartNum]],PC_500[[#All],[PO_NUM]]),"")</f>
        <v>406022</v>
      </c>
    </row>
    <row r="54" spans="1:11" ht="15">
      <c r="A54" s="56">
        <v>501338</v>
      </c>
      <c r="B54" s="56"/>
      <c r="C54" s="56" t="s">
        <v>794</v>
      </c>
      <c r="D54" s="927">
        <f>SUMIF('TAIL-HEAD SECTIONS'!B$91:B$121,BOM!A54,'TAIL-HEAD SECTIONS'!H$91:H$121)+SUMIF(STANDARDS!B$235:B$322,BOM!A54,STANDARDS!H$235:H$322)+SUMIF('COST PER FT'!B$138:B$164,BOM!A54,'COST PER FT'!H$138:H$164)</f>
        <v>0</v>
      </c>
      <c r="F54" s="925" cm="1">
        <f t="array" ref="F54">_xlfn.IFNA(_xlfn.XLOOKUP(A54,PC_500[[#All],[Part_PartNum]],PC_500[[#All],[Unit_Cost]]),0)</f>
        <v>0.65</v>
      </c>
      <c r="G54" s="923">
        <f t="shared" si="5"/>
        <v>0</v>
      </c>
      <c r="H54" t="e">
        <f t="shared" si="4"/>
        <v>#N/A</v>
      </c>
      <c r="I54" t="str" cm="1">
        <f t="array" ref="I54">_xlfn.IFNA(_xlfn.XLOOKUP(PP_COST[[#This Row],[PART NUMBER]],PC_500[[#All],[Part_PartNum]],PC_500[[#All],[Vendor_Name]]),"")</f>
        <v>HARRINGTON INDUST PLASTICS*</v>
      </c>
      <c r="J54" s="930" cm="1">
        <f t="array" ref="J54">_xlfn.IFNA(_xlfn.XLOOKUP(PP_COST[[#This Row],[PART NUMBER]],PC_500[[#All],[Part_PartNum]],PC_500[[#All],[Order_Date]]),"")</f>
        <v>44932</v>
      </c>
      <c r="K54" cm="1">
        <f t="array" ref="K54">_xlfn.IFNA(_xlfn.XLOOKUP(PP_COST[[#This Row],[PART NUMBER]],PC_500[[#All],[Part_PartNum]],PC_500[[#All],[PO_NUM]]),"")</f>
        <v>406022</v>
      </c>
    </row>
    <row r="55" spans="1:11" ht="15">
      <c r="A55" s="232" t="e">
        <f>MR_PN</f>
        <v>#N/A</v>
      </c>
      <c r="B55" s="232"/>
      <c r="C55" s="232" t="e" cm="1">
        <f t="array" ref="C55">_xlfn.XLOOKUP(PP_COST[[#This Row],[PART NUMBER]],PC_500[[#All],[Part_PartNum]],PC_500[[#All],[Part_PartDescription]])</f>
        <v>#N/A</v>
      </c>
      <c r="D55" s="927">
        <f>SUMIF('TAIL-HEAD SECTIONS'!B$91:B$121,BOM!A55,'TAIL-HEAD SECTIONS'!H$91:H$121)+SUMIF(STANDARDS!B$235:B$322,BOM!A55,STANDARDS!H$235:H$322)+SUMIF('COST PER FT'!B$138:B$164,BOM!A55,'COST PER FT'!H$138:H$164)</f>
        <v>0</v>
      </c>
      <c r="F55" s="925" cm="1">
        <f t="array" ref="F55">_xlfn.IFNA(_xlfn.XLOOKUP(A55,PC_500[[#All],[Part_PartNum]],PC_500[[#All],[Unit_Cost]]),0)</f>
        <v>0</v>
      </c>
      <c r="G55" s="923">
        <f t="shared" si="5"/>
        <v>0</v>
      </c>
      <c r="H55" t="e">
        <f t="shared" si="4"/>
        <v>#N/A</v>
      </c>
      <c r="I55" t="str" cm="1">
        <f t="array" ref="I55">_xlfn.IFNA(_xlfn.XLOOKUP(PP_COST[[#This Row],[PART NUMBER]],PC_500[[#All],[Part_PartNum]],PC_500[[#All],[Vendor_Name]]),"")</f>
        <v/>
      </c>
      <c r="J55" s="930" t="str" cm="1">
        <f t="array" ref="J55">_xlfn.IFNA(_xlfn.XLOOKUP(PP_COST[[#This Row],[PART NUMBER]],PC_500[[#All],[Part_PartNum]],PC_500[[#All],[Order_Date]]),"")</f>
        <v/>
      </c>
      <c r="K55" t="str" cm="1">
        <f t="array" ref="K55">_xlfn.IFNA(_xlfn.XLOOKUP(PP_COST[[#This Row],[PART NUMBER]],PC_500[[#All],[Part_PartNum]],PC_500[[#All],[PO_NUM]]),"")</f>
        <v/>
      </c>
    </row>
    <row r="56" spans="1:11" ht="15">
      <c r="A56" s="56">
        <v>501423</v>
      </c>
      <c r="B56" s="56"/>
      <c r="C56" s="56" t="s">
        <v>795</v>
      </c>
      <c r="D56" s="927">
        <f>SUMIF('TAIL-HEAD SECTIONS'!B$91:B$121,BOM!A56,'TAIL-HEAD SECTIONS'!H$91:H$121)+SUMIF(STANDARDS!B$235:B$322,BOM!A56,STANDARDS!H$235:H$322)+SUMIF('COST PER FT'!B$138:B$164,BOM!A56,'COST PER FT'!H$138:H$164)</f>
        <v>0</v>
      </c>
      <c r="F56" s="929">
        <v>4.5</v>
      </c>
      <c r="G56" s="923">
        <f t="shared" si="5"/>
        <v>0</v>
      </c>
      <c r="H56" t="e">
        <f t="shared" si="4"/>
        <v>#N/A</v>
      </c>
      <c r="I56" cm="1">
        <f t="array" ref="I56">_xlfn.IFNA(_xlfn.XLOOKUP(PP_COST[[#This Row],[PART NUMBER]],PC_500[[#All],[Part_PartNum]],PC_500[[#All],[Vendor_Name]]),"")</f>
        <v>0</v>
      </c>
      <c r="J56" s="930" cm="1">
        <f t="array" ref="J56">_xlfn.IFNA(_xlfn.XLOOKUP(PP_COST[[#This Row],[PART NUMBER]],PC_500[[#All],[Part_PartNum]],PC_500[[#All],[Order_Date]]),"")</f>
        <v>0</v>
      </c>
      <c r="K56" cm="1">
        <f t="array" ref="K56">_xlfn.IFNA(_xlfn.XLOOKUP(PP_COST[[#This Row],[PART NUMBER]],PC_500[[#All],[Part_PartNum]],PC_500[[#All],[PO_NUM]]),"")</f>
        <v>0</v>
      </c>
    </row>
    <row r="57" spans="1:11" ht="15">
      <c r="A57" s="56">
        <v>501494</v>
      </c>
      <c r="B57" s="56"/>
      <c r="C57" s="56" t="s">
        <v>796</v>
      </c>
      <c r="D57" s="927">
        <f>SUMIF('TAIL-HEAD SECTIONS'!B$91:B$121,BOM!A57,'TAIL-HEAD SECTIONS'!H$91:H$121)+SUMIF(STANDARDS!B$235:B$322,BOM!A57,STANDARDS!H$235:H$322)+SUMIF('COST PER FT'!B$138:B$164,BOM!A57,'COST PER FT'!H$138:H$164)</f>
        <v>0</v>
      </c>
      <c r="F57" s="929">
        <v>11</v>
      </c>
      <c r="G57" s="923">
        <f t="shared" si="5"/>
        <v>0</v>
      </c>
      <c r="H57" t="e">
        <f t="shared" si="4"/>
        <v>#N/A</v>
      </c>
      <c r="I57" cm="1">
        <f t="array" ref="I57">_xlfn.IFNA(_xlfn.XLOOKUP(PP_COST[[#This Row],[PART NUMBER]],PC_500[[#All],[Part_PartNum]],PC_500[[#All],[Vendor_Name]]),"")</f>
        <v>0</v>
      </c>
      <c r="J57" s="930" cm="1">
        <f t="array" ref="J57">_xlfn.IFNA(_xlfn.XLOOKUP(PP_COST[[#This Row],[PART NUMBER]],PC_500[[#All],[Part_PartNum]],PC_500[[#All],[Order_Date]]),"")</f>
        <v>0</v>
      </c>
      <c r="K57" cm="1">
        <f t="array" ref="K57">_xlfn.IFNA(_xlfn.XLOOKUP(PP_COST[[#This Row],[PART NUMBER]],PC_500[[#All],[Part_PartNum]],PC_500[[#All],[PO_NUM]]),"")</f>
        <v>0</v>
      </c>
    </row>
    <row r="58" spans="1:11" ht="15">
      <c r="A58" s="232" t="e">
        <f>RI_PN</f>
        <v>#N/A</v>
      </c>
      <c r="B58" s="232"/>
      <c r="C58" s="232" t="e" cm="1">
        <f t="array" ref="C58">_xlfn.XLOOKUP(PP_COST[[#This Row],[PART NUMBER]],PC_500[[#All],[Part_PartNum]],PC_500[[#All],[Part_PartDescription]])</f>
        <v>#N/A</v>
      </c>
      <c r="D58" s="927">
        <f>SUMIF('TAIL-HEAD SECTIONS'!B$91:B$121,BOM!A58,'TAIL-HEAD SECTIONS'!H$91:H$121)+SUMIF(STANDARDS!B$235:B$322,BOM!A58,STANDARDS!H$235:H$322)+SUMIF('COST PER FT'!B$138:B$164,BOM!A58,'COST PER FT'!H$138:H$164)</f>
        <v>0</v>
      </c>
      <c r="F58" s="932" cm="1">
        <f t="array" ref="F58">_xlfn.IFNA(_xlfn.XLOOKUP(A58,PC_500[[#All],[Part_PartNum]],PC_500[[#All],[Unit_Cost]]),0)</f>
        <v>0</v>
      </c>
      <c r="G58" s="923">
        <f t="shared" si="5"/>
        <v>0</v>
      </c>
      <c r="H58" t="e">
        <f t="shared" si="4"/>
        <v>#N/A</v>
      </c>
      <c r="I58" t="str" cm="1">
        <f t="array" ref="I58">_xlfn.IFNA(_xlfn.XLOOKUP(PP_COST[[#This Row],[PART NUMBER]],PC_500[[#All],[Part_PartNum]],PC_500[[#All],[Vendor_Name]]),"")</f>
        <v/>
      </c>
      <c r="J58" s="930" t="str" cm="1">
        <f t="array" ref="J58">_xlfn.IFNA(_xlfn.XLOOKUP(PP_COST[[#This Row],[PART NUMBER]],PC_500[[#All],[Part_PartNum]],PC_500[[#All],[Order_Date]]),"")</f>
        <v/>
      </c>
      <c r="K58" t="str" cm="1">
        <f t="array" ref="K58">_xlfn.IFNA(_xlfn.XLOOKUP(PP_COST[[#This Row],[PART NUMBER]],PC_500[[#All],[Part_PartNum]],PC_500[[#All],[PO_NUM]]),"")</f>
        <v/>
      </c>
    </row>
    <row r="59" spans="1:11" ht="15">
      <c r="A59" s="56">
        <v>501526</v>
      </c>
      <c r="B59" s="56"/>
      <c r="C59" s="56" t="s">
        <v>797</v>
      </c>
      <c r="D59" s="927">
        <f>SUMIF('TAIL-HEAD SECTIONS'!B$91:B$121,BOM!A59,'TAIL-HEAD SECTIONS'!H$91:H$121)+SUMIF(STANDARDS!B$235:B$322,BOM!A59,STANDARDS!H$235:H$322)+SUMIF('COST PER FT'!B$138:B$164,BOM!A59,'COST PER FT'!H$138:H$164)</f>
        <v>0</v>
      </c>
      <c r="F59" s="925" cm="1">
        <f t="array" ref="F59">_xlfn.IFNA(_xlfn.XLOOKUP(A59,PC_500[[#All],[Part_PartNum]],PC_500[[#All],[Unit_Cost]]),0)</f>
        <v>28.63</v>
      </c>
      <c r="G59" s="923">
        <f t="shared" si="5"/>
        <v>0</v>
      </c>
      <c r="H59" t="e">
        <f t="shared" si="4"/>
        <v>#N/A</v>
      </c>
      <c r="I59" t="str" cm="1">
        <f t="array" ref="I59">_xlfn.IFNA(_xlfn.XLOOKUP(PP_COST[[#This Row],[PART NUMBER]],PC_500[[#All],[Part_PartNum]],PC_500[[#All],[Vendor_Name]]),"")</f>
        <v>MCMASTER-CARR SUPPLY CO*</v>
      </c>
      <c r="J59" s="930" cm="1">
        <f t="array" ref="J59">_xlfn.IFNA(_xlfn.XLOOKUP(PP_COST[[#This Row],[PART NUMBER]],PC_500[[#All],[Part_PartNum]],PC_500[[#All],[Order_Date]]),"")</f>
        <v>45727</v>
      </c>
      <c r="K59" cm="1">
        <f t="array" ref="K59">_xlfn.IFNA(_xlfn.XLOOKUP(PP_COST[[#This Row],[PART NUMBER]],PC_500[[#All],[Part_PartNum]],PC_500[[#All],[PO_NUM]]),"")</f>
        <v>409977</v>
      </c>
    </row>
    <row r="60" spans="1:11" ht="15">
      <c r="A60" s="56">
        <v>501540</v>
      </c>
      <c r="B60" s="56"/>
      <c r="C60" s="56" t="s">
        <v>798</v>
      </c>
      <c r="D60" s="927">
        <f>SUMIF('TAIL-HEAD SECTIONS'!B$91:B$121,BOM!A60,'TAIL-HEAD SECTIONS'!H$91:H$121)+SUMIF(STANDARDS!B$235:B$322,BOM!A60,STANDARDS!H$235:H$322)+SUMIF('COST PER FT'!B$138:B$164,BOM!A60,'COST PER FT'!H$138:H$164)</f>
        <v>0</v>
      </c>
      <c r="F60" s="925" cm="1">
        <f t="array" ref="F60">_xlfn.IFNA(_xlfn.XLOOKUP(A60,PC_500[[#All],[Part_PartNum]],PC_500[[#All],[Unit_Cost]]),0)</f>
        <v>3.4615999999999998</v>
      </c>
      <c r="G60" s="923">
        <f t="shared" si="5"/>
        <v>0</v>
      </c>
      <c r="H60" t="e">
        <f t="shared" si="4"/>
        <v>#N/A</v>
      </c>
      <c r="I60" t="str" cm="1">
        <f t="array" ref="I60">_xlfn.IFNA(_xlfn.XLOOKUP(PP_COST[[#This Row],[PART NUMBER]],PC_500[[#All],[Part_PartNum]],PC_500[[#All],[Vendor_Name]]),"")</f>
        <v>MCMASTER-CARR SUPPLY CO*</v>
      </c>
      <c r="J60" s="930" cm="1">
        <f t="array" ref="J60">_xlfn.IFNA(_xlfn.XLOOKUP(PP_COST[[#This Row],[PART NUMBER]],PC_500[[#All],[Part_PartNum]],PC_500[[#All],[Order_Date]]),"")</f>
        <v>45750</v>
      </c>
      <c r="K60" cm="1">
        <f t="array" ref="K60">_xlfn.IFNA(_xlfn.XLOOKUP(PP_COST[[#This Row],[PART NUMBER]],PC_500[[#All],[Part_PartNum]],PC_500[[#All],[PO_NUM]]),"")</f>
        <v>410095</v>
      </c>
    </row>
    <row r="61" spans="1:11" ht="15">
      <c r="A61" s="56">
        <v>501543</v>
      </c>
      <c r="B61" s="56"/>
      <c r="C61" s="56" t="s">
        <v>799</v>
      </c>
      <c r="D61" s="927">
        <f>SUMIF('TAIL-HEAD SECTIONS'!B$91:B$121,BOM!A61,'TAIL-HEAD SECTIONS'!H$91:H$121)+SUMIF(STANDARDS!B$235:B$322,BOM!A61,STANDARDS!H$235:H$322)+SUMIF('COST PER FT'!B$138:B$164,BOM!A61,'COST PER FT'!H$138:H$164)</f>
        <v>0</v>
      </c>
      <c r="F61" s="925" cm="1">
        <f t="array" ref="F61">_xlfn.IFNA(_xlfn.XLOOKUP(A61,PC_500[[#All],[Part_PartNum]],PC_500[[#All],[Unit_Cost]]),0)</f>
        <v>15.67</v>
      </c>
      <c r="G61" s="923">
        <f t="shared" si="5"/>
        <v>0</v>
      </c>
      <c r="H61" t="e">
        <f t="shared" si="4"/>
        <v>#N/A</v>
      </c>
      <c r="I61" t="str" cm="1">
        <f t="array" ref="I61">_xlfn.IFNA(_xlfn.XLOOKUP(PP_COST[[#This Row],[PART NUMBER]],PC_500[[#All],[Part_PartNum]],PC_500[[#All],[Vendor_Name]]),"")</f>
        <v>MCMASTER-CARR SUPPLY CO*</v>
      </c>
      <c r="J61" s="930" cm="1">
        <f t="array" ref="J61">_xlfn.IFNA(_xlfn.XLOOKUP(PP_COST[[#This Row],[PART NUMBER]],PC_500[[#All],[Part_PartNum]],PC_500[[#All],[Order_Date]]),"")</f>
        <v>45750</v>
      </c>
      <c r="K61" cm="1">
        <f t="array" ref="K61">_xlfn.IFNA(_xlfn.XLOOKUP(PP_COST[[#This Row],[PART NUMBER]],PC_500[[#All],[Part_PartNum]],PC_500[[#All],[PO_NUM]]),"")</f>
        <v>410095</v>
      </c>
    </row>
    <row r="62" spans="1:11" ht="15">
      <c r="A62" s="56">
        <v>501564</v>
      </c>
      <c r="B62" s="56"/>
      <c r="C62" s="56" t="s">
        <v>800</v>
      </c>
      <c r="D62" s="927">
        <f>SUMIF('TAIL-HEAD SECTIONS'!B$91:B$121,BOM!A62,'TAIL-HEAD SECTIONS'!H$91:H$121)+SUMIF(STANDARDS!B$235:B$322,BOM!A62,STANDARDS!H$235:H$322)+SUMIF('COST PER FT'!B$138:B$164,BOM!A62,'COST PER FT'!H$138:H$164)</f>
        <v>0</v>
      </c>
      <c r="F62" s="925" cm="1">
        <f t="array" ref="F62">_xlfn.IFNA(_xlfn.XLOOKUP(A62,PC_500[[#All],[Part_PartNum]],PC_500[[#All],[Unit_Cost]]),0)</f>
        <v>4.4400000000000004</v>
      </c>
      <c r="G62" s="923">
        <f t="shared" si="5"/>
        <v>0</v>
      </c>
      <c r="H62" t="e">
        <f t="shared" si="4"/>
        <v>#N/A</v>
      </c>
      <c r="I62" t="str" cm="1">
        <f t="array" ref="I62">_xlfn.IFNA(_xlfn.XLOOKUP(PP_COST[[#This Row],[PART NUMBER]],PC_500[[#All],[Part_PartNum]],PC_500[[#All],[Vendor_Name]]),"")</f>
        <v>MCMASTER-CARR SUPPLY CO*</v>
      </c>
      <c r="J62" s="930" cm="1">
        <f t="array" ref="J62">_xlfn.IFNA(_xlfn.XLOOKUP(PP_COST[[#This Row],[PART NUMBER]],PC_500[[#All],[Part_PartNum]],PC_500[[#All],[Order_Date]]),"")</f>
        <v>45750</v>
      </c>
      <c r="K62" cm="1">
        <f t="array" ref="K62">_xlfn.IFNA(_xlfn.XLOOKUP(PP_COST[[#This Row],[PART NUMBER]],PC_500[[#All],[Part_PartNum]],PC_500[[#All],[PO_NUM]]),"")</f>
        <v>410095</v>
      </c>
    </row>
    <row r="63" spans="1:11" ht="15">
      <c r="A63" s="56">
        <v>501577</v>
      </c>
      <c r="B63" s="56"/>
      <c r="C63" s="56" t="s">
        <v>801</v>
      </c>
      <c r="D63" s="927">
        <f>SUMIF('TAIL-HEAD SECTIONS'!B$91:B$121,BOM!A63,'TAIL-HEAD SECTIONS'!H$91:H$121)+SUMIF(STANDARDS!B$235:B$322,BOM!A63,STANDARDS!H$235:H$322)+SUMIF('COST PER FT'!B$138:B$164,BOM!A63,'COST PER FT'!H$138:H$164)</f>
        <v>0</v>
      </c>
      <c r="F63" s="925" cm="1">
        <f t="array" ref="F63">_xlfn.IFNA(_xlfn.XLOOKUP(A63,PC_500[[#All],[Part_PartNum]],PC_500[[#All],[Unit_Cost]]),0)</f>
        <v>28.47</v>
      </c>
      <c r="G63" s="923">
        <f t="shared" si="5"/>
        <v>0</v>
      </c>
      <c r="H63" t="e">
        <f t="shared" si="4"/>
        <v>#N/A</v>
      </c>
      <c r="I63" t="str" cm="1">
        <f t="array" ref="I63">_xlfn.IFNA(_xlfn.XLOOKUP(PP_COST[[#This Row],[PART NUMBER]],PC_500[[#All],[Part_PartNum]],PC_500[[#All],[Vendor_Name]]),"")</f>
        <v>H M CRAIG METAL &amp; SUPPLY CO</v>
      </c>
      <c r="J63" s="930" cm="1">
        <f t="array" ref="J63">_xlfn.IFNA(_xlfn.XLOOKUP(PP_COST[[#This Row],[PART NUMBER]],PC_500[[#All],[Part_PartNum]],PC_500[[#All],[Order_Date]]),"")</f>
        <v>45750</v>
      </c>
      <c r="K63" cm="1">
        <f t="array" ref="K63">_xlfn.IFNA(_xlfn.XLOOKUP(PP_COST[[#This Row],[PART NUMBER]],PC_500[[#All],[Part_PartNum]],PC_500[[#All],[PO_NUM]]),"")</f>
        <v>410094</v>
      </c>
    </row>
    <row r="64" spans="1:11" ht="15">
      <c r="A64" s="56">
        <v>501583</v>
      </c>
      <c r="B64" s="56"/>
      <c r="C64" s="56" t="s">
        <v>802</v>
      </c>
      <c r="D64" s="927">
        <f>SUMIF('TAIL-HEAD SECTIONS'!B$91:B$121,BOM!A64,'TAIL-HEAD SECTIONS'!H$91:H$121)+SUMIF(STANDARDS!B$235:B$322,BOM!A64,STANDARDS!H$235:H$322)+SUMIF('COST PER FT'!B$138:B$164,BOM!A64,'COST PER FT'!H$138:H$164)</f>
        <v>0</v>
      </c>
      <c r="F64" s="925" cm="1">
        <f t="array" ref="F64">_xlfn.IFNA(_xlfn.XLOOKUP(A64,PC_500[[#All],[Part_PartNum]],PC_500[[#All],[Unit_Cost]]),0)</f>
        <v>4.63</v>
      </c>
      <c r="G64" s="923">
        <f t="shared" si="5"/>
        <v>0</v>
      </c>
      <c r="H64" t="e">
        <f t="shared" si="4"/>
        <v>#N/A</v>
      </c>
      <c r="I64" t="str" cm="1">
        <f t="array" ref="I64">_xlfn.IFNA(_xlfn.XLOOKUP(PP_COST[[#This Row],[PART NUMBER]],PC_500[[#All],[Part_PartNum]],PC_500[[#All],[Vendor_Name]]),"")</f>
        <v>H M CRAIG METAL &amp; SUPPLY CO</v>
      </c>
      <c r="J64" s="930" cm="1">
        <f t="array" ref="J64">_xlfn.IFNA(_xlfn.XLOOKUP(PP_COST[[#This Row],[PART NUMBER]],PC_500[[#All],[Part_PartNum]],PC_500[[#All],[Order_Date]]),"")</f>
        <v>44644</v>
      </c>
      <c r="K64" cm="1">
        <f t="array" ref="K64">_xlfn.IFNA(_xlfn.XLOOKUP(PP_COST[[#This Row],[PART NUMBER]],PC_500[[#All],[Part_PartNum]],PC_500[[#All],[PO_NUM]]),"")</f>
        <v>404755</v>
      </c>
    </row>
    <row r="65" spans="1:11" ht="15">
      <c r="A65" s="56">
        <v>501587</v>
      </c>
      <c r="B65" s="56"/>
      <c r="C65" s="56" t="s">
        <v>803</v>
      </c>
      <c r="D65" s="927">
        <f>SUMIF('TAIL-HEAD SECTIONS'!B$91:B$121,BOM!A65,'TAIL-HEAD SECTIONS'!H$91:H$121)+SUMIF(STANDARDS!B$235:B$322,BOM!A65,STANDARDS!H$235:H$322)+SUMIF('COST PER FT'!B$138:B$164,BOM!A65,'COST PER FT'!H$138:H$164)</f>
        <v>0</v>
      </c>
      <c r="F65" s="925" cm="1">
        <f t="array" ref="F65">_xlfn.IFNA(_xlfn.XLOOKUP(A65,PC_500[[#All],[Part_PartNum]],PC_500[[#All],[Unit_Cost]]),0)</f>
        <v>29.26</v>
      </c>
      <c r="G65" s="923">
        <f t="shared" si="5"/>
        <v>0</v>
      </c>
      <c r="H65" t="e">
        <f t="shared" si="4"/>
        <v>#N/A</v>
      </c>
      <c r="I65" t="str" cm="1">
        <f t="array" ref="I65">_xlfn.IFNA(_xlfn.XLOOKUP(PP_COST[[#This Row],[PART NUMBER]],PC_500[[#All],[Part_PartNum]],PC_500[[#All],[Vendor_Name]]),"")</f>
        <v>H M CRAIG METAL &amp; SUPPLY CO</v>
      </c>
      <c r="J65" s="930" cm="1">
        <f t="array" ref="J65">_xlfn.IFNA(_xlfn.XLOOKUP(PP_COST[[#This Row],[PART NUMBER]],PC_500[[#All],[Part_PartNum]],PC_500[[#All],[Order_Date]]),"")</f>
        <v>44502</v>
      </c>
      <c r="K65" cm="1">
        <f t="array" ref="K65">_xlfn.IFNA(_xlfn.XLOOKUP(PP_COST[[#This Row],[PART NUMBER]],PC_500[[#All],[Part_PartNum]],PC_500[[#All],[PO_NUM]]),"")</f>
        <v>404063</v>
      </c>
    </row>
    <row r="66" spans="1:11" ht="15">
      <c r="A66" s="56">
        <v>501588</v>
      </c>
      <c r="B66" s="56"/>
      <c r="C66" s="56" t="s">
        <v>804</v>
      </c>
      <c r="D66" s="927">
        <f>SUMIF('TAIL-HEAD SECTIONS'!B$91:B$121,BOM!A66,'TAIL-HEAD SECTIONS'!H$91:H$121)+SUMIF(STANDARDS!B$235:B$322,BOM!A66,STANDARDS!H$235:H$322)+SUMIF('COST PER FT'!B$138:B$164,BOM!A66,'COST PER FT'!H$138:H$164)</f>
        <v>0</v>
      </c>
      <c r="F66" s="925" cm="1">
        <f t="array" ref="F66">_xlfn.IFNA(_xlfn.XLOOKUP(A66,PC_500[[#All],[Part_PartNum]],PC_500[[#All],[Unit_Cost]]),0)</f>
        <v>11.15</v>
      </c>
      <c r="G66" s="923">
        <f t="shared" si="5"/>
        <v>0</v>
      </c>
      <c r="H66" t="e">
        <f t="shared" si="4"/>
        <v>#N/A</v>
      </c>
      <c r="I66" t="str" cm="1">
        <f t="array" ref="I66">_xlfn.IFNA(_xlfn.XLOOKUP(PP_COST[[#This Row],[PART NUMBER]],PC_500[[#All],[Part_PartNum]],PC_500[[#All],[Vendor_Name]]),"")</f>
        <v>H M CRAIG METAL &amp; SUPPLY CO</v>
      </c>
      <c r="J66" s="930" cm="1">
        <f t="array" ref="J66">_xlfn.IFNA(_xlfn.XLOOKUP(PP_COST[[#This Row],[PART NUMBER]],PC_500[[#All],[Part_PartNum]],PC_500[[#All],[Order_Date]]),"")</f>
        <v>44644</v>
      </c>
      <c r="K66" cm="1">
        <f t="array" ref="K66">_xlfn.IFNA(_xlfn.XLOOKUP(PP_COST[[#This Row],[PART NUMBER]],PC_500[[#All],[Part_PartNum]],PC_500[[#All],[PO_NUM]]),"")</f>
        <v>404755</v>
      </c>
    </row>
    <row r="67" spans="1:11" ht="15">
      <c r="A67" s="56">
        <v>501589</v>
      </c>
      <c r="B67" s="56"/>
      <c r="C67" s="56" t="s">
        <v>805</v>
      </c>
      <c r="D67" s="927">
        <f>SUMIF('TAIL-HEAD SECTIONS'!B$91:B$121,BOM!A67,'TAIL-HEAD SECTIONS'!H$91:H$121)+SUMIF(STANDARDS!B$235:B$322,BOM!A67,STANDARDS!H$235:H$322)+SUMIF('COST PER FT'!B$138:B$164,BOM!A67,'COST PER FT'!H$138:H$164)</f>
        <v>0</v>
      </c>
      <c r="F67" s="925" cm="1">
        <f t="array" ref="F67">_xlfn.IFNA(_xlfn.XLOOKUP(A67,PC_500[[#All],[Part_PartNum]],PC_500[[#All],[Unit_Cost]]),0)</f>
        <v>13.59</v>
      </c>
      <c r="G67" s="923">
        <f t="shared" si="5"/>
        <v>0</v>
      </c>
      <c r="H67" t="e">
        <f t="shared" si="4"/>
        <v>#N/A</v>
      </c>
      <c r="I67" t="str" cm="1">
        <f t="array" ref="I67">_xlfn.IFNA(_xlfn.XLOOKUP(PP_COST[[#This Row],[PART NUMBER]],PC_500[[#All],[Part_PartNum]],PC_500[[#All],[Vendor_Name]]),"")</f>
        <v>H M CRAIG METAL &amp; SUPPLY CO</v>
      </c>
      <c r="J67" s="930" cm="1">
        <f t="array" ref="J67">_xlfn.IFNA(_xlfn.XLOOKUP(PP_COST[[#This Row],[PART NUMBER]],PC_500[[#All],[Part_PartNum]],PC_500[[#All],[Order_Date]]),"")</f>
        <v>45750</v>
      </c>
      <c r="K67" cm="1">
        <f t="array" ref="K67">_xlfn.IFNA(_xlfn.XLOOKUP(PP_COST[[#This Row],[PART NUMBER]],PC_500[[#All],[Part_PartNum]],PC_500[[#All],[PO_NUM]]),"")</f>
        <v>410094</v>
      </c>
    </row>
    <row r="68" spans="1:11" ht="15">
      <c r="A68" s="56">
        <v>501596</v>
      </c>
      <c r="B68" s="56"/>
      <c r="C68" s="56" t="s">
        <v>806</v>
      </c>
      <c r="D68" s="927">
        <f>SUMIF('TAIL-HEAD SECTIONS'!B$91:B$121,BOM!A68,'TAIL-HEAD SECTIONS'!H$91:H$121)+SUMIF(STANDARDS!B$235:B$322,BOM!A68,STANDARDS!H$235:H$322)+SUMIF('COST PER FT'!B$138:B$164,BOM!A68,'COST PER FT'!H$138:H$164)</f>
        <v>0</v>
      </c>
      <c r="F68" s="925" cm="1">
        <f t="array" ref="F68">_xlfn.IFNA(_xlfn.XLOOKUP(A68,PC_500[[#All],[Part_PartNum]],PC_500[[#All],[Unit_Cost]]),0)</f>
        <v>0.375</v>
      </c>
      <c r="G68" s="923">
        <f t="shared" si="5"/>
        <v>0</v>
      </c>
      <c r="H68" t="e">
        <f t="shared" si="4"/>
        <v>#N/A</v>
      </c>
      <c r="I68" t="str" cm="1">
        <f t="array" ref="I68">_xlfn.IFNA(_xlfn.XLOOKUP(PP_COST[[#This Row],[PART NUMBER]],PC_500[[#All],[Part_PartNum]],PC_500[[#All],[Vendor_Name]]),"")</f>
        <v>MCMASTER-CARR SUPPLY CO*</v>
      </c>
      <c r="J68" s="930" cm="1">
        <f t="array" ref="J68">_xlfn.IFNA(_xlfn.XLOOKUP(PP_COST[[#This Row],[PART NUMBER]],PC_500[[#All],[Part_PartNum]],PC_500[[#All],[Order_Date]]),"")</f>
        <v>44986</v>
      </c>
      <c r="K68" cm="1">
        <f t="array" ref="K68">_xlfn.IFNA(_xlfn.XLOOKUP(PP_COST[[#This Row],[PART NUMBER]],PC_500[[#All],[Part_PartNum]],PC_500[[#All],[PO_NUM]]),"")</f>
        <v>406283</v>
      </c>
    </row>
    <row r="69" spans="1:11" ht="15">
      <c r="A69" s="56">
        <v>501598</v>
      </c>
      <c r="B69" s="56"/>
      <c r="C69" s="56" t="s">
        <v>807</v>
      </c>
      <c r="D69" s="927">
        <f>SUMIF('TAIL-HEAD SECTIONS'!B$91:B$121,BOM!A69,'TAIL-HEAD SECTIONS'!H$91:H$121)+SUMIF(STANDARDS!B$235:B$322,BOM!A69,STANDARDS!H$235:H$322)+SUMIF('COST PER FT'!B$138:B$164,BOM!A69,'COST PER FT'!H$138:H$164)</f>
        <v>0</v>
      </c>
      <c r="F69" s="925" cm="1">
        <f t="array" ref="F69">_xlfn.IFNA(_xlfn.XLOOKUP(A69,PC_500[[#All],[Part_PartNum]],PC_500[[#All],[Unit_Cost]]),0)</f>
        <v>1.804</v>
      </c>
      <c r="G69" s="923">
        <f t="shared" si="5"/>
        <v>0</v>
      </c>
      <c r="H69" t="e">
        <f t="shared" si="4"/>
        <v>#N/A</v>
      </c>
      <c r="I69" t="str" cm="1">
        <f t="array" ref="I69">_xlfn.IFNA(_xlfn.XLOOKUP(PP_COST[[#This Row],[PART NUMBER]],PC_500[[#All],[Part_PartNum]],PC_500[[#All],[Vendor_Name]]),"")</f>
        <v>MCMASTER-CARR SUPPLY CO*</v>
      </c>
      <c r="J69" s="930" cm="1">
        <f t="array" ref="J69">_xlfn.IFNA(_xlfn.XLOOKUP(PP_COST[[#This Row],[PART NUMBER]],PC_500[[#All],[Part_PartNum]],PC_500[[#All],[Order_Date]]),"")</f>
        <v>45714</v>
      </c>
      <c r="K69" cm="1">
        <f t="array" ref="K69">_xlfn.IFNA(_xlfn.XLOOKUP(PP_COST[[#This Row],[PART NUMBER]],PC_500[[#All],[Part_PartNum]],PC_500[[#All],[PO_NUM]]),"")</f>
        <v>409900</v>
      </c>
    </row>
    <row r="70" spans="1:11" ht="15">
      <c r="A70" s="56">
        <v>501600</v>
      </c>
      <c r="B70" s="56"/>
      <c r="C70" s="56" t="s">
        <v>808</v>
      </c>
      <c r="D70" s="927">
        <f>SUMIF('TAIL-HEAD SECTIONS'!B$91:B$121,BOM!A70,'TAIL-HEAD SECTIONS'!H$91:H$121)+SUMIF(STANDARDS!B$235:B$322,BOM!A70,STANDARDS!H$235:H$322)+SUMIF('COST PER FT'!B$138:B$164,BOM!A70,'COST PER FT'!H$138:H$164)</f>
        <v>0</v>
      </c>
      <c r="F70" s="925" cm="1">
        <f t="array" ref="F70">_xlfn.IFNA(_xlfn.XLOOKUP(A70,PC_500[[#All],[Part_PartNum]],PC_500[[#All],[Unit_Cost]]),0)</f>
        <v>199.53</v>
      </c>
      <c r="G70" s="923">
        <f t="shared" si="5"/>
        <v>0</v>
      </c>
      <c r="H70" t="e">
        <f t="shared" si="4"/>
        <v>#N/A</v>
      </c>
      <c r="I70" t="str" cm="1">
        <f t="array" ref="I70">_xlfn.IFNA(_xlfn.XLOOKUP(PP_COST[[#This Row],[PART NUMBER]],PC_500[[#All],[Part_PartNum]],PC_500[[#All],[Vendor_Name]]),"")</f>
        <v>ATLANTIC DRIVES &amp; BEARING INC*</v>
      </c>
      <c r="J70" s="930" cm="1">
        <f t="array" ref="J70">_xlfn.IFNA(_xlfn.XLOOKUP(PP_COST[[#This Row],[PART NUMBER]],PC_500[[#All],[Part_PartNum]],PC_500[[#All],[Order_Date]]),"")</f>
        <v>45552</v>
      </c>
      <c r="K70" cm="1">
        <f t="array" ref="K70">_xlfn.IFNA(_xlfn.XLOOKUP(PP_COST[[#This Row],[PART NUMBER]],PC_500[[#All],[Part_PartNum]],PC_500[[#All],[PO_NUM]]),"")</f>
        <v>409140</v>
      </c>
    </row>
    <row r="71" spans="1:11" ht="15">
      <c r="A71" s="56">
        <v>501605</v>
      </c>
      <c r="B71" s="56"/>
      <c r="C71" s="56" t="s">
        <v>809</v>
      </c>
      <c r="D71" s="927">
        <f>SUMIF('TAIL-HEAD SECTIONS'!B$91:B$121,BOM!A71,'TAIL-HEAD SECTIONS'!H$91:H$121)+SUMIF(STANDARDS!B$235:B$322,BOM!A71,STANDARDS!H$235:H$322)+SUMIF('COST PER FT'!B$138:B$164,BOM!A71,'COST PER FT'!H$138:H$164)</f>
        <v>0</v>
      </c>
      <c r="F71" s="925" cm="1">
        <f t="array" ref="F71">_xlfn.IFNA(_xlfn.XLOOKUP(A71,PC_500[[#All],[Part_PartNum]],PC_500[[#All],[Unit_Cost]]),0)</f>
        <v>7.4</v>
      </c>
      <c r="G71" s="923">
        <f t="shared" si="5"/>
        <v>0</v>
      </c>
      <c r="H71" t="e">
        <f t="shared" si="4"/>
        <v>#N/A</v>
      </c>
      <c r="I71" t="str" cm="1">
        <f t="array" ref="I71">_xlfn.IFNA(_xlfn.XLOOKUP(PP_COST[[#This Row],[PART NUMBER]],PC_500[[#All],[Part_PartNum]],PC_500[[#All],[Vendor_Name]]),"")</f>
        <v>H M CRAIG METAL &amp; SUPPLY CO</v>
      </c>
      <c r="J71" s="930" cm="1">
        <f t="array" ref="J71">_xlfn.IFNA(_xlfn.XLOOKUP(PP_COST[[#This Row],[PART NUMBER]],PC_500[[#All],[Part_PartNum]],PC_500[[#All],[Order_Date]]),"")</f>
        <v>45120</v>
      </c>
      <c r="K71" cm="1">
        <f t="array" ref="K71">_xlfn.IFNA(_xlfn.XLOOKUP(PP_COST[[#This Row],[PART NUMBER]],PC_500[[#All],[Part_PartNum]],PC_500[[#All],[PO_NUM]]),"")</f>
        <v>406872</v>
      </c>
    </row>
    <row r="72" spans="1:11" ht="15">
      <c r="A72" s="56">
        <v>501655</v>
      </c>
      <c r="B72" s="56"/>
      <c r="C72" s="661" t="s">
        <v>810</v>
      </c>
      <c r="D72" s="927">
        <f>SUMIF('TAIL-HEAD SECTIONS'!B$91:B$121,BOM!A72,'TAIL-HEAD SECTIONS'!H$91:H$121)+SUMIF(STANDARDS!B$235:B$322,BOM!A72,STANDARDS!H$235:H$322)+SUMIF('COST PER FT'!B$138:B$164,BOM!A72,'COST PER FT'!H$138:H$164)</f>
        <v>0</v>
      </c>
      <c r="F72" s="925" cm="1">
        <f t="array" ref="F72">_xlfn.IFNA(_xlfn.XLOOKUP(A72,PC_500[[#All],[Part_PartNum]],PC_500[[#All],[Unit_Cost]]),0)</f>
        <v>22.61</v>
      </c>
      <c r="G72" s="923">
        <f t="shared" si="5"/>
        <v>0</v>
      </c>
      <c r="H72" t="e">
        <f t="shared" si="4"/>
        <v>#N/A</v>
      </c>
      <c r="I72" t="str" cm="1">
        <f t="array" ref="I72">_xlfn.IFNA(_xlfn.XLOOKUP(PP_COST[[#This Row],[PART NUMBER]],PC_500[[#All],[Part_PartNum]],PC_500[[#All],[Vendor_Name]]),"")</f>
        <v>SPRAYING SYSTEMS CO*</v>
      </c>
      <c r="J72" s="930" cm="1">
        <f t="array" ref="J72">_xlfn.IFNA(_xlfn.XLOOKUP(PP_COST[[#This Row],[PART NUMBER]],PC_500[[#All],[Part_PartNum]],PC_500[[#All],[Order_Date]]),"")</f>
        <v>45798</v>
      </c>
      <c r="K72" cm="1">
        <f t="array" ref="K72">_xlfn.IFNA(_xlfn.XLOOKUP(PP_COST[[#This Row],[PART NUMBER]],PC_500[[#All],[Part_PartNum]],PC_500[[#All],[PO_NUM]]),"")</f>
        <v>410371</v>
      </c>
    </row>
    <row r="73" spans="1:11" ht="15">
      <c r="A73" s="56">
        <v>501688</v>
      </c>
      <c r="B73" s="56"/>
      <c r="C73" s="56" t="s">
        <v>811</v>
      </c>
      <c r="D73" s="927">
        <f>SUMIF('TAIL-HEAD SECTIONS'!B$91:B$121,BOM!A73,'TAIL-HEAD SECTIONS'!H$91:H$121)+SUMIF(STANDARDS!B$235:B$322,BOM!A73,STANDARDS!H$235:H$322)+SUMIF('COST PER FT'!B$138:B$164,BOM!A73,'COST PER FT'!H$138:H$164)</f>
        <v>0</v>
      </c>
      <c r="F73" s="925" cm="1">
        <f t="array" ref="F73">_xlfn.IFNA(_xlfn.XLOOKUP(A73,PC_500[[#All],[Part_PartNum]],PC_500[[#All],[Unit_Cost]]),0)</f>
        <v>28.86</v>
      </c>
      <c r="G73" s="923">
        <f t="shared" si="5"/>
        <v>0</v>
      </c>
      <c r="H73" t="e">
        <f t="shared" si="4"/>
        <v>#N/A</v>
      </c>
      <c r="I73" t="str" cm="1">
        <f t="array" ref="I73">_xlfn.IFNA(_xlfn.XLOOKUP(PP_COST[[#This Row],[PART NUMBER]],PC_500[[#All],[Part_PartNum]],PC_500[[#All],[Vendor_Name]]),"")</f>
        <v>MCMASTER-CARR SUPPLY CO*</v>
      </c>
      <c r="J73" s="930" cm="1">
        <f t="array" ref="J73">_xlfn.IFNA(_xlfn.XLOOKUP(PP_COST[[#This Row],[PART NUMBER]],PC_500[[#All],[Part_PartNum]],PC_500[[#All],[Order_Date]]),"")</f>
        <v>45579</v>
      </c>
      <c r="K73" cm="1">
        <f t="array" ref="K73">_xlfn.IFNA(_xlfn.XLOOKUP(PP_COST[[#This Row],[PART NUMBER]],PC_500[[#All],[Part_PartNum]],PC_500[[#All],[PO_NUM]]),"")</f>
        <v>409280</v>
      </c>
    </row>
    <row r="74" spans="1:11" ht="15">
      <c r="A74" s="56">
        <v>501781</v>
      </c>
      <c r="B74" s="56"/>
      <c r="C74" s="56" t="s">
        <v>812</v>
      </c>
      <c r="D74" s="927">
        <f>SUMIF('TAIL-HEAD SECTIONS'!B$91:B$121,BOM!A74,'TAIL-HEAD SECTIONS'!H$91:H$121)+SUMIF(STANDARDS!B$235:B$322,BOM!A74,STANDARDS!H$235:H$322)+SUMIF('COST PER FT'!B$138:B$164,BOM!A74,'COST PER FT'!H$138:H$164)</f>
        <v>0</v>
      </c>
      <c r="F74" s="925" cm="1">
        <f t="array" ref="F74">_xlfn.IFNA(_xlfn.XLOOKUP(A74,PC_500[[#All],[Part_PartNum]],PC_500[[#All],[Unit_Cost]]),0)</f>
        <v>3.13</v>
      </c>
      <c r="G74" s="923">
        <f t="shared" si="5"/>
        <v>0</v>
      </c>
      <c r="H74" t="e">
        <f t="shared" si="4"/>
        <v>#N/A</v>
      </c>
      <c r="I74" t="str" cm="1">
        <f t="array" ref="I74">_xlfn.IFNA(_xlfn.XLOOKUP(PP_COST[[#This Row],[PART NUMBER]],PC_500[[#All],[Part_PartNum]],PC_500[[#All],[Vendor_Name]]),"")</f>
        <v>H M CRAIG METAL &amp; SUPPLY CO</v>
      </c>
      <c r="J74" s="930" cm="1">
        <f t="array" ref="J74">_xlfn.IFNA(_xlfn.XLOOKUP(PP_COST[[#This Row],[PART NUMBER]],PC_500[[#All],[Part_PartNum]],PC_500[[#All],[Order_Date]]),"")</f>
        <v>44644</v>
      </c>
      <c r="K74" cm="1">
        <f t="array" ref="K74">_xlfn.IFNA(_xlfn.XLOOKUP(PP_COST[[#This Row],[PART NUMBER]],PC_500[[#All],[Part_PartNum]],PC_500[[#All],[PO_NUM]]),"")</f>
        <v>404755</v>
      </c>
    </row>
    <row r="75" spans="1:11" ht="15">
      <c r="A75" s="56">
        <v>501783</v>
      </c>
      <c r="B75" s="56"/>
      <c r="C75" s="56" t="s">
        <v>813</v>
      </c>
      <c r="D75" s="927">
        <f>SUMIF('TAIL-HEAD SECTIONS'!B$91:B$121,BOM!A75,'TAIL-HEAD SECTIONS'!H$91:H$121)+SUMIF(STANDARDS!B$235:B$322,BOM!A75,STANDARDS!H$235:H$322)+SUMIF('COST PER FT'!B$138:B$164,BOM!A75,'COST PER FT'!H$138:H$164)</f>
        <v>0</v>
      </c>
      <c r="F75" s="925" cm="1">
        <f t="array" ref="F75">_xlfn.IFNA(_xlfn.XLOOKUP(A75,PC_500[[#All],[Part_PartNum]],PC_500[[#All],[Unit_Cost]]),0)</f>
        <v>4.1900000000000004</v>
      </c>
      <c r="G75" s="923">
        <f t="shared" si="5"/>
        <v>0</v>
      </c>
      <c r="H75" t="e">
        <f t="shared" si="4"/>
        <v>#N/A</v>
      </c>
      <c r="I75" t="str" cm="1">
        <f t="array" ref="I75">_xlfn.IFNA(_xlfn.XLOOKUP(PP_COST[[#This Row],[PART NUMBER]],PC_500[[#All],[Part_PartNum]],PC_500[[#All],[Vendor_Name]]),"")</f>
        <v>H M CRAIG METAL &amp; SUPPLY CO</v>
      </c>
      <c r="J75" s="930" cm="1">
        <f t="array" ref="J75">_xlfn.IFNA(_xlfn.XLOOKUP(PP_COST[[#This Row],[PART NUMBER]],PC_500[[#All],[Part_PartNum]],PC_500[[#All],[Order_Date]]),"")</f>
        <v>44502</v>
      </c>
      <c r="K75" cm="1">
        <f t="array" ref="K75">_xlfn.IFNA(_xlfn.XLOOKUP(PP_COST[[#This Row],[PART NUMBER]],PC_500[[#All],[Part_PartNum]],PC_500[[#All],[PO_NUM]]),"")</f>
        <v>404063</v>
      </c>
    </row>
    <row r="76" spans="1:11" ht="15">
      <c r="A76" s="56">
        <v>501784</v>
      </c>
      <c r="B76" s="56"/>
      <c r="C76" s="56" t="s">
        <v>814</v>
      </c>
      <c r="D76" s="927">
        <f>SUMIF('TAIL-HEAD SECTIONS'!B$91:B$121,BOM!A76,'TAIL-HEAD SECTIONS'!H$91:H$121)+SUMIF(STANDARDS!B$235:B$322,BOM!A76,STANDARDS!H$235:H$322)+SUMIF('COST PER FT'!B$138:B$164,BOM!A76,'COST PER FT'!H$138:H$164)</f>
        <v>0</v>
      </c>
      <c r="F76" s="925" cm="1">
        <f t="array" ref="F76">_xlfn.IFNA(_xlfn.XLOOKUP(A76,PC_500[[#All],[Part_PartNum]],PC_500[[#All],[Unit_Cost]]),0)</f>
        <v>4.72</v>
      </c>
      <c r="G76" s="923">
        <f t="shared" si="5"/>
        <v>0</v>
      </c>
      <c r="H76" t="e">
        <f t="shared" si="4"/>
        <v>#N/A</v>
      </c>
      <c r="I76" t="str" cm="1">
        <f t="array" ref="I76">_xlfn.IFNA(_xlfn.XLOOKUP(PP_COST[[#This Row],[PART NUMBER]],PC_500[[#All],[Part_PartNum]],PC_500[[#All],[Vendor_Name]]),"")</f>
        <v>H M CRAIG METAL &amp; SUPPLY CO</v>
      </c>
      <c r="J76" s="930" cm="1">
        <f t="array" ref="J76">_xlfn.IFNA(_xlfn.XLOOKUP(PP_COST[[#This Row],[PART NUMBER]],PC_500[[#All],[Part_PartNum]],PC_500[[#All],[Order_Date]]),"")</f>
        <v>45336</v>
      </c>
      <c r="K76" cm="1">
        <f t="array" ref="K76">_xlfn.IFNA(_xlfn.XLOOKUP(PP_COST[[#This Row],[PART NUMBER]],PC_500[[#All],[Part_PartNum]],PC_500[[#All],[PO_NUM]]),"")</f>
        <v>408001</v>
      </c>
    </row>
    <row r="77" spans="1:11" ht="15">
      <c r="A77" s="56">
        <v>502209</v>
      </c>
      <c r="B77" s="56"/>
      <c r="C77" s="56" t="s">
        <v>815</v>
      </c>
      <c r="D77" s="927">
        <f>SUMIF('TAIL-HEAD SECTIONS'!B$91:B$121,BOM!A77,'TAIL-HEAD SECTIONS'!H$91:H$121)+SUMIF(STANDARDS!B$235:B$322,BOM!A77,STANDARDS!H$235:H$322)+SUMIF('COST PER FT'!B$138:B$164,BOM!A77,'COST PER FT'!H$138:H$164)</f>
        <v>0</v>
      </c>
      <c r="F77" s="925" cm="1">
        <f t="array" ref="F77">_xlfn.IFNA(_xlfn.XLOOKUP(A77,PC_500[[#All],[Part_PartNum]],PC_500[[#All],[Unit_Cost]]),0)</f>
        <v>69.33</v>
      </c>
      <c r="G77" s="923">
        <f t="shared" si="5"/>
        <v>0</v>
      </c>
      <c r="H77" t="e">
        <f t="shared" si="4"/>
        <v>#N/A</v>
      </c>
      <c r="I77" t="str" cm="1">
        <f t="array" ref="I77">_xlfn.IFNA(_xlfn.XLOOKUP(PP_COST[[#This Row],[PART NUMBER]],PC_500[[#All],[Part_PartNum]],PC_500[[#All],[Vendor_Name]]),"")</f>
        <v>ONE MONROE</v>
      </c>
      <c r="J77" s="930" cm="1">
        <f t="array" ref="J77">_xlfn.IFNA(_xlfn.XLOOKUP(PP_COST[[#This Row],[PART NUMBER]],PC_500[[#All],[Part_PartNum]],PC_500[[#All],[Order_Date]]),"")</f>
        <v>45491</v>
      </c>
      <c r="K77" cm="1">
        <f t="array" ref="K77">_xlfn.IFNA(_xlfn.XLOOKUP(PP_COST[[#This Row],[PART NUMBER]],PC_500[[#All],[Part_PartNum]],PC_500[[#All],[PO_NUM]]),"")</f>
        <v>408855</v>
      </c>
    </row>
    <row r="78" spans="1:11" ht="15">
      <c r="A78" s="56">
        <v>502212</v>
      </c>
      <c r="B78" s="56"/>
      <c r="C78" s="56" t="s">
        <v>816</v>
      </c>
      <c r="D78" s="927">
        <f>SUMIF('TAIL-HEAD SECTIONS'!B$91:B$121,BOM!A78,'TAIL-HEAD SECTIONS'!H$91:H$121)+SUMIF(STANDARDS!B$235:B$322,BOM!A78,STANDARDS!H$235:H$322)+SUMIF('COST PER FT'!B$138:B$164,BOM!A78,'COST PER FT'!H$138:H$164)</f>
        <v>0</v>
      </c>
      <c r="F78" s="925" cm="1">
        <f t="array" ref="F78">_xlfn.IFNA(_xlfn.XLOOKUP(A78,PC_500[[#All],[Part_PartNum]],PC_500[[#All],[Unit_Cost]]),0)</f>
        <v>1288</v>
      </c>
      <c r="G78" s="923">
        <f t="shared" si="5"/>
        <v>0</v>
      </c>
      <c r="H78" t="e">
        <f t="shared" si="4"/>
        <v>#N/A</v>
      </c>
      <c r="I78" t="str" cm="1">
        <f t="array" ref="I78">_xlfn.IFNA(_xlfn.XLOOKUP(PP_COST[[#This Row],[PART NUMBER]],PC_500[[#All],[Part_PartNum]],PC_500[[#All],[Vendor_Name]]),"")</f>
        <v>FLOTECH INC</v>
      </c>
      <c r="J78" s="930" cm="1">
        <f t="array" ref="J78">_xlfn.IFNA(_xlfn.XLOOKUP(PP_COST[[#This Row],[PART NUMBER]],PC_500[[#All],[Part_PartNum]],PC_500[[#All],[Order_Date]]),"")</f>
        <v>45784</v>
      </c>
      <c r="K78" cm="1">
        <f t="array" ref="K78">_xlfn.IFNA(_xlfn.XLOOKUP(PP_COST[[#This Row],[PART NUMBER]],PC_500[[#All],[Part_PartNum]],PC_500[[#All],[PO_NUM]]),"")</f>
        <v>410278</v>
      </c>
    </row>
    <row r="79" spans="1:11" ht="15">
      <c r="A79" s="56">
        <v>502240</v>
      </c>
      <c r="B79" s="56"/>
      <c r="C79" s="56" t="s">
        <v>817</v>
      </c>
      <c r="D79" s="927">
        <f>SUMIF('TAIL-HEAD SECTIONS'!B$91:B$121,BOM!A79,'TAIL-HEAD SECTIONS'!H$91:H$121)+SUMIF(STANDARDS!B$235:B$322,BOM!A79,STANDARDS!H$235:H$322)+SUMIF('COST PER FT'!B$138:B$164,BOM!A79,'COST PER FT'!H$138:H$164)</f>
        <v>0</v>
      </c>
      <c r="F79" s="925" cm="1">
        <f t="array" ref="F79">_xlfn.IFNA(_xlfn.XLOOKUP(A79,PC_500[[#All],[Part_PartNum]],PC_500[[#All],[Unit_Cost]]),0)</f>
        <v>74.62</v>
      </c>
      <c r="G79" s="923">
        <f t="shared" si="5"/>
        <v>0</v>
      </c>
      <c r="H79" t="e">
        <f t="shared" si="4"/>
        <v>#N/A</v>
      </c>
      <c r="I79" t="str" cm="1">
        <f t="array" ref="I79">_xlfn.IFNA(_xlfn.XLOOKUP(PP_COST[[#This Row],[PART NUMBER]],PC_500[[#All],[Part_PartNum]],PC_500[[#All],[Vendor_Name]]),"")</f>
        <v>MCMASTER-CARR SUPPLY CO*</v>
      </c>
      <c r="J79" s="930" cm="1">
        <f t="array" ref="J79">_xlfn.IFNA(_xlfn.XLOOKUP(PP_COST[[#This Row],[PART NUMBER]],PC_500[[#All],[Part_PartNum]],PC_500[[#All],[Order_Date]]),"")</f>
        <v>45406</v>
      </c>
      <c r="K79" cm="1">
        <f t="array" ref="K79">_xlfn.IFNA(_xlfn.XLOOKUP(PP_COST[[#This Row],[PART NUMBER]],PC_500[[#All],[Part_PartNum]],PC_500[[#All],[PO_NUM]]),"")</f>
        <v>408395</v>
      </c>
    </row>
    <row r="80" spans="1:11" ht="15">
      <c r="A80" s="56">
        <v>502363</v>
      </c>
      <c r="B80" s="56"/>
      <c r="C80" s="56" t="s">
        <v>818</v>
      </c>
      <c r="D80" s="927">
        <f>SUMIF('TAIL-HEAD SECTIONS'!B$91:B$121,BOM!A80,'TAIL-HEAD SECTIONS'!H$91:H$121)+SUMIF(STANDARDS!B$235:B$322,BOM!A80,STANDARDS!H$235:H$322)+SUMIF('COST PER FT'!B$138:B$164,BOM!A80,'COST PER FT'!H$138:H$164)</f>
        <v>0</v>
      </c>
      <c r="F80" s="925" cm="1">
        <f t="array" ref="F80">_xlfn.IFNA(_xlfn.XLOOKUP(A80,PC_500[[#All],[Part_PartNum]],PC_500[[#All],[Unit_Cost]]),0)</f>
        <v>181.33</v>
      </c>
      <c r="G80" s="923">
        <f t="shared" si="5"/>
        <v>0</v>
      </c>
      <c r="H80" t="e">
        <f t="shared" si="4"/>
        <v>#N/A</v>
      </c>
      <c r="I80" t="str" cm="1">
        <f t="array" ref="I80">_xlfn.IFNA(_xlfn.XLOOKUP(PP_COST[[#This Row],[PART NUMBER]],PC_500[[#All],[Part_PartNum]],PC_500[[#All],[Vendor_Name]]),"")</f>
        <v>INDESCO, INC</v>
      </c>
      <c r="J80" s="930" cm="1">
        <f t="array" ref="J80">_xlfn.IFNA(_xlfn.XLOOKUP(PP_COST[[#This Row],[PART NUMBER]],PC_500[[#All],[Part_PartNum]],PC_500[[#All],[Order_Date]]),"")</f>
        <v>45727</v>
      </c>
      <c r="K80" cm="1">
        <f t="array" ref="K80">_xlfn.IFNA(_xlfn.XLOOKUP(PP_COST[[#This Row],[PART NUMBER]],PC_500[[#All],[Part_PartNum]],PC_500[[#All],[PO_NUM]]),"")</f>
        <v>409980</v>
      </c>
    </row>
    <row r="81" spans="1:11" ht="15">
      <c r="A81" s="56">
        <v>502364</v>
      </c>
      <c r="B81" s="56"/>
      <c r="C81" s="56" t="s">
        <v>819</v>
      </c>
      <c r="D81" s="927">
        <f>SUMIF('TAIL-HEAD SECTIONS'!B$91:B$121,BOM!A81,'TAIL-HEAD SECTIONS'!H$91:H$121)+SUMIF(STANDARDS!B$235:B$322,BOM!A81,STANDARDS!H$235:H$322)+SUMIF('COST PER FT'!B$138:B$164,BOM!A81,'COST PER FT'!H$138:H$164)</f>
        <v>0</v>
      </c>
      <c r="F81" s="925" cm="1">
        <f t="array" ref="F81">_xlfn.IFNA(_xlfn.XLOOKUP(A81,PC_500[[#All],[Part_PartNum]],PC_500[[#All],[Unit_Cost]]),0)</f>
        <v>69.81</v>
      </c>
      <c r="G81" s="923">
        <f t="shared" si="5"/>
        <v>0</v>
      </c>
      <c r="H81" t="e">
        <f t="shared" si="4"/>
        <v>#N/A</v>
      </c>
      <c r="I81" t="str" cm="1">
        <f t="array" ref="I81">_xlfn.IFNA(_xlfn.XLOOKUP(PP_COST[[#This Row],[PART NUMBER]],PC_500[[#All],[Part_PartNum]],PC_500[[#All],[Vendor_Name]]),"")</f>
        <v>INDESCO, INC</v>
      </c>
      <c r="J81" s="930" cm="1">
        <f t="array" ref="J81">_xlfn.IFNA(_xlfn.XLOOKUP(PP_COST[[#This Row],[PART NUMBER]],PC_500[[#All],[Part_PartNum]],PC_500[[#All],[Order_Date]]),"")</f>
        <v>45727</v>
      </c>
      <c r="K81" cm="1">
        <f t="array" ref="K81">_xlfn.IFNA(_xlfn.XLOOKUP(PP_COST[[#This Row],[PART NUMBER]],PC_500[[#All],[Part_PartNum]],PC_500[[#All],[PO_NUM]]),"")</f>
        <v>409980</v>
      </c>
    </row>
    <row r="82" spans="1:11" ht="15">
      <c r="A82" s="1093" t="s">
        <v>820</v>
      </c>
      <c r="B82" s="56"/>
      <c r="C82" s="56" t="s">
        <v>821</v>
      </c>
      <c r="D82" s="927">
        <f>SUMIF('TAIL-HEAD SECTIONS'!B$91:B$121,BOM!A82,'TAIL-HEAD SECTIONS'!H$91:H$121)+SUMIF(STANDARDS!B$235:B$322,BOM!A82,STANDARDS!H$235:H$322)+SUMIF('COST PER FT'!B$138:B$164,BOM!A82,'COST PER FT'!H$138:H$164)</f>
        <v>2</v>
      </c>
      <c r="F82" s="929">
        <v>1.29</v>
      </c>
      <c r="G82" s="923">
        <f>D82*F82</f>
        <v>2.58</v>
      </c>
      <c r="H82" t="e">
        <f t="shared" si="4"/>
        <v>#N/A</v>
      </c>
      <c r="I82" t="str" cm="1">
        <f t="array" ref="I82">_xlfn.IFNA(_xlfn.XLOOKUP(PP_COST[[#This Row],[PART NUMBER]],PC_500[[#All],[Part_PartNum]],PC_500[[#All],[Vendor_Name]]),"")</f>
        <v/>
      </c>
      <c r="J82" s="930" t="str" cm="1">
        <f t="array" ref="J82">_xlfn.IFNA(_xlfn.XLOOKUP(PP_COST[[#This Row],[PART NUMBER]],PC_500[[#All],[Part_PartNum]],PC_500[[#All],[Order_Date]]),"")</f>
        <v/>
      </c>
      <c r="K82" t="str" cm="1">
        <f t="array" ref="K82">_xlfn.IFNA(_xlfn.XLOOKUP(PP_COST[[#This Row],[PART NUMBER]],PC_500[[#All],[Part_PartNum]],PC_500[[#All],[PO_NUM]]),"")</f>
        <v/>
      </c>
    </row>
    <row r="83" spans="1:11" ht="15">
      <c r="A83" s="56" t="s">
        <v>822</v>
      </c>
      <c r="D83" s="927">
        <f>SUMIF('TAIL-HEAD SECTIONS'!B$91:B$121,BOM!A83,'TAIL-HEAD SECTIONS'!H$91:H$121)+SUMIF(STANDARDS!B$235:B$322,BOM!A83,STANDARDS!H$235:H$322)+SUMIF('COST PER FT'!B$138:B$164,BOM!A83,'COST PER FT'!H$138:H$164)</f>
        <v>0</v>
      </c>
      <c r="F83" s="929">
        <v>260</v>
      </c>
      <c r="G83" s="923">
        <f t="shared" ref="G83" si="6">D83*F83</f>
        <v>0</v>
      </c>
      <c r="H83" t="e">
        <f t="shared" si="4"/>
        <v>#N/A</v>
      </c>
      <c r="I83" t="str" cm="1">
        <f t="array" ref="I83">_xlfn.IFNA(_xlfn.XLOOKUP(PP_COST[[#This Row],[PART NUMBER]],PC_500[[#All],[Part_PartNum]],PC_500[[#All],[Vendor_Name]]),"")</f>
        <v/>
      </c>
      <c r="J83" s="930" t="str" cm="1">
        <f t="array" ref="J83">_xlfn.IFNA(_xlfn.XLOOKUP(PP_COST[[#This Row],[PART NUMBER]],PC_500[[#All],[Part_PartNum]],PC_500[[#All],[Order_Date]]),"")</f>
        <v/>
      </c>
      <c r="K83" t="str" cm="1">
        <f t="array" ref="K83">_xlfn.IFNA(_xlfn.XLOOKUP(PP_COST[[#This Row],[PART NUMBER]],PC_500[[#All],[Part_PartNum]],PC_500[[#All],[PO_NUM]]),"")</f>
        <v/>
      </c>
    </row>
    <row r="84" spans="1:11">
      <c r="A84" t="s">
        <v>823</v>
      </c>
      <c r="D84" s="927">
        <f>SUMIF('TAIL-HEAD SECTIONS'!B$91:B$121,BOM!A84,'TAIL-HEAD SECTIONS'!H$91:H$121)+SUMIF(STANDARDS!B$235:B$322,BOM!A84,STANDARDS!H$235:H$322)+SUMIF('COST PER FT'!B$138:B$164,BOM!A84,'COST PER FT'!H$138:H$164)</f>
        <v>0</v>
      </c>
      <c r="F84" s="929" t="e">
        <f>'COST PER FT'!P39</f>
        <v>#N/A</v>
      </c>
      <c r="G84" s="923" t="e">
        <f t="shared" ref="G84:G119" si="7">D84*F84</f>
        <v>#N/A</v>
      </c>
      <c r="H84" t="e">
        <f t="shared" si="4"/>
        <v>#N/A</v>
      </c>
      <c r="I84" t="str" cm="1">
        <f t="array" ref="I84">_xlfn.IFNA(_xlfn.XLOOKUP(PP_COST[[#This Row],[PART NUMBER]],PC_500[[#All],[Part_PartNum]],PC_500[[#All],[Vendor_Name]]),"")</f>
        <v/>
      </c>
      <c r="J84" s="930" t="str" cm="1">
        <f t="array" ref="J84">_xlfn.IFNA(_xlfn.XLOOKUP(PP_COST[[#This Row],[PART NUMBER]],PC_500[[#All],[Part_PartNum]],PC_500[[#All],[Order_Date]]),"")</f>
        <v/>
      </c>
      <c r="K84" t="str" cm="1">
        <f t="array" ref="K84">_xlfn.IFNA(_xlfn.XLOOKUP(PP_COST[[#This Row],[PART NUMBER]],PC_500[[#All],[Part_PartNum]],PC_500[[#All],[PO_NUM]]),"")</f>
        <v/>
      </c>
    </row>
    <row r="85" spans="1:11">
      <c r="D85" s="967"/>
      <c r="F85" s="968"/>
      <c r="G85" s="923"/>
    </row>
    <row r="86" spans="1:11">
      <c r="D86" s="967"/>
      <c r="F86" s="968"/>
      <c r="G86" s="923" t="e">
        <f>SUM(G47:G85)</f>
        <v>#N/A</v>
      </c>
    </row>
    <row r="87" spans="1:11">
      <c r="D87" s="967"/>
      <c r="F87" s="968"/>
      <c r="G87" s="923"/>
    </row>
    <row r="88" spans="1:11">
      <c r="D88" s="967"/>
      <c r="F88" s="968"/>
      <c r="G88" s="923"/>
    </row>
    <row r="89" spans="1:11" ht="15">
      <c r="A89" s="56"/>
      <c r="B89" s="56"/>
      <c r="C89" s="56"/>
      <c r="D89" s="965"/>
      <c r="F89" s="966"/>
      <c r="G89" s="923"/>
    </row>
    <row r="90" spans="1:11">
      <c r="A90" s="3" t="s">
        <v>824</v>
      </c>
    </row>
    <row r="91" spans="1:11" ht="15">
      <c r="A91" s="360" t="s">
        <v>763</v>
      </c>
      <c r="B91" s="360" t="s">
        <v>544</v>
      </c>
      <c r="C91" s="662" t="s">
        <v>764</v>
      </c>
      <c r="D91" s="360" t="s">
        <v>623</v>
      </c>
      <c r="E91" s="360" t="s">
        <v>728</v>
      </c>
      <c r="F91" s="921" t="s">
        <v>765</v>
      </c>
      <c r="G91" s="360" t="s">
        <v>766</v>
      </c>
      <c r="H91" s="360" t="s">
        <v>767</v>
      </c>
      <c r="I91" t="s">
        <v>825</v>
      </c>
    </row>
    <row r="92" spans="1:11" ht="15">
      <c r="A92" s="1093" t="s">
        <v>826</v>
      </c>
      <c r="B92" s="56"/>
      <c r="C92" s="56" t="s">
        <v>827</v>
      </c>
      <c r="D92" s="927">
        <f>SUMIF('TAIL-HEAD SECTIONS'!B$91:B$121,BOM!A92,'TAIL-HEAD SECTIONS'!H$91:H$121)+SUMIF(STANDARDS!B$235:B$322,BOM!A92,STANDARDS!H$235:H$322)+SUMIF('COST PER FT'!B$138:B$164,BOM!A92,'COST PER FT'!H$138:H$164)</f>
        <v>24</v>
      </c>
      <c r="F92" s="925">
        <v>0.22020000000000001</v>
      </c>
      <c r="G92" s="923">
        <f t="shared" si="7"/>
        <v>5.2848000000000006</v>
      </c>
      <c r="H92">
        <f>RANK(G92,G$92:G$119,0)</f>
        <v>8</v>
      </c>
      <c r="I92" s="930">
        <v>45579</v>
      </c>
      <c r="K92">
        <f>MAX(HW_COST[[#All],[RANK]])</f>
        <v>9</v>
      </c>
    </row>
    <row r="93" spans="1:11" ht="15">
      <c r="A93" s="56" t="s">
        <v>828</v>
      </c>
      <c r="B93" s="56"/>
      <c r="C93" s="56"/>
      <c r="D93" s="927">
        <f>SUMIF('TAIL-HEAD SECTIONS'!B$91:B$121,BOM!A93,'TAIL-HEAD SECTIONS'!H$91:H$121)+SUMIF(STANDARDS!B$235:B$322,BOM!A93,STANDARDS!H$235:H$322)+SUMIF('COST PER FT'!B$138:B$164,BOM!A93,'COST PER FT'!H$138:H$164)</f>
        <v>0</v>
      </c>
      <c r="F93" s="925">
        <v>0.29759999999999998</v>
      </c>
      <c r="G93" s="923">
        <f t="shared" si="7"/>
        <v>0</v>
      </c>
      <c r="H93">
        <f t="shared" ref="H93:H119" si="8">RANK(G93,G$92:G$119,0)</f>
        <v>9</v>
      </c>
      <c r="I93" s="930">
        <v>45579</v>
      </c>
    </row>
    <row r="94" spans="1:11" ht="15">
      <c r="A94" s="1093" t="s">
        <v>829</v>
      </c>
      <c r="B94" s="56"/>
      <c r="C94" s="56"/>
      <c r="D94" s="927">
        <f>SUMIF('TAIL-HEAD SECTIONS'!B$91:B$121,BOM!A94,'TAIL-HEAD SECTIONS'!H$91:H$121)+SUMIF(STANDARDS!B$235:B$322,BOM!A94,STANDARDS!H$235:H$322)+SUMIF('COST PER FT'!B$138:B$164,BOM!A94,'COST PER FT'!H$138:H$164)</f>
        <v>0</v>
      </c>
      <c r="F94" s="925">
        <v>0.22439999999999999</v>
      </c>
      <c r="G94" s="923">
        <f t="shared" si="7"/>
        <v>0</v>
      </c>
      <c r="H94">
        <f t="shared" si="8"/>
        <v>9</v>
      </c>
      <c r="I94" s="930">
        <v>45579</v>
      </c>
    </row>
    <row r="95" spans="1:11" ht="15">
      <c r="A95" s="1093" t="s">
        <v>830</v>
      </c>
      <c r="B95" s="56"/>
      <c r="C95" s="56" t="s">
        <v>831</v>
      </c>
      <c r="D95" s="927">
        <f>SUMIF('TAIL-HEAD SECTIONS'!B$91:B$121,BOM!A95,'TAIL-HEAD SECTIONS'!H$91:H$121)+SUMIF(STANDARDS!B$235:B$322,BOM!A95,STANDARDS!H$235:H$322)+SUMIF('COST PER FT'!B$138:B$164,BOM!A95,'COST PER FT'!H$138:H$164)</f>
        <v>0</v>
      </c>
      <c r="F95" s="925">
        <v>1.3707</v>
      </c>
      <c r="G95" s="923">
        <f t="shared" si="7"/>
        <v>0</v>
      </c>
      <c r="H95">
        <f t="shared" si="8"/>
        <v>9</v>
      </c>
      <c r="I95" s="930">
        <v>45579</v>
      </c>
    </row>
    <row r="96" spans="1:11" ht="15">
      <c r="A96" s="931" t="str">
        <f>STANDARDS!B62</f>
        <v>74-019-904-02</v>
      </c>
      <c r="B96" s="232"/>
      <c r="C96" s="232" t="str">
        <f>STANDARDS!C62</f>
        <v>74-019-904-02 ATR 3/4"-10 X 24" 316SS</v>
      </c>
      <c r="D96" s="927">
        <f>SUMIF('TAIL-HEAD SECTIONS'!B$91:B$121,BOM!A96,'TAIL-HEAD SECTIONS'!H$91:H$121)+SUMIF(STANDARDS!B$235:B$322,BOM!A96,STANDARDS!H$235:H$322)+SUMIF('COST PER FT'!B$138:B$164,BOM!A96,'COST PER FT'!H$138:H$164)</f>
        <v>0</v>
      </c>
      <c r="F96" s="1051">
        <f>STANDARDS!P62</f>
        <v>16.22</v>
      </c>
      <c r="G96" s="923">
        <f t="shared" si="7"/>
        <v>0</v>
      </c>
      <c r="H96">
        <f t="shared" si="8"/>
        <v>9</v>
      </c>
    </row>
    <row r="97" spans="1:9" ht="15">
      <c r="A97" s="56" t="s">
        <v>832</v>
      </c>
      <c r="B97" s="56"/>
      <c r="C97" s="1093" t="s">
        <v>833</v>
      </c>
      <c r="D97" s="927">
        <f>SUMIF('TAIL-HEAD SECTIONS'!B$91:B$121,BOM!A97,'TAIL-HEAD SECTIONS'!H$91:H$121)+SUMIF(STANDARDS!B$235:B$322,BOM!A97,STANDARDS!H$235:H$322)+SUMIF('COST PER FT'!B$138:B$164,BOM!A97,'COST PER FT'!H$138:H$164)</f>
        <v>0</v>
      </c>
      <c r="F97" s="925">
        <v>2.1</v>
      </c>
      <c r="G97" s="923">
        <f t="shared" si="7"/>
        <v>0</v>
      </c>
      <c r="H97">
        <f t="shared" si="8"/>
        <v>9</v>
      </c>
      <c r="I97" s="930">
        <v>45579</v>
      </c>
    </row>
    <row r="98" spans="1:9" ht="15">
      <c r="A98" s="56" t="s">
        <v>834</v>
      </c>
      <c r="B98" s="56"/>
      <c r="C98" s="56" t="s">
        <v>835</v>
      </c>
      <c r="D98" s="927">
        <f>SUMIF('TAIL-HEAD SECTIONS'!B$91:B$121,BOM!A98,'TAIL-HEAD SECTIONS'!H$91:H$121)+SUMIF(STANDARDS!B$235:B$322,BOM!A98,STANDARDS!H$235:H$322)+SUMIF('COST PER FT'!B$138:B$164,BOM!A98,'COST PER FT'!H$138:H$164)</f>
        <v>0</v>
      </c>
      <c r="F98" s="925">
        <v>0.06</v>
      </c>
      <c r="G98" s="923">
        <f t="shared" si="7"/>
        <v>0</v>
      </c>
      <c r="H98">
        <f t="shared" si="8"/>
        <v>9</v>
      </c>
      <c r="I98" s="930">
        <v>45579</v>
      </c>
    </row>
    <row r="99" spans="1:9" ht="15">
      <c r="A99" s="1093" t="s">
        <v>836</v>
      </c>
      <c r="B99" s="56"/>
      <c r="C99" s="56" t="s">
        <v>837</v>
      </c>
      <c r="D99" s="927">
        <f>SUMIF('TAIL-HEAD SECTIONS'!B$91:B$121,BOM!A99,'TAIL-HEAD SECTIONS'!H$91:H$121)+SUMIF(STANDARDS!B$235:B$322,BOM!A99,STANDARDS!H$235:H$322)+SUMIF('COST PER FT'!B$138:B$164,BOM!A99,'COST PER FT'!H$138:H$164)</f>
        <v>0</v>
      </c>
      <c r="F99" s="925">
        <v>0.57999999999999996</v>
      </c>
      <c r="G99" s="923">
        <f t="shared" si="7"/>
        <v>0</v>
      </c>
      <c r="H99">
        <f t="shared" si="8"/>
        <v>9</v>
      </c>
      <c r="I99" s="930">
        <v>45579</v>
      </c>
    </row>
    <row r="100" spans="1:9" ht="15">
      <c r="A100" s="56" t="s">
        <v>838</v>
      </c>
      <c r="B100" s="56"/>
      <c r="C100" s="56" t="s">
        <v>839</v>
      </c>
      <c r="D100" s="927">
        <f>SUMIF('TAIL-HEAD SECTIONS'!B$91:B$121,BOM!A100,'TAIL-HEAD SECTIONS'!H$91:H$121)+SUMIF(STANDARDS!B$235:B$322,BOM!A100,STANDARDS!H$235:H$322)+SUMIF('COST PER FT'!B$138:B$164,BOM!A100,'COST PER FT'!H$138:H$164)</f>
        <v>62</v>
      </c>
      <c r="F100" s="925">
        <v>0.77290000000000003</v>
      </c>
      <c r="G100" s="923">
        <f t="shared" si="7"/>
        <v>47.919800000000002</v>
      </c>
      <c r="H100">
        <f t="shared" si="8"/>
        <v>2</v>
      </c>
      <c r="I100" s="930">
        <v>45579</v>
      </c>
    </row>
    <row r="101" spans="1:9" ht="15">
      <c r="A101" s="56" t="s">
        <v>840</v>
      </c>
      <c r="B101" s="56"/>
      <c r="C101" s="56" t="s">
        <v>841</v>
      </c>
      <c r="D101" s="927">
        <f>SUMIF('TAIL-HEAD SECTIONS'!B$91:B$121,BOM!A101,'TAIL-HEAD SECTIONS'!H$91:H$121)+SUMIF(STANDARDS!B$235:B$322,BOM!A101,STANDARDS!H$235:H$322)+SUMIF('COST PER FT'!B$138:B$164,BOM!A101,'COST PER FT'!H$138:H$164)</f>
        <v>10</v>
      </c>
      <c r="F101" s="925">
        <v>0.76580000000000004</v>
      </c>
      <c r="G101" s="923">
        <f t="shared" si="7"/>
        <v>7.6580000000000004</v>
      </c>
      <c r="H101">
        <f t="shared" si="8"/>
        <v>6</v>
      </c>
      <c r="I101" s="930">
        <v>45579</v>
      </c>
    </row>
    <row r="102" spans="1:9" ht="15">
      <c r="A102" s="1093" t="s">
        <v>842</v>
      </c>
      <c r="B102" s="56"/>
      <c r="C102" s="56" t="s">
        <v>843</v>
      </c>
      <c r="D102" s="927">
        <f>SUMIF('TAIL-HEAD SECTIONS'!B$91:B$121,BOM!A102,'TAIL-HEAD SECTIONS'!H$91:H$121)+SUMIF(STANDARDS!B$235:B$322,BOM!A102,STANDARDS!H$235:H$322)+SUMIF('COST PER FT'!B$138:B$164,BOM!A102,'COST PER FT'!H$138:H$164)</f>
        <v>0</v>
      </c>
      <c r="F102" s="925">
        <v>0.85319999999999996</v>
      </c>
      <c r="G102" s="923">
        <f t="shared" si="7"/>
        <v>0</v>
      </c>
      <c r="H102">
        <f t="shared" si="8"/>
        <v>9</v>
      </c>
      <c r="I102" s="930">
        <v>45579</v>
      </c>
    </row>
    <row r="103" spans="1:9" ht="15">
      <c r="A103" s="1093" t="s">
        <v>844</v>
      </c>
      <c r="B103" s="56"/>
      <c r="C103" s="56" t="s">
        <v>845</v>
      </c>
      <c r="D103" s="927">
        <f>SUMIF('TAIL-HEAD SECTIONS'!B$91:B$121,BOM!A103,'TAIL-HEAD SECTIONS'!H$91:H$121)+SUMIF(STANDARDS!B$235:B$322,BOM!A103,STANDARDS!H$235:H$322)+SUMIF('COST PER FT'!B$138:B$164,BOM!A103,'COST PER FT'!H$138:H$164)</f>
        <v>12</v>
      </c>
      <c r="F103" s="925">
        <v>0.60419999999999996</v>
      </c>
      <c r="G103" s="923">
        <f t="shared" si="7"/>
        <v>7.2503999999999991</v>
      </c>
      <c r="H103">
        <f t="shared" si="8"/>
        <v>7</v>
      </c>
      <c r="I103" s="930">
        <v>45579</v>
      </c>
    </row>
    <row r="104" spans="1:9" ht="15">
      <c r="A104" s="56" t="s">
        <v>846</v>
      </c>
      <c r="B104" s="56"/>
      <c r="C104" s="56" t="s">
        <v>847</v>
      </c>
      <c r="D104" s="927">
        <f>SUMIF('TAIL-HEAD SECTIONS'!B$91:B$121,BOM!A104,'TAIL-HEAD SECTIONS'!H$91:H$121)+SUMIF(STANDARDS!B$235:B$322,BOM!A104,STANDARDS!H$235:H$322)+SUMIF('COST PER FT'!B$138:B$164,BOM!A104,'COST PER FT'!H$138:H$164)</f>
        <v>0</v>
      </c>
      <c r="F104" s="925">
        <v>1.06</v>
      </c>
      <c r="G104" s="923">
        <f t="shared" si="7"/>
        <v>0</v>
      </c>
      <c r="H104">
        <f t="shared" si="8"/>
        <v>9</v>
      </c>
      <c r="I104" s="930">
        <v>45579</v>
      </c>
    </row>
    <row r="105" spans="1:9" ht="15">
      <c r="A105" s="56" t="s">
        <v>848</v>
      </c>
      <c r="B105" s="56"/>
      <c r="C105" s="56" t="s">
        <v>849</v>
      </c>
      <c r="D105" s="927">
        <f>SUMIF('TAIL-HEAD SECTIONS'!B$91:B$121,BOM!A105,'TAIL-HEAD SECTIONS'!H$91:H$121)+SUMIF(STANDARDS!B$235:B$322,BOM!A105,STANDARDS!H$235:H$322)+SUMIF('COST PER FT'!B$138:B$164,BOM!A105,'COST PER FT'!H$138:H$164)</f>
        <v>0</v>
      </c>
      <c r="F105" s="925">
        <v>0.32250000000000001</v>
      </c>
      <c r="G105" s="923">
        <f t="shared" si="7"/>
        <v>0</v>
      </c>
      <c r="H105">
        <f t="shared" si="8"/>
        <v>9</v>
      </c>
      <c r="I105" s="930">
        <v>45579</v>
      </c>
    </row>
    <row r="106" spans="1:9" ht="15">
      <c r="A106" s="56" t="s">
        <v>850</v>
      </c>
      <c r="B106" s="56"/>
      <c r="C106" s="56" t="s">
        <v>851</v>
      </c>
      <c r="D106" s="927">
        <f>SUMIF('TAIL-HEAD SECTIONS'!B$91:B$121,BOM!A106,'TAIL-HEAD SECTIONS'!H$91:H$121)+SUMIF(STANDARDS!B$235:B$322,BOM!A106,STANDARDS!H$235:H$322)+SUMIF('COST PER FT'!B$138:B$164,BOM!A106,'COST PER FT'!H$138:H$164)</f>
        <v>0</v>
      </c>
      <c r="F106" s="925">
        <v>1.46</v>
      </c>
      <c r="G106" s="923">
        <f t="shared" si="7"/>
        <v>0</v>
      </c>
      <c r="H106">
        <f t="shared" si="8"/>
        <v>9</v>
      </c>
      <c r="I106" s="930">
        <v>45579</v>
      </c>
    </row>
    <row r="107" spans="1:9" ht="15">
      <c r="A107" s="1093" t="s">
        <v>852</v>
      </c>
      <c r="B107" s="56"/>
      <c r="C107" s="56" t="s">
        <v>853</v>
      </c>
      <c r="D107" s="927">
        <f>SUMIF('TAIL-HEAD SECTIONS'!B$91:B$121,BOM!A107,'TAIL-HEAD SECTIONS'!H$91:H$121)+SUMIF(STANDARDS!B$235:B$322,BOM!A107,STANDARDS!H$235:H$322)+SUMIF('COST PER FT'!B$138:B$164,BOM!A107,'COST PER FT'!H$138:H$164)</f>
        <v>8</v>
      </c>
      <c r="F107" s="925">
        <v>1.58</v>
      </c>
      <c r="G107" s="923">
        <f t="shared" si="7"/>
        <v>12.64</v>
      </c>
      <c r="H107">
        <f t="shared" si="8"/>
        <v>5</v>
      </c>
      <c r="I107" s="930">
        <v>45579</v>
      </c>
    </row>
    <row r="108" spans="1:9" ht="15">
      <c r="A108" s="1093" t="s">
        <v>854</v>
      </c>
      <c r="B108" s="56"/>
      <c r="C108" s="56" t="s">
        <v>855</v>
      </c>
      <c r="D108" s="927">
        <f>SUMIF('TAIL-HEAD SECTIONS'!B$91:B$121,BOM!A108,'TAIL-HEAD SECTIONS'!H$91:H$121)+SUMIF(STANDARDS!B$235:B$322,BOM!A108,STANDARDS!H$235:H$322)+SUMIF('COST PER FT'!B$138:B$164,BOM!A108,'COST PER FT'!H$138:H$164)</f>
        <v>0</v>
      </c>
      <c r="F108" s="925">
        <v>1.665</v>
      </c>
      <c r="G108" s="923">
        <f t="shared" si="7"/>
        <v>0</v>
      </c>
      <c r="H108">
        <f t="shared" si="8"/>
        <v>9</v>
      </c>
      <c r="I108" s="930">
        <v>45579</v>
      </c>
    </row>
    <row r="109" spans="1:9" ht="15">
      <c r="A109" s="56" t="s">
        <v>856</v>
      </c>
      <c r="B109" s="56"/>
      <c r="C109" s="56" t="s">
        <v>857</v>
      </c>
      <c r="D109" s="927">
        <f>SUMIF('TAIL-HEAD SECTIONS'!B$91:B$121,BOM!A109,'TAIL-HEAD SECTIONS'!H$91:H$121)+SUMIF(STANDARDS!B$235:B$322,BOM!A109,STANDARDS!H$235:H$322)+SUMIF('COST PER FT'!B$138:B$164,BOM!A109,'COST PER FT'!H$138:H$164)</f>
        <v>24</v>
      </c>
      <c r="F109" s="925">
        <v>2.83</v>
      </c>
      <c r="G109" s="923">
        <f t="shared" si="7"/>
        <v>67.92</v>
      </c>
      <c r="H109">
        <f t="shared" si="8"/>
        <v>1</v>
      </c>
      <c r="I109" s="930">
        <v>45579</v>
      </c>
    </row>
    <row r="110" spans="1:9" ht="15">
      <c r="A110" s="56" t="s">
        <v>858</v>
      </c>
      <c r="B110" s="56"/>
      <c r="C110" s="56" t="s">
        <v>859</v>
      </c>
      <c r="D110" s="927">
        <f>SUMIF('TAIL-HEAD SECTIONS'!B$91:B$121,BOM!A110,'TAIL-HEAD SECTIONS'!H$91:H$121)+SUMIF(STANDARDS!B$235:B$322,BOM!A110,STANDARDS!H$235:H$322)+SUMIF('COST PER FT'!B$138:B$164,BOM!A110,'COST PER FT'!H$138:H$164)</f>
        <v>12</v>
      </c>
      <c r="F110" s="925">
        <v>3.2113</v>
      </c>
      <c r="G110" s="923">
        <f t="shared" si="7"/>
        <v>38.535600000000002</v>
      </c>
      <c r="H110">
        <f t="shared" si="8"/>
        <v>3</v>
      </c>
      <c r="I110" s="930">
        <v>45579</v>
      </c>
    </row>
    <row r="111" spans="1:9" ht="15">
      <c r="A111" s="56" t="s">
        <v>860</v>
      </c>
      <c r="B111" s="56"/>
      <c r="C111" s="56" t="s">
        <v>861</v>
      </c>
      <c r="D111" s="927">
        <f>SUMIF('TAIL-HEAD SECTIONS'!B$91:B$121,BOM!A111,'TAIL-HEAD SECTIONS'!H$91:H$121)+SUMIF(STANDARDS!B$235:B$322,BOM!A111,STANDARDS!H$235:H$322)+SUMIF('COST PER FT'!B$138:B$164,BOM!A111,'COST PER FT'!H$138:H$164)</f>
        <v>0</v>
      </c>
      <c r="F111" s="925">
        <v>3.1977000000000002</v>
      </c>
      <c r="G111" s="923">
        <f t="shared" si="7"/>
        <v>0</v>
      </c>
      <c r="H111">
        <f t="shared" si="8"/>
        <v>9</v>
      </c>
      <c r="I111" s="930">
        <v>45579</v>
      </c>
    </row>
    <row r="112" spans="1:9" ht="15">
      <c r="A112" s="56" t="s">
        <v>862</v>
      </c>
      <c r="C112" t="s">
        <v>863</v>
      </c>
      <c r="D112" s="927">
        <f>SUMIF('TAIL-HEAD SECTIONS'!B$91:B$121,BOM!A112,'TAIL-HEAD SECTIONS'!H$91:H$121)+SUMIF(STANDARDS!B$235:B$322,BOM!A112,STANDARDS!H$235:H$322)+SUMIF('COST PER FT'!B$138:B$164,BOM!A112,'COST PER FT'!H$138:H$164)</f>
        <v>0</v>
      </c>
      <c r="F112" s="925">
        <v>11.115</v>
      </c>
      <c r="G112" s="923">
        <f t="shared" si="7"/>
        <v>0</v>
      </c>
      <c r="H112">
        <f t="shared" si="8"/>
        <v>9</v>
      </c>
      <c r="I112" s="930">
        <v>45579</v>
      </c>
    </row>
    <row r="113" spans="1:11" ht="15">
      <c r="A113" s="56" t="s">
        <v>864</v>
      </c>
      <c r="B113" s="56"/>
      <c r="C113" s="56" t="s">
        <v>865</v>
      </c>
      <c r="D113" s="927">
        <f>SUMIF('TAIL-HEAD SECTIONS'!B$91:B$121,BOM!A113,'TAIL-HEAD SECTIONS'!H$91:H$121)+SUMIF(STANDARDS!B$235:B$322,BOM!A113,STANDARDS!H$235:H$322)+SUMIF('COST PER FT'!B$138:B$164,BOM!A113,'COST PER FT'!H$138:H$164)</f>
        <v>0</v>
      </c>
      <c r="F113" s="925">
        <v>0.39290000000000003</v>
      </c>
      <c r="G113" s="923">
        <f t="shared" si="7"/>
        <v>0</v>
      </c>
      <c r="H113">
        <f t="shared" si="8"/>
        <v>9</v>
      </c>
      <c r="I113" s="930">
        <v>45579</v>
      </c>
    </row>
    <row r="114" spans="1:11" ht="15">
      <c r="A114" s="56" t="s">
        <v>866</v>
      </c>
      <c r="B114" s="56"/>
      <c r="C114" s="56" t="s">
        <v>867</v>
      </c>
      <c r="D114" s="927">
        <f>SUMIF('TAIL-HEAD SECTIONS'!B$91:B$121,BOM!A114,'TAIL-HEAD SECTIONS'!H$91:H$121)+SUMIF(STANDARDS!B$235:B$322,BOM!A114,STANDARDS!H$235:H$322)+SUMIF('COST PER FT'!B$138:B$164,BOM!A114,'COST PER FT'!H$138:H$164)</f>
        <v>0</v>
      </c>
      <c r="F114" s="929"/>
      <c r="G114" s="923">
        <f t="shared" si="7"/>
        <v>0</v>
      </c>
      <c r="H114">
        <f t="shared" si="8"/>
        <v>9</v>
      </c>
      <c r="I114" s="930">
        <v>45579</v>
      </c>
    </row>
    <row r="115" spans="1:11" ht="15">
      <c r="A115" s="56" t="s">
        <v>868</v>
      </c>
      <c r="B115" s="56"/>
      <c r="C115" s="56" t="s">
        <v>869</v>
      </c>
      <c r="D115" s="927">
        <f>SUMIF('TAIL-HEAD SECTIONS'!B$91:B$121,BOM!A115,'TAIL-HEAD SECTIONS'!H$91:H$121)+SUMIF(STANDARDS!B$235:B$322,BOM!A115,STANDARDS!H$235:H$322)+SUMIF('COST PER FT'!B$138:B$164,BOM!A115,'COST PER FT'!H$138:H$164)</f>
        <v>0</v>
      </c>
      <c r="F115" s="929"/>
      <c r="G115" s="923">
        <f t="shared" si="7"/>
        <v>0</v>
      </c>
      <c r="H115">
        <f t="shared" si="8"/>
        <v>9</v>
      </c>
      <c r="I115" s="930">
        <v>45579</v>
      </c>
    </row>
    <row r="116" spans="1:11" ht="15">
      <c r="A116" s="1093" t="s">
        <v>870</v>
      </c>
      <c r="B116" s="56"/>
      <c r="C116" s="56" t="s">
        <v>871</v>
      </c>
      <c r="D116" s="927">
        <f>SUMIF('TAIL-HEAD SECTIONS'!B$91:B$121,BOM!A116,'TAIL-HEAD SECTIONS'!H$91:H$121)+SUMIF(STANDARDS!B$235:B$322,BOM!A116,STANDARDS!H$235:H$322)+SUMIF('COST PER FT'!B$138:B$164,BOM!A116,'COST PER FT'!H$138:H$164)</f>
        <v>0</v>
      </c>
      <c r="F116" s="929">
        <v>4.2103000000000002</v>
      </c>
      <c r="G116" s="923">
        <f t="shared" si="7"/>
        <v>0</v>
      </c>
      <c r="H116">
        <f t="shared" si="8"/>
        <v>9</v>
      </c>
      <c r="I116" s="930">
        <v>45579</v>
      </c>
    </row>
    <row r="117" spans="1:11" ht="15">
      <c r="A117" s="56" t="s">
        <v>872</v>
      </c>
      <c r="B117" s="56"/>
      <c r="C117" s="56" t="s">
        <v>873</v>
      </c>
      <c r="D117" s="927">
        <f>SUMIF('TAIL-HEAD SECTIONS'!B$91:B$121,BOM!A117,'TAIL-HEAD SECTIONS'!H$91:H$121)+SUMIF(STANDARDS!B$235:B$322,BOM!A117,STANDARDS!H$235:H$322)+SUMIF('COST PER FT'!B$138:B$164,BOM!A117,'COST PER FT'!H$138:H$164)</f>
        <v>8</v>
      </c>
      <c r="F117" s="925">
        <v>1.7</v>
      </c>
      <c r="G117" s="923">
        <f t="shared" si="7"/>
        <v>13.6</v>
      </c>
      <c r="H117">
        <f t="shared" si="8"/>
        <v>4</v>
      </c>
      <c r="I117" s="930">
        <v>45579</v>
      </c>
    </row>
    <row r="118" spans="1:11">
      <c r="A118" s="2" t="s">
        <v>874</v>
      </c>
      <c r="C118" t="s">
        <v>875</v>
      </c>
      <c r="D118" s="927">
        <f>SUMIF('TAIL-HEAD SECTIONS'!B$91:B$121,BOM!A118,'TAIL-HEAD SECTIONS'!H$91:H$121)+SUMIF(STANDARDS!B$235:B$322,BOM!A118,STANDARDS!H$235:H$322)+SUMIF('COST PER FT'!B$138:B$164,BOM!A118,'COST PER FT'!H$138:H$164)</f>
        <v>0</v>
      </c>
      <c r="F118" s="929">
        <v>1.0802</v>
      </c>
      <c r="G118" s="923">
        <f t="shared" si="7"/>
        <v>0</v>
      </c>
      <c r="H118">
        <f t="shared" si="8"/>
        <v>9</v>
      </c>
      <c r="I118" s="930">
        <v>45579</v>
      </c>
    </row>
    <row r="119" spans="1:11" ht="15">
      <c r="A119" s="56" t="s">
        <v>824</v>
      </c>
      <c r="B119" s="56"/>
      <c r="C119" s="56"/>
      <c r="D119" s="927">
        <f>SUMIF('TAIL-HEAD SECTIONS'!B$91:B$121,BOM!A119,'TAIL-HEAD SECTIONS'!H$91:H$121)+SUMIF(STANDARDS!B$235:B$322,BOM!A119,STANDARDS!H$235:H$322)+SUMIF('COST PER FT'!B$138:B$164,BOM!A119,'COST PER FT'!H$138:H$164)</f>
        <v>0</v>
      </c>
      <c r="F119" s="925">
        <v>100</v>
      </c>
      <c r="G119" s="923">
        <f t="shared" si="7"/>
        <v>0</v>
      </c>
      <c r="H119">
        <f t="shared" si="8"/>
        <v>9</v>
      </c>
      <c r="I119" s="930">
        <v>45579</v>
      </c>
    </row>
    <row r="121" spans="1:11">
      <c r="G121" s="923">
        <f>SUM(G92:G120)</f>
        <v>200.80859999999998</v>
      </c>
      <c r="I121" s="923" t="e">
        <f>G86+G121</f>
        <v>#N/A</v>
      </c>
      <c r="J121" s="923" t="e">
        <f>'MATERIAL COST'!S11</f>
        <v>#N/A</v>
      </c>
      <c r="K121" s="923" t="e">
        <f>I121-J121</f>
        <v>#N/A</v>
      </c>
    </row>
    <row r="122" spans="1:11">
      <c r="J122" s="923"/>
      <c r="K122" t="e">
        <f>PURCHASED!O329+PURCHASED!O272</f>
        <v>#N/A</v>
      </c>
    </row>
    <row r="123" spans="1:11">
      <c r="G123" s="923"/>
      <c r="J123" s="92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A6256-622A-4B05-9E7C-F69EF2369E3F}">
  <sheetPr codeName="Sheet13">
    <tabColor theme="9" tint="0.39997558519241921"/>
  </sheetPr>
  <dimension ref="A1:S97"/>
  <sheetViews>
    <sheetView topLeftCell="A21" workbookViewId="0">
      <selection activeCell="L32" sqref="L32:L44"/>
    </sheetView>
  </sheetViews>
  <sheetFormatPr defaultRowHeight="15"/>
  <cols>
    <col min="1" max="1" width="12" style="56" customWidth="1"/>
    <col min="2" max="2" width="13.42578125" style="56" customWidth="1"/>
    <col min="3" max="3" width="10.5703125" style="56" bestFit="1" customWidth="1"/>
    <col min="4" max="4" width="10.42578125" style="56" customWidth="1"/>
    <col min="5" max="5" width="11.42578125" style="56" customWidth="1"/>
    <col min="6" max="6" width="16.140625" style="56" customWidth="1"/>
    <col min="7" max="7" width="16.7109375" style="56" customWidth="1"/>
    <col min="8" max="8" width="17.85546875" style="56" customWidth="1"/>
    <col min="9" max="10" width="7.5703125" style="56" customWidth="1"/>
    <col min="11" max="11" width="19.5703125" style="56" customWidth="1"/>
    <col min="12" max="12" width="10.7109375" style="56" bestFit="1" customWidth="1"/>
    <col min="13" max="13" width="19.85546875" style="56" bestFit="1" customWidth="1"/>
    <col min="14" max="14" width="18.5703125" style="56" bestFit="1" customWidth="1"/>
    <col min="15" max="17" width="9.140625" style="56"/>
    <col min="18" max="18" width="11.85546875" style="56" bestFit="1" customWidth="1"/>
    <col min="19" max="19" width="13.42578125" style="56" bestFit="1" customWidth="1"/>
    <col min="20" max="16384" width="9.140625" style="56"/>
  </cols>
  <sheetData>
    <row r="1" spans="1:19" ht="15.75">
      <c r="A1" s="1633" t="s">
        <v>876</v>
      </c>
      <c r="B1" s="1634"/>
      <c r="C1" s="1634"/>
      <c r="D1" s="1634"/>
      <c r="E1" s="1634"/>
      <c r="F1" s="1634"/>
      <c r="G1" s="1634"/>
      <c r="H1" s="1634"/>
      <c r="I1" s="1634"/>
      <c r="J1" s="1634"/>
      <c r="K1" s="1634"/>
      <c r="L1" s="1635"/>
      <c r="M1" s="1077"/>
      <c r="N1" s="55"/>
      <c r="O1" s="55"/>
    </row>
    <row r="2" spans="1:19" ht="25.5">
      <c r="A2" s="366" t="s">
        <v>419</v>
      </c>
      <c r="B2" s="367" t="s">
        <v>716</v>
      </c>
      <c r="C2" s="367" t="s">
        <v>877</v>
      </c>
      <c r="D2" s="367" t="s">
        <v>878</v>
      </c>
      <c r="E2" s="367" t="s">
        <v>879</v>
      </c>
      <c r="F2" s="367" t="s">
        <v>880</v>
      </c>
      <c r="G2" s="367" t="s">
        <v>881</v>
      </c>
      <c r="H2" s="367" t="s">
        <v>882</v>
      </c>
      <c r="I2" s="367" t="s">
        <v>883</v>
      </c>
      <c r="J2" s="367" t="s">
        <v>884</v>
      </c>
      <c r="K2" s="367" t="s">
        <v>885</v>
      </c>
      <c r="L2" s="368" t="s">
        <v>886</v>
      </c>
      <c r="M2" s="367" t="s">
        <v>887</v>
      </c>
      <c r="N2" s="55"/>
      <c r="O2" s="55"/>
    </row>
    <row r="3" spans="1:19">
      <c r="A3" s="361" t="s">
        <v>480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364"/>
      <c r="M3" s="1078"/>
      <c r="N3" s="55"/>
      <c r="O3" s="55"/>
      <c r="R3" s="1093"/>
    </row>
    <row r="4" spans="1:19">
      <c r="A4" s="362" t="s">
        <v>888</v>
      </c>
      <c r="B4" s="58">
        <v>101909</v>
      </c>
      <c r="C4" s="59" t="s">
        <v>480</v>
      </c>
      <c r="D4" s="60">
        <v>2.35E-2</v>
      </c>
      <c r="E4" s="61">
        <v>24</v>
      </c>
      <c r="F4" s="62" t="s">
        <v>889</v>
      </c>
      <c r="G4" s="62" t="s">
        <v>890</v>
      </c>
      <c r="H4" s="63" t="s">
        <v>891</v>
      </c>
      <c r="I4" s="64" t="s">
        <v>892</v>
      </c>
      <c r="J4" s="64" t="s">
        <v>893</v>
      </c>
      <c r="K4" s="345" cm="1">
        <f t="array" ref="K4">_xlfn.XLOOKUP(MET_PRICE[[#This Row],[Code Name]],MET_PRICE25[[#All],[DESC]],MET_PRICE25[[#All],[PRICE]])</f>
        <v>2.12</v>
      </c>
      <c r="L4" s="1044" cm="1">
        <f t="array" ref="L4">_xlfn.XLOOKUP(MET_PRICE[[#This Row],[Code Name]],Sheet_Plate_NEW[[#All],[Merged]],Sheet_Plate_NEW[[#All],[QuoteDate]])</f>
        <v>46052</v>
      </c>
      <c r="M4" s="1080" t="s">
        <v>894</v>
      </c>
      <c r="N4" s="55" t="s">
        <v>895</v>
      </c>
      <c r="O4" s="55"/>
      <c r="R4" s="335"/>
    </row>
    <row r="5" spans="1:19">
      <c r="A5" s="363" t="s">
        <v>888</v>
      </c>
      <c r="B5" s="65">
        <v>101908</v>
      </c>
      <c r="C5" s="66" t="s">
        <v>480</v>
      </c>
      <c r="D5" s="60">
        <v>2.93E-2</v>
      </c>
      <c r="E5" s="61">
        <v>22</v>
      </c>
      <c r="F5" s="62" t="s">
        <v>889</v>
      </c>
      <c r="G5" s="62" t="s">
        <v>890</v>
      </c>
      <c r="H5" s="63" t="s">
        <v>891</v>
      </c>
      <c r="I5" s="64" t="s">
        <v>892</v>
      </c>
      <c r="J5" s="64" t="s">
        <v>893</v>
      </c>
      <c r="K5" s="345" cm="1">
        <f t="array" ref="K5">_xlfn.XLOOKUP(MET_PRICE[[#This Row],[Code Name]],MET_PRICE25[[#All],[DESC]],MET_PRICE25[[#All],[PRICE]])</f>
        <v>2.04</v>
      </c>
      <c r="L5" s="1044" cm="1">
        <f t="array" ref="L5">_xlfn.XLOOKUP(MET_PRICE[[#This Row],[Code Name]],Sheet_Plate_NEW[[#All],[Merged]],Sheet_Plate_NEW[[#All],[QuoteDate]])</f>
        <v>46052</v>
      </c>
      <c r="M5" s="1080" t="s">
        <v>896</v>
      </c>
      <c r="N5" s="55" t="s">
        <v>895</v>
      </c>
      <c r="O5" s="55"/>
    </row>
    <row r="6" spans="1:19">
      <c r="A6" s="363" t="s">
        <v>888</v>
      </c>
      <c r="B6" s="65">
        <v>101906</v>
      </c>
      <c r="C6" s="66" t="s">
        <v>480</v>
      </c>
      <c r="D6" s="60">
        <v>4.8000000000000001E-2</v>
      </c>
      <c r="E6" s="61">
        <v>18</v>
      </c>
      <c r="F6" s="62" t="s">
        <v>897</v>
      </c>
      <c r="G6" s="62" t="s">
        <v>890</v>
      </c>
      <c r="H6" s="63" t="s">
        <v>891</v>
      </c>
      <c r="I6" s="64" t="s">
        <v>892</v>
      </c>
      <c r="J6" s="64" t="s">
        <v>893</v>
      </c>
      <c r="K6" s="345" cm="1">
        <f t="array" ref="K6">_xlfn.XLOOKUP(MET_PRICE[[#This Row],[Code Name]],MET_PRICE25[[#All],[DESC]],MET_PRICE25[[#All],[PRICE]])</f>
        <v>1.92</v>
      </c>
      <c r="L6" s="1044" cm="1">
        <f t="array" ref="L6">_xlfn.XLOOKUP(MET_PRICE[[#This Row],[Code Name]],Sheet_Plate_NEW[[#All],[Merged]],Sheet_Plate_NEW[[#All],[QuoteDate]])</f>
        <v>46052</v>
      </c>
      <c r="M6" s="1080" t="s">
        <v>898</v>
      </c>
      <c r="N6" s="55"/>
      <c r="O6" s="55"/>
    </row>
    <row r="7" spans="1:19">
      <c r="A7" s="362" t="s">
        <v>888</v>
      </c>
      <c r="B7" s="58">
        <v>101905</v>
      </c>
      <c r="C7" s="67" t="s">
        <v>480</v>
      </c>
      <c r="D7" s="60">
        <v>5.9499999999999997E-2</v>
      </c>
      <c r="E7" s="61">
        <v>16</v>
      </c>
      <c r="F7" s="62" t="s">
        <v>897</v>
      </c>
      <c r="G7" s="62" t="s">
        <v>890</v>
      </c>
      <c r="H7" s="63" t="s">
        <v>891</v>
      </c>
      <c r="I7" s="64" t="s">
        <v>892</v>
      </c>
      <c r="J7" s="64" t="s">
        <v>893</v>
      </c>
      <c r="K7" s="345" cm="1">
        <f t="array" ref="K7">_xlfn.XLOOKUP(MET_PRICE[[#This Row],[Code Name]],MET_PRICE25[[#All],[DESC]],MET_PRICE25[[#All],[PRICE]])</f>
        <v>1.9</v>
      </c>
      <c r="L7" s="1044" cm="1">
        <f t="array" ref="L7">_xlfn.XLOOKUP(MET_PRICE[[#This Row],[Code Name]],Sheet_Plate_NEW[[#All],[Merged]],Sheet_Plate_NEW[[#All],[QuoteDate]])</f>
        <v>46052</v>
      </c>
      <c r="M7" s="1080" t="s">
        <v>899</v>
      </c>
      <c r="N7" s="55"/>
      <c r="O7" s="55"/>
    </row>
    <row r="8" spans="1:19">
      <c r="A8" s="363" t="s">
        <v>888</v>
      </c>
      <c r="B8" s="65">
        <v>101904</v>
      </c>
      <c r="C8" s="66" t="s">
        <v>480</v>
      </c>
      <c r="D8" s="60">
        <v>7.51E-2</v>
      </c>
      <c r="E8" s="61">
        <v>14</v>
      </c>
      <c r="F8" s="62" t="s">
        <v>897</v>
      </c>
      <c r="G8" s="62" t="s">
        <v>890</v>
      </c>
      <c r="H8" s="63" t="s">
        <v>891</v>
      </c>
      <c r="I8" s="64" t="s">
        <v>892</v>
      </c>
      <c r="J8" s="64" t="s">
        <v>893</v>
      </c>
      <c r="K8" s="345" cm="1">
        <f t="array" ref="K8">_xlfn.XLOOKUP(MET_PRICE[[#This Row],[Code Name]],MET_PRICE25[[#All],[DESC]],MET_PRICE25[[#All],[PRICE]])</f>
        <v>1.89</v>
      </c>
      <c r="L8" s="1044" cm="1">
        <f t="array" ref="L8">_xlfn.XLOOKUP(MET_PRICE[[#This Row],[Code Name]],Sheet_Plate_NEW[[#All],[Merged]],Sheet_Plate_NEW[[#All],[QuoteDate]])</f>
        <v>46052</v>
      </c>
      <c r="M8" s="1080" t="s">
        <v>900</v>
      </c>
      <c r="N8" s="55"/>
      <c r="O8" s="55"/>
    </row>
    <row r="9" spans="1:19">
      <c r="A9" s="362" t="s">
        <v>888</v>
      </c>
      <c r="B9" s="58">
        <v>101902</v>
      </c>
      <c r="C9" s="59" t="s">
        <v>480</v>
      </c>
      <c r="D9" s="60">
        <v>0.12</v>
      </c>
      <c r="E9" s="61">
        <v>11</v>
      </c>
      <c r="F9" s="62" t="s">
        <v>897</v>
      </c>
      <c r="G9" s="62" t="s">
        <v>890</v>
      </c>
      <c r="H9" s="63" t="s">
        <v>891</v>
      </c>
      <c r="I9" s="64" t="s">
        <v>892</v>
      </c>
      <c r="J9" s="64" t="s">
        <v>893</v>
      </c>
      <c r="K9" s="345" cm="1">
        <f t="array" ref="K9">_xlfn.XLOOKUP(MET_PRICE[[#This Row],[Code Name]],MET_PRICE25[[#All],[DESC]],MET_PRICE25[[#All],[PRICE]])</f>
        <v>1.89</v>
      </c>
      <c r="L9" s="1044" cm="1">
        <f t="array" ref="L9">_xlfn.XLOOKUP(MET_PRICE[[#This Row],[Code Name]],Sheet_Plate_NEW[[#All],[Merged]],Sheet_Plate_NEW[[#All],[QuoteDate]])</f>
        <v>46052</v>
      </c>
      <c r="M9" s="1080" t="s">
        <v>901</v>
      </c>
      <c r="N9" s="55"/>
      <c r="O9" s="55"/>
    </row>
    <row r="10" spans="1:19">
      <c r="A10" s="363" t="s">
        <v>902</v>
      </c>
      <c r="B10" s="65">
        <v>101997</v>
      </c>
      <c r="C10" s="66" t="s">
        <v>480</v>
      </c>
      <c r="D10" s="60">
        <v>0.1875</v>
      </c>
      <c r="E10" s="68" t="s">
        <v>903</v>
      </c>
      <c r="F10" s="62" t="s">
        <v>897</v>
      </c>
      <c r="G10" s="62" t="s">
        <v>904</v>
      </c>
      <c r="H10" s="63" t="s">
        <v>905</v>
      </c>
      <c r="I10" s="64" t="s">
        <v>892</v>
      </c>
      <c r="J10" s="64" t="s">
        <v>906</v>
      </c>
      <c r="K10" s="345" cm="1">
        <f t="array" ref="K10">_xlfn.XLOOKUP(MET_PRICE[[#This Row],[Code Name]],MET_PRICE25[[#All],[DESC]],MET_PRICE25[[#All],[PRICE]])</f>
        <v>1.7</v>
      </c>
      <c r="L10" s="1044" cm="1">
        <f t="array" ref="L10">_xlfn.XLOOKUP(MET_PRICE[[#This Row],[Code Name]],Sheet_Plate_NEW[[#All],[Merged]],Sheet_Plate_NEW[[#All],[QuoteDate]])</f>
        <v>46052</v>
      </c>
      <c r="M10" s="1080" t="s">
        <v>907</v>
      </c>
      <c r="N10" s="55"/>
      <c r="O10" s="55"/>
      <c r="R10" s="56" t="s">
        <v>908</v>
      </c>
      <c r="S10" s="69" t="e">
        <f>'TAIL-HEAD SECTIONS'!T86+STANDARDS!T230+'COST PER FT'!T134</f>
        <v>#VALUE!</v>
      </c>
    </row>
    <row r="11" spans="1:19">
      <c r="A11" s="363" t="s">
        <v>902</v>
      </c>
      <c r="B11" s="65">
        <v>101996</v>
      </c>
      <c r="C11" s="66" t="s">
        <v>480</v>
      </c>
      <c r="D11" s="60">
        <v>0.25</v>
      </c>
      <c r="E11" s="68" t="s">
        <v>909</v>
      </c>
      <c r="F11" s="62" t="s">
        <v>897</v>
      </c>
      <c r="G11" s="62" t="s">
        <v>904</v>
      </c>
      <c r="H11" s="63" t="s">
        <v>905</v>
      </c>
      <c r="I11" s="64" t="s">
        <v>892</v>
      </c>
      <c r="J11" s="64" t="s">
        <v>906</v>
      </c>
      <c r="K11" s="345" cm="1">
        <f t="array" ref="K11">_xlfn.XLOOKUP(MET_PRICE[[#This Row],[Code Name]],MET_PRICE25[[#All],[DESC]],MET_PRICE25[[#All],[PRICE]])</f>
        <v>1.76</v>
      </c>
      <c r="L11" s="1044" cm="1">
        <f t="array" ref="L11">_xlfn.XLOOKUP(MET_PRICE[[#This Row],[Code Name]],Sheet_Plate_NEW[[#All],[Merged]],Sheet_Plate_NEW[[#All],[QuoteDate]])</f>
        <v>46052</v>
      </c>
      <c r="M11" s="1080" t="s">
        <v>910</v>
      </c>
      <c r="N11" s="55"/>
      <c r="O11" s="55"/>
      <c r="R11" s="56" t="s">
        <v>911</v>
      </c>
      <c r="S11" s="69" t="e">
        <f>'TAIL-HEAD SECTIONS'!V86+STANDARDS!V230+'COST PER FT'!V134+PURCHASED!O272+PURCHASED!O329</f>
        <v>#N/A</v>
      </c>
    </row>
    <row r="12" spans="1:19">
      <c r="A12" s="363" t="s">
        <v>902</v>
      </c>
      <c r="B12" s="65">
        <v>101995</v>
      </c>
      <c r="C12" s="66" t="s">
        <v>480</v>
      </c>
      <c r="D12" s="60">
        <v>0.3125</v>
      </c>
      <c r="E12" s="68" t="s">
        <v>912</v>
      </c>
      <c r="F12" s="62" t="s">
        <v>897</v>
      </c>
      <c r="G12" s="62" t="s">
        <v>904</v>
      </c>
      <c r="H12" s="63" t="s">
        <v>905</v>
      </c>
      <c r="I12" s="64" t="s">
        <v>892</v>
      </c>
      <c r="J12" s="64" t="s">
        <v>906</v>
      </c>
      <c r="K12" s="345" cm="1">
        <f t="array" ref="K12">_xlfn.XLOOKUP(MET_PRICE[[#This Row],[Code Name]],MET_PRICE25[[#All],[DESC]],MET_PRICE25[[#All],[PRICE]])</f>
        <v>1.8</v>
      </c>
      <c r="L12" s="1044" cm="1">
        <f t="array" ref="L12">_xlfn.XLOOKUP(MET_PRICE[[#This Row],[Code Name]],Sheet_Plate_NEW[[#All],[Merged]],Sheet_Plate_NEW[[#All],[QuoteDate]])</f>
        <v>46052</v>
      </c>
      <c r="M12" s="1080" t="s">
        <v>913</v>
      </c>
      <c r="N12" s="55"/>
      <c r="O12" s="55"/>
      <c r="R12" s="56" t="s">
        <v>914</v>
      </c>
      <c r="S12" s="69">
        <f>'TAIL-HEAD SECTIONS'!W86+STANDARDS!W230+'COST PER FT'!W134</f>
        <v>0</v>
      </c>
    </row>
    <row r="13" spans="1:19">
      <c r="A13" s="363" t="s">
        <v>902</v>
      </c>
      <c r="B13" s="65">
        <v>101994</v>
      </c>
      <c r="C13" s="66" t="s">
        <v>480</v>
      </c>
      <c r="D13" s="60">
        <v>0.375</v>
      </c>
      <c r="E13" s="68" t="s">
        <v>915</v>
      </c>
      <c r="F13" s="62" t="s">
        <v>897</v>
      </c>
      <c r="G13" s="62" t="s">
        <v>904</v>
      </c>
      <c r="H13" s="63" t="s">
        <v>905</v>
      </c>
      <c r="I13" s="64" t="s">
        <v>892</v>
      </c>
      <c r="J13" s="64" t="s">
        <v>906</v>
      </c>
      <c r="K13" s="345" cm="1">
        <f t="array" ref="K13">_xlfn.XLOOKUP(MET_PRICE[[#This Row],[Code Name]],MET_PRICE25[[#All],[DESC]],MET_PRICE25[[#All],[PRICE]])</f>
        <v>1.8</v>
      </c>
      <c r="L13" s="1044" cm="1">
        <f t="array" ref="L13">_xlfn.XLOOKUP(MET_PRICE[[#This Row],[Code Name]],Sheet_Plate_NEW[[#All],[Merged]],Sheet_Plate_NEW[[#All],[QuoteDate]])</f>
        <v>46052</v>
      </c>
      <c r="M13" s="1080" t="s">
        <v>916</v>
      </c>
      <c r="N13" s="55"/>
      <c r="O13" s="55"/>
      <c r="R13" s="56" t="s">
        <v>917</v>
      </c>
      <c r="S13" s="69" t="e">
        <f>SUM(S10:S12)</f>
        <v>#VALUE!</v>
      </c>
    </row>
    <row r="14" spans="1:19">
      <c r="A14" s="362" t="s">
        <v>902</v>
      </c>
      <c r="B14" s="58">
        <v>101993</v>
      </c>
      <c r="C14" s="59" t="s">
        <v>480</v>
      </c>
      <c r="D14" s="60">
        <v>0.5</v>
      </c>
      <c r="E14" s="68" t="s">
        <v>918</v>
      </c>
      <c r="F14" s="62" t="s">
        <v>889</v>
      </c>
      <c r="G14" s="62" t="s">
        <v>904</v>
      </c>
      <c r="H14" s="63" t="s">
        <v>905</v>
      </c>
      <c r="I14" s="64" t="s">
        <v>892</v>
      </c>
      <c r="J14" s="64" t="s">
        <v>906</v>
      </c>
      <c r="K14" s="345" cm="1">
        <f t="array" ref="K14">_xlfn.XLOOKUP(MET_PRICE[[#This Row],[Code Name]],MET_PRICE25[[#All],[DESC]],MET_PRICE25[[#All],[PRICE]])</f>
        <v>2.14</v>
      </c>
      <c r="L14" s="1044" cm="1">
        <f t="array" ref="L14">_xlfn.XLOOKUP(MET_PRICE[[#This Row],[Code Name]],Sheet_Plate_NEW[[#All],[Merged]],Sheet_Plate_NEW[[#All],[QuoteDate]])</f>
        <v>46052</v>
      </c>
      <c r="M14" s="1080" t="s">
        <v>919</v>
      </c>
      <c r="N14" s="55" t="s">
        <v>895</v>
      </c>
      <c r="O14" s="55"/>
      <c r="R14" s="56" t="s">
        <v>920</v>
      </c>
      <c r="S14" s="70" t="e">
        <f>ROUND('TAIL-HEAD SECTIONS'!U86+STANDARDS!U230+'COST PER FT'!U134,0)</f>
        <v>#N/A</v>
      </c>
    </row>
    <row r="15" spans="1:19">
      <c r="A15" s="362" t="s">
        <v>902</v>
      </c>
      <c r="B15" s="58">
        <v>101992</v>
      </c>
      <c r="C15" s="59" t="s">
        <v>480</v>
      </c>
      <c r="D15" s="60">
        <v>0.625</v>
      </c>
      <c r="E15" s="68" t="s">
        <v>921</v>
      </c>
      <c r="F15" s="62" t="s">
        <v>889</v>
      </c>
      <c r="G15" s="62" t="s">
        <v>904</v>
      </c>
      <c r="H15" s="63" t="s">
        <v>905</v>
      </c>
      <c r="I15" s="64" t="s">
        <v>892</v>
      </c>
      <c r="J15" s="64" t="s">
        <v>906</v>
      </c>
      <c r="K15" s="345" cm="1">
        <f t="array" ref="K15">_xlfn.XLOOKUP(MET_PRICE[[#This Row],[Code Name]],MET_PRICE25[[#All],[DESC]],MET_PRICE25[[#All],[PRICE]])</f>
        <v>2.4300000000000002</v>
      </c>
      <c r="L15" s="1044" cm="1">
        <f t="array" ref="L15">_xlfn.XLOOKUP(MET_PRICE[[#This Row],[Code Name]],Sheet_Plate_NEW[[#All],[Merged]],Sheet_Plate_NEW[[#All],[QuoteDate]])</f>
        <v>46052</v>
      </c>
      <c r="M15" s="1080" t="s">
        <v>922</v>
      </c>
      <c r="N15" s="55" t="s">
        <v>895</v>
      </c>
      <c r="O15" s="55"/>
      <c r="S15" s="69"/>
    </row>
    <row r="16" spans="1:19">
      <c r="A16" s="363" t="s">
        <v>902</v>
      </c>
      <c r="B16" s="65">
        <v>101991</v>
      </c>
      <c r="C16" s="59" t="s">
        <v>480</v>
      </c>
      <c r="D16" s="60">
        <v>0.75</v>
      </c>
      <c r="E16" s="68" t="s">
        <v>923</v>
      </c>
      <c r="F16" s="62" t="s">
        <v>889</v>
      </c>
      <c r="G16" s="62" t="s">
        <v>904</v>
      </c>
      <c r="H16" s="63" t="s">
        <v>905</v>
      </c>
      <c r="I16" s="64" t="s">
        <v>892</v>
      </c>
      <c r="J16" s="64" t="s">
        <v>906</v>
      </c>
      <c r="K16" s="345" cm="1">
        <f t="array" ref="K16">_xlfn.XLOOKUP(MET_PRICE[[#This Row],[Code Name]],MET_PRICE25[[#All],[DESC]],MET_PRICE25[[#All],[PRICE]])</f>
        <v>2.4300000000000002</v>
      </c>
      <c r="L16" s="1044" cm="1">
        <f t="array" ref="L16">_xlfn.XLOOKUP(MET_PRICE[[#This Row],[Code Name]],Sheet_Plate_NEW[[#All],[Merged]],Sheet_Plate_NEW[[#All],[QuoteDate]])</f>
        <v>46052</v>
      </c>
      <c r="M16" s="1080" t="s">
        <v>924</v>
      </c>
      <c r="N16" s="55" t="s">
        <v>895</v>
      </c>
      <c r="O16" s="55"/>
    </row>
    <row r="17" spans="1:19">
      <c r="A17" s="361" t="s">
        <v>925</v>
      </c>
      <c r="B17" s="57"/>
      <c r="C17" s="57"/>
      <c r="D17" s="57"/>
      <c r="E17" s="57"/>
      <c r="F17" s="57"/>
      <c r="G17" s="57"/>
      <c r="H17" s="57"/>
      <c r="I17" s="57"/>
      <c r="J17" s="57"/>
      <c r="K17" s="346"/>
      <c r="L17" s="1045"/>
      <c r="M17" s="1079"/>
      <c r="N17" s="55" t="s">
        <v>926</v>
      </c>
      <c r="O17" s="55"/>
    </row>
    <row r="18" spans="1:19">
      <c r="A18" s="363" t="s">
        <v>888</v>
      </c>
      <c r="B18" s="65">
        <v>101899</v>
      </c>
      <c r="C18" s="66" t="s">
        <v>925</v>
      </c>
      <c r="D18" s="60">
        <v>2.35E-2</v>
      </c>
      <c r="E18" s="61">
        <v>24</v>
      </c>
      <c r="F18" s="62" t="s">
        <v>889</v>
      </c>
      <c r="G18" s="62" t="s">
        <v>890</v>
      </c>
      <c r="H18" s="63" t="s">
        <v>891</v>
      </c>
      <c r="I18" s="64" t="s">
        <v>892</v>
      </c>
      <c r="J18" s="64" t="s">
        <v>893</v>
      </c>
      <c r="K18" s="345" cm="1">
        <f t="array" ref="K18">_xlfn.XLOOKUP(MET_PRICE[[#This Row],[Code Name]],MET_PRICE25[[#All],[DESC]],MET_PRICE25[[#All],[PRICE]])</f>
        <v>2.21</v>
      </c>
      <c r="L18" s="1044" cm="1">
        <f t="array" ref="L18">_xlfn.XLOOKUP(MET_PRICE[[#This Row],[Code Name]],Sheet_Plate_NEW[[#All],[Merged]],Sheet_Plate_NEW[[#All],[QuoteDate]])</f>
        <v>46052</v>
      </c>
      <c r="M18" s="1080" t="s">
        <v>927</v>
      </c>
      <c r="N18" s="55" t="s">
        <v>928</v>
      </c>
      <c r="O18" s="55" t="s">
        <v>929</v>
      </c>
    </row>
    <row r="19" spans="1:19">
      <c r="A19" s="362" t="s">
        <v>888</v>
      </c>
      <c r="B19" s="58">
        <v>101897</v>
      </c>
      <c r="C19" s="67" t="s">
        <v>925</v>
      </c>
      <c r="D19" s="60">
        <v>2.93E-2</v>
      </c>
      <c r="E19" s="61">
        <v>22</v>
      </c>
      <c r="F19" s="62" t="s">
        <v>889</v>
      </c>
      <c r="G19" s="62" t="s">
        <v>890</v>
      </c>
      <c r="H19" s="63" t="s">
        <v>891</v>
      </c>
      <c r="I19" s="64" t="s">
        <v>892</v>
      </c>
      <c r="J19" s="64" t="s">
        <v>893</v>
      </c>
      <c r="K19" s="345" cm="1">
        <f t="array" ref="K19">_xlfn.XLOOKUP(MET_PRICE[[#This Row],[Code Name]],MET_PRICE25[[#All],[DESC]],MET_PRICE25[[#All],[PRICE]])</f>
        <v>2.13</v>
      </c>
      <c r="L19" s="1044" cm="1">
        <f t="array" ref="L19">_xlfn.XLOOKUP(MET_PRICE[[#This Row],[Code Name]],Sheet_Plate_NEW[[#All],[Merged]],Sheet_Plate_NEW[[#All],[QuoteDate]])</f>
        <v>46052</v>
      </c>
      <c r="M19" s="1080" t="s">
        <v>930</v>
      </c>
      <c r="N19" s="55" t="s">
        <v>928</v>
      </c>
      <c r="O19" s="55" t="s">
        <v>929</v>
      </c>
    </row>
    <row r="20" spans="1:19">
      <c r="A20" s="363" t="s">
        <v>888</v>
      </c>
      <c r="B20" s="65">
        <v>101895</v>
      </c>
      <c r="C20" s="66" t="s">
        <v>925</v>
      </c>
      <c r="D20" s="60">
        <v>4.8000000000000001E-2</v>
      </c>
      <c r="E20" s="61">
        <v>18</v>
      </c>
      <c r="F20" s="62" t="s">
        <v>897</v>
      </c>
      <c r="G20" s="62" t="s">
        <v>890</v>
      </c>
      <c r="H20" s="63" t="s">
        <v>891</v>
      </c>
      <c r="I20" s="64" t="s">
        <v>892</v>
      </c>
      <c r="J20" s="64" t="s">
        <v>893</v>
      </c>
      <c r="K20" s="345" cm="1">
        <f t="array" ref="K20">_xlfn.XLOOKUP(MET_PRICE[[#This Row],[Code Name]],MET_PRICE25[[#All],[DESC]],MET_PRICE25[[#All],[PRICE]])</f>
        <v>2.0299999999999998</v>
      </c>
      <c r="L20" s="1044" cm="1">
        <f t="array" ref="L20">_xlfn.XLOOKUP(MET_PRICE[[#This Row],[Code Name]],Sheet_Plate_NEW[[#All],[Merged]],Sheet_Plate_NEW[[#All],[QuoteDate]])</f>
        <v>46052</v>
      </c>
      <c r="M20" s="1080" t="s">
        <v>931</v>
      </c>
      <c r="N20" s="55" t="s">
        <v>928</v>
      </c>
      <c r="O20" s="55" t="s">
        <v>929</v>
      </c>
    </row>
    <row r="21" spans="1:19">
      <c r="A21" s="363" t="s">
        <v>888</v>
      </c>
      <c r="B21" s="65">
        <v>101894</v>
      </c>
      <c r="C21" s="66" t="s">
        <v>925</v>
      </c>
      <c r="D21" s="60">
        <v>5.9499999999999997E-2</v>
      </c>
      <c r="E21" s="61">
        <v>16</v>
      </c>
      <c r="F21" s="62" t="s">
        <v>897</v>
      </c>
      <c r="G21" s="62" t="s">
        <v>890</v>
      </c>
      <c r="H21" s="63" t="s">
        <v>891</v>
      </c>
      <c r="I21" s="64" t="s">
        <v>892</v>
      </c>
      <c r="J21" s="64" t="s">
        <v>893</v>
      </c>
      <c r="K21" s="345" cm="1">
        <f t="array" ref="K21">_xlfn.XLOOKUP(MET_PRICE[[#This Row],[Code Name]],MET_PRICE25[[#All],[DESC]],MET_PRICE25[[#All],[PRICE]])</f>
        <v>2</v>
      </c>
      <c r="L21" s="1044" cm="1">
        <f t="array" ref="L21">_xlfn.XLOOKUP(MET_PRICE[[#This Row],[Code Name]],Sheet_Plate_NEW[[#All],[Merged]],Sheet_Plate_NEW[[#All],[QuoteDate]])</f>
        <v>46052</v>
      </c>
      <c r="M21" s="1080" t="s">
        <v>932</v>
      </c>
      <c r="N21" s="55" t="s">
        <v>928</v>
      </c>
      <c r="O21" s="55" t="s">
        <v>929</v>
      </c>
    </row>
    <row r="22" spans="1:19">
      <c r="A22" s="362" t="s">
        <v>888</v>
      </c>
      <c r="B22" s="58">
        <v>101893</v>
      </c>
      <c r="C22" s="59" t="s">
        <v>925</v>
      </c>
      <c r="D22" s="60">
        <v>7.51E-2</v>
      </c>
      <c r="E22" s="61">
        <v>14</v>
      </c>
      <c r="F22" s="62" t="s">
        <v>897</v>
      </c>
      <c r="G22" s="62" t="s">
        <v>890</v>
      </c>
      <c r="H22" s="63" t="s">
        <v>891</v>
      </c>
      <c r="I22" s="64" t="s">
        <v>892</v>
      </c>
      <c r="J22" s="64" t="s">
        <v>893</v>
      </c>
      <c r="K22" s="345" cm="1">
        <f t="array" ref="K22">_xlfn.XLOOKUP(MET_PRICE[[#This Row],[Code Name]],MET_PRICE25[[#All],[DESC]],MET_PRICE25[[#All],[PRICE]])</f>
        <v>1.99</v>
      </c>
      <c r="L22" s="1044" cm="1">
        <f t="array" ref="L22">_xlfn.XLOOKUP(MET_PRICE[[#This Row],[Code Name]],Sheet_Plate_NEW[[#All],[Merged]],Sheet_Plate_NEW[[#All],[QuoteDate]])</f>
        <v>46052</v>
      </c>
      <c r="M22" s="1080" t="s">
        <v>933</v>
      </c>
      <c r="N22" s="55" t="s">
        <v>928</v>
      </c>
      <c r="O22" s="55" t="s">
        <v>929</v>
      </c>
    </row>
    <row r="23" spans="1:19">
      <c r="A23" s="363" t="s">
        <v>888</v>
      </c>
      <c r="B23" s="65">
        <v>101891</v>
      </c>
      <c r="C23" s="66" t="s">
        <v>925</v>
      </c>
      <c r="D23" s="60">
        <v>0.12</v>
      </c>
      <c r="E23" s="61">
        <v>11</v>
      </c>
      <c r="F23" s="62" t="s">
        <v>897</v>
      </c>
      <c r="G23" s="62" t="s">
        <v>890</v>
      </c>
      <c r="H23" s="63" t="s">
        <v>891</v>
      </c>
      <c r="I23" s="64" t="s">
        <v>892</v>
      </c>
      <c r="J23" s="64" t="s">
        <v>893</v>
      </c>
      <c r="K23" s="345" cm="1">
        <f t="array" ref="K23">_xlfn.XLOOKUP(MET_PRICE[[#This Row],[Code Name]],MET_PRICE25[[#All],[DESC]],MET_PRICE25[[#All],[PRICE]])</f>
        <v>1.99</v>
      </c>
      <c r="L23" s="1044" cm="1">
        <f t="array" ref="L23">_xlfn.XLOOKUP(MET_PRICE[[#This Row],[Code Name]],Sheet_Plate_NEW[[#All],[Merged]],Sheet_Plate_NEW[[#All],[QuoteDate]])</f>
        <v>46052</v>
      </c>
      <c r="M23" s="1080" t="s">
        <v>934</v>
      </c>
      <c r="N23" s="55" t="s">
        <v>928</v>
      </c>
      <c r="O23" s="55" t="s">
        <v>929</v>
      </c>
    </row>
    <row r="24" spans="1:19">
      <c r="A24" s="363" t="s">
        <v>902</v>
      </c>
      <c r="B24" s="65">
        <v>101986</v>
      </c>
      <c r="C24" s="66" t="s">
        <v>925</v>
      </c>
      <c r="D24" s="60">
        <v>0.1875</v>
      </c>
      <c r="E24" s="68" t="s">
        <v>903</v>
      </c>
      <c r="F24" s="62" t="s">
        <v>897</v>
      </c>
      <c r="G24" s="62" t="s">
        <v>904</v>
      </c>
      <c r="H24" s="63" t="s">
        <v>905</v>
      </c>
      <c r="I24" s="64" t="s">
        <v>892</v>
      </c>
      <c r="J24" s="64" t="s">
        <v>906</v>
      </c>
      <c r="K24" s="345" cm="1">
        <f t="array" ref="K24">_xlfn.XLOOKUP(MET_PRICE[[#This Row],[Code Name]],MET_PRICE25[[#All],[DESC]],MET_PRICE25[[#All],[PRICE]])</f>
        <v>1.7</v>
      </c>
      <c r="L24" s="1044" cm="1">
        <f t="array" ref="L24">_xlfn.XLOOKUP(MET_PRICE[[#This Row],[Code Name]],Sheet_Plate_NEW[[#All],[Merged]],Sheet_Plate_NEW[[#All],[QuoteDate]])</f>
        <v>46052</v>
      </c>
      <c r="M24" s="1080" t="s">
        <v>935</v>
      </c>
      <c r="N24" s="55" t="s">
        <v>936</v>
      </c>
      <c r="O24" s="55"/>
    </row>
    <row r="25" spans="1:19">
      <c r="A25" s="363" t="s">
        <v>902</v>
      </c>
      <c r="B25" s="65">
        <v>101985</v>
      </c>
      <c r="C25" s="66" t="s">
        <v>925</v>
      </c>
      <c r="D25" s="60">
        <v>0.25</v>
      </c>
      <c r="E25" s="68" t="s">
        <v>909</v>
      </c>
      <c r="F25" s="62" t="s">
        <v>897</v>
      </c>
      <c r="G25" s="62" t="s">
        <v>904</v>
      </c>
      <c r="H25" s="63" t="s">
        <v>905</v>
      </c>
      <c r="I25" s="64" t="s">
        <v>892</v>
      </c>
      <c r="J25" s="64" t="s">
        <v>906</v>
      </c>
      <c r="K25" s="345" cm="1">
        <f t="array" ref="K25">_xlfn.XLOOKUP(MET_PRICE[[#This Row],[Code Name]],MET_PRICE25[[#All],[DESC]],MET_PRICE25[[#All],[PRICE]])</f>
        <v>1.75</v>
      </c>
      <c r="L25" s="1044" cm="1">
        <f t="array" ref="L25">_xlfn.XLOOKUP(MET_PRICE[[#This Row],[Code Name]],Sheet_Plate_NEW[[#All],[Merged]],Sheet_Plate_NEW[[#All],[QuoteDate]])</f>
        <v>46052</v>
      </c>
      <c r="M25" s="1080" t="s">
        <v>937</v>
      </c>
      <c r="N25" s="55" t="s">
        <v>936</v>
      </c>
      <c r="O25" s="55"/>
    </row>
    <row r="26" spans="1:19">
      <c r="A26" s="363" t="s">
        <v>902</v>
      </c>
      <c r="B26" s="65">
        <v>101984</v>
      </c>
      <c r="C26" s="66" t="s">
        <v>925</v>
      </c>
      <c r="D26" s="60">
        <v>0.3125</v>
      </c>
      <c r="E26" s="68" t="s">
        <v>912</v>
      </c>
      <c r="F26" s="62" t="s">
        <v>897</v>
      </c>
      <c r="G26" s="62" t="s">
        <v>904</v>
      </c>
      <c r="H26" s="63" t="s">
        <v>905</v>
      </c>
      <c r="I26" s="64" t="s">
        <v>892</v>
      </c>
      <c r="J26" s="64" t="s">
        <v>906</v>
      </c>
      <c r="K26" s="345" cm="1">
        <f t="array" ref="K26">_xlfn.XLOOKUP(MET_PRICE[[#This Row],[Code Name]],MET_PRICE25[[#All],[DESC]],MET_PRICE25[[#All],[PRICE]])</f>
        <v>1.8</v>
      </c>
      <c r="L26" s="1044" cm="1">
        <f t="array" ref="L26">_xlfn.XLOOKUP(MET_PRICE[[#This Row],[Code Name]],Sheet_Plate_NEW[[#All],[Merged]],Sheet_Plate_NEW[[#All],[QuoteDate]])</f>
        <v>46052</v>
      </c>
      <c r="M26" s="1080" t="s">
        <v>938</v>
      </c>
      <c r="N26" s="55" t="s">
        <v>936</v>
      </c>
      <c r="O26" s="55"/>
    </row>
    <row r="27" spans="1:19">
      <c r="A27" s="363" t="s">
        <v>902</v>
      </c>
      <c r="B27" s="65">
        <v>101983</v>
      </c>
      <c r="C27" s="66" t="s">
        <v>925</v>
      </c>
      <c r="D27" s="60">
        <v>0.375</v>
      </c>
      <c r="E27" s="68" t="s">
        <v>915</v>
      </c>
      <c r="F27" s="62" t="s">
        <v>897</v>
      </c>
      <c r="G27" s="62" t="s">
        <v>904</v>
      </c>
      <c r="H27" s="63" t="s">
        <v>905</v>
      </c>
      <c r="I27" s="64" t="s">
        <v>892</v>
      </c>
      <c r="J27" s="64" t="s">
        <v>906</v>
      </c>
      <c r="K27" s="345" cm="1">
        <f t="array" ref="K27">_xlfn.XLOOKUP(MET_PRICE[[#This Row],[Code Name]],MET_PRICE25[[#All],[DESC]],MET_PRICE25[[#All],[PRICE]])</f>
        <v>1.8</v>
      </c>
      <c r="L27" s="1044" cm="1">
        <f t="array" ref="L27">_xlfn.XLOOKUP(MET_PRICE[[#This Row],[Code Name]],Sheet_Plate_NEW[[#All],[Merged]],Sheet_Plate_NEW[[#All],[QuoteDate]])</f>
        <v>46052</v>
      </c>
      <c r="M27" s="1080" t="s">
        <v>939</v>
      </c>
      <c r="N27" s="55" t="s">
        <v>936</v>
      </c>
      <c r="O27" s="55"/>
    </row>
    <row r="28" spans="1:19">
      <c r="A28" s="363" t="s">
        <v>902</v>
      </c>
      <c r="B28" s="65">
        <v>101982</v>
      </c>
      <c r="C28" s="66" t="s">
        <v>925</v>
      </c>
      <c r="D28" s="60">
        <v>0.5</v>
      </c>
      <c r="E28" s="68" t="s">
        <v>918</v>
      </c>
      <c r="F28" s="62" t="s">
        <v>889</v>
      </c>
      <c r="G28" s="62" t="s">
        <v>904</v>
      </c>
      <c r="H28" s="63" t="s">
        <v>905</v>
      </c>
      <c r="I28" s="64" t="s">
        <v>892</v>
      </c>
      <c r="J28" s="64" t="s">
        <v>906</v>
      </c>
      <c r="K28" s="345" cm="1">
        <f t="array" ref="K28">_xlfn.XLOOKUP(MET_PRICE[[#This Row],[Code Name]],MET_PRICE25[[#All],[DESC]],MET_PRICE25[[#All],[PRICE]])</f>
        <v>2.14</v>
      </c>
      <c r="L28" s="1044" cm="1">
        <f t="array" ref="L28">_xlfn.XLOOKUP(MET_PRICE[[#This Row],[Code Name]],Sheet_Plate_NEW[[#All],[Merged]],Sheet_Plate_NEW[[#All],[QuoteDate]])</f>
        <v>46052</v>
      </c>
      <c r="M28" s="1080" t="s">
        <v>940</v>
      </c>
      <c r="N28" s="55" t="s">
        <v>895</v>
      </c>
      <c r="O28" s="55"/>
    </row>
    <row r="29" spans="1:19">
      <c r="A29" s="362" t="s">
        <v>902</v>
      </c>
      <c r="B29" s="58">
        <v>101981</v>
      </c>
      <c r="C29" s="66" t="s">
        <v>925</v>
      </c>
      <c r="D29" s="60">
        <v>0.625</v>
      </c>
      <c r="E29" s="68" t="s">
        <v>921</v>
      </c>
      <c r="F29" s="62" t="s">
        <v>889</v>
      </c>
      <c r="G29" s="62" t="s">
        <v>904</v>
      </c>
      <c r="H29" s="63" t="s">
        <v>905</v>
      </c>
      <c r="I29" s="64" t="s">
        <v>892</v>
      </c>
      <c r="J29" s="64" t="s">
        <v>906</v>
      </c>
      <c r="K29" s="345" cm="1">
        <f t="array" ref="K29">_xlfn.XLOOKUP(MET_PRICE[[#This Row],[Code Name]],MET_PRICE25[[#All],[DESC]],MET_PRICE25[[#All],[PRICE]])</f>
        <v>2.41</v>
      </c>
      <c r="L29" s="1044" cm="1">
        <f t="array" ref="L29">_xlfn.XLOOKUP(MET_PRICE[[#This Row],[Code Name]],Sheet_Plate_NEW[[#All],[Merged]],Sheet_Plate_NEW[[#All],[QuoteDate]])</f>
        <v>46052</v>
      </c>
      <c r="M29" s="1080" t="s">
        <v>941</v>
      </c>
      <c r="N29" s="55" t="s">
        <v>895</v>
      </c>
      <c r="O29" s="55"/>
    </row>
    <row r="30" spans="1:19">
      <c r="A30" s="363" t="s">
        <v>902</v>
      </c>
      <c r="B30" s="65">
        <v>101980</v>
      </c>
      <c r="C30" s="59" t="s">
        <v>925</v>
      </c>
      <c r="D30" s="60">
        <v>0.75</v>
      </c>
      <c r="E30" s="68" t="s">
        <v>923</v>
      </c>
      <c r="F30" s="62" t="s">
        <v>889</v>
      </c>
      <c r="G30" s="62" t="s">
        <v>904</v>
      </c>
      <c r="H30" s="63" t="s">
        <v>905</v>
      </c>
      <c r="I30" s="64" t="s">
        <v>892</v>
      </c>
      <c r="J30" s="64" t="s">
        <v>906</v>
      </c>
      <c r="K30" s="345" cm="1">
        <f t="array" ref="K30">_xlfn.XLOOKUP(MET_PRICE[[#This Row],[Code Name]],MET_PRICE25[[#All],[DESC]],MET_PRICE25[[#All],[PRICE]])</f>
        <v>2.41</v>
      </c>
      <c r="L30" s="1044" cm="1">
        <f t="array" ref="L30">_xlfn.XLOOKUP(MET_PRICE[[#This Row],[Code Name]],Sheet_Plate_NEW[[#All],[Merged]],Sheet_Plate_NEW[[#All],[QuoteDate]])</f>
        <v>46052</v>
      </c>
      <c r="M30" s="1080" t="s">
        <v>942</v>
      </c>
      <c r="N30" s="55" t="s">
        <v>895</v>
      </c>
      <c r="O30" s="55"/>
    </row>
    <row r="31" spans="1:19">
      <c r="A31" s="361" t="s">
        <v>943</v>
      </c>
      <c r="B31" s="57"/>
      <c r="C31" s="57"/>
      <c r="D31" s="57"/>
      <c r="E31" s="57"/>
      <c r="F31" s="57"/>
      <c r="G31" s="57"/>
      <c r="H31" s="57"/>
      <c r="I31" s="57"/>
      <c r="J31" s="57"/>
      <c r="K31" s="346"/>
      <c r="L31" s="1045"/>
      <c r="M31" s="1079"/>
      <c r="N31" s="55"/>
      <c r="O31" s="55"/>
      <c r="R31" s="589" t="s">
        <v>918</v>
      </c>
      <c r="S31" cm="1">
        <f t="array" ref="S31">IF(MoC=304,101993,IF(MoC="304L",101982,101960))</f>
        <v>101960</v>
      </c>
    </row>
    <row r="32" spans="1:19">
      <c r="A32" s="363" t="s">
        <v>888</v>
      </c>
      <c r="B32" s="65">
        <v>101876</v>
      </c>
      <c r="C32" s="66" t="s">
        <v>943</v>
      </c>
      <c r="D32" s="60">
        <v>2.35E-2</v>
      </c>
      <c r="E32" s="61">
        <v>24</v>
      </c>
      <c r="F32" s="62" t="s">
        <v>889</v>
      </c>
      <c r="G32" s="62" t="s">
        <v>890</v>
      </c>
      <c r="H32" s="63" t="s">
        <v>891</v>
      </c>
      <c r="I32" s="64" t="s">
        <v>892</v>
      </c>
      <c r="J32" s="64" t="s">
        <v>893</v>
      </c>
      <c r="K32" s="345" cm="1">
        <f t="array" ref="K32">_xlfn.XLOOKUP(MET_PRICE[[#This Row],[Code Name]],MET_PRICE25[[#All],[DESC]],MET_PRICE25[[#All],[PRICE]])</f>
        <v>3.12</v>
      </c>
      <c r="L32" s="1044" cm="1">
        <f t="array" ref="L32">_xlfn.XLOOKUP(MET_PRICE[[#This Row],[Code Name]],Sheet_Plate_NEW[[#All],[Merged]],Sheet_Plate_NEW[[#All],[QuoteDate]])</f>
        <v>46052</v>
      </c>
      <c r="M32" s="1080" t="s">
        <v>944</v>
      </c>
      <c r="N32" s="55"/>
      <c r="O32" s="55"/>
      <c r="R32" s="590" t="s">
        <v>915</v>
      </c>
      <c r="S32" cm="1">
        <f t="array" ref="S32">IF(MoC=304,101994,IF(MoC="304L",101983,101961))</f>
        <v>101961</v>
      </c>
    </row>
    <row r="33" spans="1:19">
      <c r="A33" s="362" t="s">
        <v>888</v>
      </c>
      <c r="B33" s="58">
        <v>101875</v>
      </c>
      <c r="C33" s="66" t="s">
        <v>943</v>
      </c>
      <c r="D33" s="60">
        <v>2.93E-2</v>
      </c>
      <c r="E33" s="61">
        <v>22</v>
      </c>
      <c r="F33" s="62" t="s">
        <v>889</v>
      </c>
      <c r="G33" s="62" t="s">
        <v>890</v>
      </c>
      <c r="H33" s="63" t="s">
        <v>891</v>
      </c>
      <c r="I33" s="64" t="s">
        <v>892</v>
      </c>
      <c r="J33" s="64" t="s">
        <v>893</v>
      </c>
      <c r="K33" s="345" cm="1">
        <f t="array" ref="K33">_xlfn.XLOOKUP(MET_PRICE[[#This Row],[Code Name]],MET_PRICE25[[#All],[DESC]],MET_PRICE25[[#All],[PRICE]])</f>
        <v>3.04</v>
      </c>
      <c r="L33" s="1044" cm="1">
        <f t="array" ref="L33">_xlfn.XLOOKUP(MET_PRICE[[#This Row],[Code Name]],Sheet_Plate_NEW[[#All],[Merged]],Sheet_Plate_NEW[[#All],[QuoteDate]])</f>
        <v>46052</v>
      </c>
      <c r="M33" s="1080" t="s">
        <v>945</v>
      </c>
      <c r="N33" s="55"/>
      <c r="O33" s="55"/>
      <c r="R33" s="590" t="s">
        <v>912</v>
      </c>
      <c r="S33" cm="1">
        <f t="array" ref="S33">IF(MoC=304,101994,IF(MoC="304L",101984,101962))</f>
        <v>101962</v>
      </c>
    </row>
    <row r="34" spans="1:19">
      <c r="A34" s="363" t="s">
        <v>888</v>
      </c>
      <c r="B34" s="65">
        <v>101873</v>
      </c>
      <c r="C34" s="66" t="s">
        <v>943</v>
      </c>
      <c r="D34" s="60">
        <v>4.8000000000000001E-2</v>
      </c>
      <c r="E34" s="61">
        <v>18</v>
      </c>
      <c r="F34" s="62" t="s">
        <v>897</v>
      </c>
      <c r="G34" s="62" t="s">
        <v>890</v>
      </c>
      <c r="H34" s="63" t="s">
        <v>891</v>
      </c>
      <c r="I34" s="64" t="s">
        <v>892</v>
      </c>
      <c r="J34" s="64" t="s">
        <v>893</v>
      </c>
      <c r="K34" s="345" cm="1">
        <f t="array" ref="K34">_xlfn.XLOOKUP(MET_PRICE[[#This Row],[Code Name]],MET_PRICE25[[#All],[DESC]],MET_PRICE25[[#All],[PRICE]])</f>
        <v>2.92</v>
      </c>
      <c r="L34" s="1044" cm="1">
        <f t="array" ref="L34">_xlfn.XLOOKUP(MET_PRICE[[#This Row],[Code Name]],Sheet_Plate_NEW[[#All],[Merged]],Sheet_Plate_NEW[[#All],[QuoteDate]])</f>
        <v>46052</v>
      </c>
      <c r="M34" s="1080" t="s">
        <v>946</v>
      </c>
      <c r="N34" s="55"/>
      <c r="O34" s="55"/>
      <c r="R34" s="589" t="s">
        <v>909</v>
      </c>
      <c r="S34" cm="1">
        <f t="array" ref="S34">IF(MoC=304,101996,IF(MoC="304L",101985,101963))</f>
        <v>101963</v>
      </c>
    </row>
    <row r="35" spans="1:19">
      <c r="A35" s="363" t="s">
        <v>888</v>
      </c>
      <c r="B35" s="65">
        <v>101872</v>
      </c>
      <c r="C35" s="66" t="s">
        <v>943</v>
      </c>
      <c r="D35" s="60">
        <v>5.9499999999999997E-2</v>
      </c>
      <c r="E35" s="61">
        <v>16</v>
      </c>
      <c r="F35" s="62" t="s">
        <v>897</v>
      </c>
      <c r="G35" s="62" t="s">
        <v>890</v>
      </c>
      <c r="H35" s="63" t="s">
        <v>891</v>
      </c>
      <c r="I35" s="64" t="s">
        <v>892</v>
      </c>
      <c r="J35" s="64" t="s">
        <v>893</v>
      </c>
      <c r="K35" s="345" cm="1">
        <f t="array" ref="K35">_xlfn.XLOOKUP(MET_PRICE[[#This Row],[Code Name]],MET_PRICE25[[#All],[DESC]],MET_PRICE25[[#All],[PRICE]])</f>
        <v>2.9</v>
      </c>
      <c r="L35" s="1044" cm="1">
        <f t="array" ref="L35">_xlfn.XLOOKUP(MET_PRICE[[#This Row],[Code Name]],Sheet_Plate_NEW[[#All],[Merged]],Sheet_Plate_NEW[[#All],[QuoteDate]])</f>
        <v>46052</v>
      </c>
      <c r="M35" s="1080" t="s">
        <v>947</v>
      </c>
      <c r="N35" s="55"/>
      <c r="O35" s="55"/>
      <c r="R35" s="589" t="s">
        <v>903</v>
      </c>
      <c r="S35" cm="1">
        <f t="array" ref="S35">IF(MoC=304,101997,IF(MoC="304L",101986,101964))</f>
        <v>101964</v>
      </c>
    </row>
    <row r="36" spans="1:19">
      <c r="A36" s="362" t="s">
        <v>888</v>
      </c>
      <c r="B36" s="58">
        <v>101871</v>
      </c>
      <c r="C36" s="66" t="s">
        <v>943</v>
      </c>
      <c r="D36" s="60">
        <v>7.51E-2</v>
      </c>
      <c r="E36" s="61">
        <v>14</v>
      </c>
      <c r="F36" s="62" t="s">
        <v>897</v>
      </c>
      <c r="G36" s="62" t="s">
        <v>890</v>
      </c>
      <c r="H36" s="63" t="s">
        <v>891</v>
      </c>
      <c r="I36" s="64" t="s">
        <v>892</v>
      </c>
      <c r="J36" s="64" t="s">
        <v>893</v>
      </c>
      <c r="K36" s="345" cm="1">
        <f t="array" ref="K36">_xlfn.XLOOKUP(MET_PRICE[[#This Row],[Code Name]],MET_PRICE25[[#All],[DESC]],MET_PRICE25[[#All],[PRICE]])</f>
        <v>2.89</v>
      </c>
      <c r="L36" s="1044" cm="1">
        <f t="array" ref="L36">_xlfn.XLOOKUP(MET_PRICE[[#This Row],[Code Name]],Sheet_Plate_NEW[[#All],[Merged]],Sheet_Plate_NEW[[#All],[QuoteDate]])</f>
        <v>46052</v>
      </c>
      <c r="M36" s="1080" t="s">
        <v>948</v>
      </c>
      <c r="N36" s="55"/>
      <c r="O36" s="55"/>
      <c r="R36" s="589" t="s">
        <v>949</v>
      </c>
      <c r="S36" cm="1">
        <f t="array" ref="S36">IF(MoC=304,101902,IF(MoC="304L",101891,101869))</f>
        <v>101869</v>
      </c>
    </row>
    <row r="37" spans="1:19">
      <c r="A37" s="363" t="s">
        <v>888</v>
      </c>
      <c r="B37" s="65">
        <v>101869</v>
      </c>
      <c r="C37" s="66" t="s">
        <v>943</v>
      </c>
      <c r="D37" s="60">
        <v>0.12</v>
      </c>
      <c r="E37" s="61">
        <v>11</v>
      </c>
      <c r="F37" s="62" t="s">
        <v>897</v>
      </c>
      <c r="G37" s="62" t="s">
        <v>890</v>
      </c>
      <c r="H37" s="63" t="s">
        <v>891</v>
      </c>
      <c r="I37" s="64" t="s">
        <v>892</v>
      </c>
      <c r="J37" s="64" t="s">
        <v>893</v>
      </c>
      <c r="K37" s="345" cm="1">
        <f t="array" ref="K37">_xlfn.XLOOKUP(MET_PRICE[[#This Row],[Code Name]],MET_PRICE25[[#All],[DESC]],MET_PRICE25[[#All],[PRICE]])</f>
        <v>2.89</v>
      </c>
      <c r="L37" s="1044" cm="1">
        <f t="array" ref="L37">_xlfn.XLOOKUP(MET_PRICE[[#This Row],[Code Name]],Sheet_Plate_NEW[[#All],[Merged]],Sheet_Plate_NEW[[#All],[QuoteDate]])</f>
        <v>46052</v>
      </c>
      <c r="M37" s="1080" t="s">
        <v>950</v>
      </c>
      <c r="N37" s="55"/>
      <c r="O37" s="55"/>
      <c r="R37" t="s">
        <v>951</v>
      </c>
      <c r="S37" cm="1">
        <f t="array" ref="S37">IF(MoC=304,101904,IF(MoC="304L",101893,101871))</f>
        <v>101871</v>
      </c>
    </row>
    <row r="38" spans="1:19">
      <c r="A38" s="363" t="s">
        <v>902</v>
      </c>
      <c r="B38" s="65">
        <v>101964</v>
      </c>
      <c r="C38" s="66" t="s">
        <v>943</v>
      </c>
      <c r="D38" s="60">
        <v>0.1875</v>
      </c>
      <c r="E38" s="68" t="s">
        <v>903</v>
      </c>
      <c r="F38" s="62" t="s">
        <v>889</v>
      </c>
      <c r="G38" s="62" t="s">
        <v>904</v>
      </c>
      <c r="H38" s="63" t="s">
        <v>905</v>
      </c>
      <c r="I38" s="64" t="s">
        <v>892</v>
      </c>
      <c r="J38" s="64" t="s">
        <v>906</v>
      </c>
      <c r="K38" s="345" cm="1">
        <f t="array" ref="K38">_xlfn.XLOOKUP(MET_PRICE[[#This Row],[Code Name]],MET_PRICE25[[#All],[DESC]],MET_PRICE25[[#All],[PRICE]])</f>
        <v>2.59</v>
      </c>
      <c r="L38" s="1044" cm="1">
        <f t="array" ref="L38">_xlfn.XLOOKUP(MET_PRICE[[#This Row],[Code Name]],Sheet_Plate_NEW[[#All],[Merged]],Sheet_Plate_NEW[[#All],[QuoteDate]])</f>
        <v>46052</v>
      </c>
      <c r="M38" s="1080" t="s">
        <v>952</v>
      </c>
      <c r="N38" s="55" t="s">
        <v>895</v>
      </c>
      <c r="O38" s="55"/>
      <c r="R38" t="s">
        <v>953</v>
      </c>
      <c r="S38" cm="1">
        <f t="array" ref="S38">IF(MoC=304,101905,IF(MoC="304L",101894,101872))</f>
        <v>101872</v>
      </c>
    </row>
    <row r="39" spans="1:19">
      <c r="A39" s="363" t="s">
        <v>902</v>
      </c>
      <c r="B39" s="65">
        <v>101963</v>
      </c>
      <c r="C39" s="66" t="s">
        <v>943</v>
      </c>
      <c r="D39" s="60">
        <v>0.25</v>
      </c>
      <c r="E39" s="68" t="s">
        <v>909</v>
      </c>
      <c r="F39" s="62" t="s">
        <v>897</v>
      </c>
      <c r="G39" s="62" t="s">
        <v>904</v>
      </c>
      <c r="H39" s="63" t="s">
        <v>905</v>
      </c>
      <c r="I39" s="64" t="s">
        <v>892</v>
      </c>
      <c r="J39" s="64" t="s">
        <v>906</v>
      </c>
      <c r="K39" s="345" cm="1">
        <f t="array" ref="K39">_xlfn.XLOOKUP(MET_PRICE[[#This Row],[Code Name]],MET_PRICE25[[#All],[DESC]],MET_PRICE25[[#All],[PRICE]])</f>
        <v>2.65</v>
      </c>
      <c r="L39" s="1044" cm="1">
        <f t="array" ref="L39">_xlfn.XLOOKUP(MET_PRICE[[#This Row],[Code Name]],Sheet_Plate_NEW[[#All],[Merged]],Sheet_Plate_NEW[[#All],[QuoteDate]])</f>
        <v>46052</v>
      </c>
      <c r="M39" s="1080" t="s">
        <v>954</v>
      </c>
      <c r="N39" s="55"/>
      <c r="O39" s="55"/>
      <c r="R39" t="s">
        <v>955</v>
      </c>
      <c r="S39"/>
    </row>
    <row r="40" spans="1:19">
      <c r="A40" s="363" t="s">
        <v>902</v>
      </c>
      <c r="B40" s="65">
        <v>101962</v>
      </c>
      <c r="C40" s="66" t="s">
        <v>943</v>
      </c>
      <c r="D40" s="60">
        <v>0.3125</v>
      </c>
      <c r="E40" s="68" t="s">
        <v>912</v>
      </c>
      <c r="F40" s="62" t="s">
        <v>897</v>
      </c>
      <c r="G40" s="62" t="s">
        <v>904</v>
      </c>
      <c r="H40" s="63" t="s">
        <v>905</v>
      </c>
      <c r="I40" s="64" t="s">
        <v>892</v>
      </c>
      <c r="J40" s="64" t="s">
        <v>906</v>
      </c>
      <c r="K40" s="345" cm="1">
        <f t="array" ref="K40">_xlfn.XLOOKUP(MET_PRICE[[#This Row],[Code Name]],MET_PRICE25[[#All],[DESC]],MET_PRICE25[[#All],[PRICE]])</f>
        <v>2.7</v>
      </c>
      <c r="L40" s="1044" cm="1">
        <f t="array" ref="L40">_xlfn.XLOOKUP(MET_PRICE[[#This Row],[Code Name]],Sheet_Plate_NEW[[#All],[Merged]],Sheet_Plate_NEW[[#All],[QuoteDate]])</f>
        <v>46052</v>
      </c>
      <c r="M40" s="1080" t="s">
        <v>956</v>
      </c>
      <c r="N40" s="55"/>
      <c r="O40" s="55"/>
      <c r="R40" t="s">
        <v>957</v>
      </c>
      <c r="S40"/>
    </row>
    <row r="41" spans="1:19">
      <c r="A41" s="363" t="s">
        <v>902</v>
      </c>
      <c r="B41" s="65">
        <v>101961</v>
      </c>
      <c r="C41" s="66" t="s">
        <v>943</v>
      </c>
      <c r="D41" s="60">
        <v>0.375</v>
      </c>
      <c r="E41" s="68" t="s">
        <v>915</v>
      </c>
      <c r="F41" s="62" t="s">
        <v>897</v>
      </c>
      <c r="G41" s="62" t="s">
        <v>904</v>
      </c>
      <c r="H41" s="63" t="s">
        <v>905</v>
      </c>
      <c r="I41" s="64" t="s">
        <v>892</v>
      </c>
      <c r="J41" s="64" t="s">
        <v>906</v>
      </c>
      <c r="K41" s="345" cm="1">
        <f t="array" ref="K41">_xlfn.XLOOKUP(MET_PRICE[[#This Row],[Code Name]],MET_PRICE25[[#All],[DESC]],MET_PRICE25[[#All],[PRICE]])</f>
        <v>2.7</v>
      </c>
      <c r="L41" s="1044" cm="1">
        <f t="array" ref="L41">_xlfn.XLOOKUP(MET_PRICE[[#This Row],[Code Name]],Sheet_Plate_NEW[[#All],[Merged]],Sheet_Plate_NEW[[#All],[QuoteDate]])</f>
        <v>46052</v>
      </c>
      <c r="M41" s="1080" t="s">
        <v>958</v>
      </c>
      <c r="N41" s="55"/>
      <c r="O41" s="55"/>
    </row>
    <row r="42" spans="1:19">
      <c r="A42" s="363" t="s">
        <v>902</v>
      </c>
      <c r="B42" s="65">
        <v>101960</v>
      </c>
      <c r="C42" s="66" t="s">
        <v>943</v>
      </c>
      <c r="D42" s="60">
        <v>0.5</v>
      </c>
      <c r="E42" s="68" t="s">
        <v>918</v>
      </c>
      <c r="F42" s="62" t="s">
        <v>889</v>
      </c>
      <c r="G42" s="62" t="s">
        <v>904</v>
      </c>
      <c r="H42" s="63" t="s">
        <v>905</v>
      </c>
      <c r="I42" s="64" t="s">
        <v>892</v>
      </c>
      <c r="J42" s="64" t="s">
        <v>906</v>
      </c>
      <c r="K42" s="345" cm="1">
        <f t="array" ref="K42">_xlfn.XLOOKUP(MET_PRICE[[#This Row],[Code Name]],MET_PRICE25[[#All],[DESC]],MET_PRICE25[[#All],[PRICE]])</f>
        <v>3.15</v>
      </c>
      <c r="L42" s="1044" cm="1">
        <f t="array" ref="L42">_xlfn.XLOOKUP(MET_PRICE[[#This Row],[Code Name]],Sheet_Plate_NEW[[#All],[Merged]],Sheet_Plate_NEW[[#All],[QuoteDate]])</f>
        <v>46052</v>
      </c>
      <c r="M42" s="1080" t="s">
        <v>959</v>
      </c>
      <c r="N42" s="55" t="s">
        <v>895</v>
      </c>
      <c r="O42" s="55"/>
    </row>
    <row r="43" spans="1:19">
      <c r="A43" s="362" t="s">
        <v>902</v>
      </c>
      <c r="B43" s="58">
        <v>101959</v>
      </c>
      <c r="C43" s="66" t="s">
        <v>943</v>
      </c>
      <c r="D43" s="60">
        <v>0.625</v>
      </c>
      <c r="E43" s="68" t="s">
        <v>921</v>
      </c>
      <c r="F43" s="62" t="s">
        <v>889</v>
      </c>
      <c r="G43" s="62" t="s">
        <v>904</v>
      </c>
      <c r="H43" s="63" t="s">
        <v>905</v>
      </c>
      <c r="I43" s="64" t="s">
        <v>892</v>
      </c>
      <c r="J43" s="64" t="s">
        <v>906</v>
      </c>
      <c r="K43" s="345" cm="1">
        <f t="array" ref="K43">_xlfn.XLOOKUP(MET_PRICE[[#This Row],[Code Name]],MET_PRICE25[[#All],[DESC]],MET_PRICE25[[#All],[PRICE]])</f>
        <v>3.37</v>
      </c>
      <c r="L43" s="1044" cm="1">
        <f t="array" ref="L43">_xlfn.XLOOKUP(MET_PRICE[[#This Row],[Code Name]],Sheet_Plate_NEW[[#All],[Merged]],Sheet_Plate_NEW[[#All],[QuoteDate]])</f>
        <v>46052</v>
      </c>
      <c r="M43" s="1080" t="s">
        <v>960</v>
      </c>
      <c r="N43" s="55" t="s">
        <v>895</v>
      </c>
      <c r="O43" s="55"/>
    </row>
    <row r="44" spans="1:19">
      <c r="A44" s="369" t="s">
        <v>902</v>
      </c>
      <c r="B44" s="370">
        <v>101958</v>
      </c>
      <c r="C44" s="371" t="s">
        <v>943</v>
      </c>
      <c r="D44" s="372">
        <v>0.75</v>
      </c>
      <c r="E44" s="373" t="s">
        <v>923</v>
      </c>
      <c r="F44" s="374" t="s">
        <v>889</v>
      </c>
      <c r="G44" s="374" t="s">
        <v>904</v>
      </c>
      <c r="H44" s="375" t="s">
        <v>905</v>
      </c>
      <c r="I44" s="376" t="s">
        <v>892</v>
      </c>
      <c r="J44" s="376" t="s">
        <v>906</v>
      </c>
      <c r="K44" s="345" cm="1">
        <f t="array" ref="K44">_xlfn.XLOOKUP(MET_PRICE[[#This Row],[Code Name]],MET_PRICE25[[#All],[DESC]],MET_PRICE25[[#All],[PRICE]])</f>
        <v>3.37</v>
      </c>
      <c r="L44" s="1044" cm="1">
        <f t="array" ref="L44">_xlfn.XLOOKUP(MET_PRICE[[#This Row],[Code Name]],Sheet_Plate_NEW[[#All],[Merged]],Sheet_Plate_NEW[[#All],[QuoteDate]])</f>
        <v>46052</v>
      </c>
      <c r="M44" s="1080" t="s">
        <v>961</v>
      </c>
      <c r="N44" s="55" t="s">
        <v>895</v>
      </c>
      <c r="O44" s="55"/>
    </row>
    <row r="45" spans="1:19">
      <c r="A45" s="615" t="s">
        <v>962</v>
      </c>
      <c r="B45" s="606"/>
      <c r="C45" s="607"/>
      <c r="D45" s="608"/>
      <c r="E45" s="609"/>
      <c r="F45" s="610"/>
      <c r="G45" s="610"/>
      <c r="H45" s="611"/>
      <c r="I45" s="612"/>
      <c r="J45" s="612"/>
      <c r="K45" s="613"/>
      <c r="L45" s="614"/>
      <c r="M45" s="1081"/>
    </row>
    <row r="46" spans="1:19">
      <c r="A46" s="363" t="s">
        <v>888</v>
      </c>
      <c r="B46" s="634">
        <v>101874</v>
      </c>
      <c r="C46" s="624" t="s">
        <v>963</v>
      </c>
      <c r="D46" s="625"/>
      <c r="E46" s="626"/>
      <c r="F46" s="627"/>
      <c r="G46" s="627"/>
      <c r="H46" s="657"/>
      <c r="I46" s="652" t="s">
        <v>892</v>
      </c>
      <c r="J46" s="64" t="s">
        <v>893</v>
      </c>
      <c r="K46" s="345">
        <v>2.97</v>
      </c>
      <c r="L46" s="365">
        <v>45510</v>
      </c>
      <c r="M46" s="1080"/>
      <c r="N46" s="56">
        <v>408943</v>
      </c>
    </row>
    <row r="47" spans="1:19">
      <c r="A47" s="362" t="s">
        <v>888</v>
      </c>
      <c r="B47" s="65">
        <v>101896</v>
      </c>
      <c r="C47" s="628" t="s">
        <v>964</v>
      </c>
      <c r="D47" s="629"/>
      <c r="E47" s="630"/>
      <c r="F47" s="631"/>
      <c r="G47" s="631"/>
      <c r="H47" s="658"/>
      <c r="I47" s="652" t="s">
        <v>892</v>
      </c>
      <c r="J47" s="64" t="s">
        <v>893</v>
      </c>
      <c r="K47" s="345">
        <v>1.76</v>
      </c>
      <c r="L47" s="365">
        <v>44195</v>
      </c>
      <c r="M47" s="1080"/>
      <c r="N47" s="56">
        <v>402212</v>
      </c>
    </row>
    <row r="48" spans="1:19">
      <c r="A48" s="363" t="s">
        <v>888</v>
      </c>
      <c r="B48" s="634">
        <v>101907</v>
      </c>
      <c r="C48" s="624" t="s">
        <v>965</v>
      </c>
      <c r="D48" s="625"/>
      <c r="E48" s="626"/>
      <c r="F48" s="627"/>
      <c r="G48" s="627"/>
      <c r="H48" s="657"/>
      <c r="I48" s="652" t="s">
        <v>892</v>
      </c>
      <c r="J48" s="64" t="s">
        <v>893</v>
      </c>
      <c r="K48" s="345">
        <v>1.41</v>
      </c>
      <c r="L48" s="365" t="s">
        <v>966</v>
      </c>
      <c r="M48" s="1080"/>
    </row>
    <row r="49" spans="1:14">
      <c r="A49" s="369" t="s">
        <v>967</v>
      </c>
      <c r="B49" s="616">
        <v>109640</v>
      </c>
      <c r="C49" s="659" t="s">
        <v>968</v>
      </c>
      <c r="D49" s="653"/>
      <c r="E49" s="654"/>
      <c r="F49" s="655"/>
      <c r="G49" s="655"/>
      <c r="H49" s="656"/>
      <c r="I49" s="64" t="s">
        <v>969</v>
      </c>
      <c r="J49" s="64"/>
      <c r="K49" s="617">
        <v>16.5</v>
      </c>
      <c r="L49" s="377">
        <v>44653</v>
      </c>
      <c r="M49" s="1080"/>
      <c r="N49" s="56">
        <v>404498</v>
      </c>
    </row>
    <row r="50" spans="1:14">
      <c r="A50" s="369" t="s">
        <v>967</v>
      </c>
      <c r="B50" s="616">
        <v>109684</v>
      </c>
      <c r="C50" s="628" t="s">
        <v>970</v>
      </c>
      <c r="D50" s="629"/>
      <c r="E50" s="630"/>
      <c r="F50" s="631"/>
      <c r="G50" s="631"/>
      <c r="H50" s="632"/>
      <c r="I50" s="64" t="s">
        <v>969</v>
      </c>
      <c r="J50" s="64"/>
      <c r="K50" s="617">
        <v>11.35</v>
      </c>
      <c r="L50" s="377">
        <v>45050</v>
      </c>
      <c r="M50" s="1080"/>
      <c r="N50" s="56">
        <v>406565</v>
      </c>
    </row>
    <row r="51" spans="1:14">
      <c r="A51" s="369" t="s">
        <v>967</v>
      </c>
      <c r="B51" s="616">
        <v>109706</v>
      </c>
      <c r="C51" s="628" t="s">
        <v>971</v>
      </c>
      <c r="D51" s="629"/>
      <c r="E51" s="630"/>
      <c r="F51" s="631"/>
      <c r="G51" s="631"/>
      <c r="H51" s="632"/>
      <c r="I51" s="64" t="s">
        <v>969</v>
      </c>
      <c r="J51" s="64"/>
      <c r="K51" s="617">
        <v>7.75</v>
      </c>
      <c r="L51" s="377">
        <v>44068</v>
      </c>
      <c r="M51" s="1080"/>
      <c r="N51" s="56">
        <v>401393</v>
      </c>
    </row>
    <row r="52" spans="1:14">
      <c r="A52" s="363"/>
      <c r="B52" s="65"/>
      <c r="C52" s="618"/>
      <c r="D52" s="619"/>
      <c r="E52" s="620"/>
      <c r="F52" s="621"/>
      <c r="G52" s="621"/>
      <c r="H52" s="622"/>
      <c r="I52" s="623"/>
      <c r="J52" s="623"/>
      <c r="K52" s="345"/>
      <c r="L52" s="365"/>
      <c r="M52" s="1044"/>
    </row>
    <row r="54" spans="1:14" ht="15.75" thickBot="1"/>
    <row r="55" spans="1:14" ht="15.75" thickBot="1">
      <c r="A55" s="1630" t="s">
        <v>972</v>
      </c>
      <c r="B55" s="1631"/>
      <c r="C55" s="1631"/>
      <c r="D55" s="1631"/>
      <c r="E55" s="1631"/>
      <c r="F55" s="1632"/>
    </row>
    <row r="56" spans="1:14">
      <c r="A56" s="639" t="s">
        <v>973</v>
      </c>
      <c r="B56" s="1094" t="s">
        <v>878</v>
      </c>
      <c r="C56" s="640" t="s">
        <v>480</v>
      </c>
      <c r="D56" s="640" t="s">
        <v>925</v>
      </c>
      <c r="E56" s="640" t="s">
        <v>974</v>
      </c>
      <c r="F56" s="641" t="s">
        <v>975</v>
      </c>
    </row>
    <row r="57" spans="1:14">
      <c r="A57" s="1046">
        <v>24</v>
      </c>
      <c r="B57" s="154">
        <v>2.35E-2</v>
      </c>
      <c r="C57" s="643">
        <v>101909</v>
      </c>
      <c r="D57" s="643">
        <v>101899</v>
      </c>
      <c r="E57" s="643">
        <v>101876</v>
      </c>
      <c r="F57" s="645">
        <f t="shared" ref="F57:F70" si="0">IF(MoC="304 SS",C57,IF(MoC="304L",D57,E57))</f>
        <v>101876</v>
      </c>
    </row>
    <row r="58" spans="1:14">
      <c r="A58" s="1046">
        <v>22</v>
      </c>
      <c r="B58" s="154">
        <v>2.93E-2</v>
      </c>
      <c r="C58" s="643">
        <v>101908</v>
      </c>
      <c r="D58" s="643">
        <v>101897</v>
      </c>
      <c r="E58" s="643">
        <v>101875</v>
      </c>
      <c r="F58" s="645">
        <f t="shared" si="0"/>
        <v>101875</v>
      </c>
    </row>
    <row r="59" spans="1:14">
      <c r="A59" s="1046">
        <v>20</v>
      </c>
      <c r="B59" s="154">
        <v>3.5000000000000003E-2</v>
      </c>
      <c r="C59" s="650">
        <v>101907</v>
      </c>
      <c r="D59" s="650">
        <v>101896</v>
      </c>
      <c r="E59" s="650">
        <v>101874</v>
      </c>
      <c r="F59" s="651">
        <f t="shared" si="0"/>
        <v>101874</v>
      </c>
    </row>
    <row r="60" spans="1:14">
      <c r="A60" s="1046">
        <v>18</v>
      </c>
      <c r="B60" s="154">
        <v>4.8000000000000001E-2</v>
      </c>
      <c r="C60" s="643">
        <v>101906</v>
      </c>
      <c r="D60" s="643">
        <v>101895</v>
      </c>
      <c r="E60" s="643">
        <v>101873</v>
      </c>
      <c r="F60" s="645">
        <f t="shared" si="0"/>
        <v>101873</v>
      </c>
    </row>
    <row r="61" spans="1:14">
      <c r="A61" s="1046">
        <v>16</v>
      </c>
      <c r="B61" s="154">
        <v>5.9499999999999997E-2</v>
      </c>
      <c r="C61" s="643">
        <v>101905</v>
      </c>
      <c r="D61" s="643">
        <v>101894</v>
      </c>
      <c r="E61" s="643">
        <v>101872</v>
      </c>
      <c r="F61" s="645">
        <f t="shared" si="0"/>
        <v>101872</v>
      </c>
    </row>
    <row r="62" spans="1:14">
      <c r="A62" s="1046">
        <v>14</v>
      </c>
      <c r="B62" s="154">
        <v>7.51E-2</v>
      </c>
      <c r="C62" s="643">
        <v>101904</v>
      </c>
      <c r="D62" s="643">
        <v>101893</v>
      </c>
      <c r="E62" s="643">
        <v>101871</v>
      </c>
      <c r="F62" s="645">
        <f t="shared" si="0"/>
        <v>101871</v>
      </c>
    </row>
    <row r="63" spans="1:14">
      <c r="A63" s="1046">
        <v>11</v>
      </c>
      <c r="B63" s="154">
        <v>0.12</v>
      </c>
      <c r="C63" s="643">
        <v>101902</v>
      </c>
      <c r="D63" s="643">
        <v>101891</v>
      </c>
      <c r="E63" s="643">
        <v>101869</v>
      </c>
      <c r="F63" s="645">
        <f t="shared" si="0"/>
        <v>101869</v>
      </c>
    </row>
    <row r="64" spans="1:14">
      <c r="A64" s="1047" t="s">
        <v>903</v>
      </c>
      <c r="B64" s="154">
        <v>0.1875</v>
      </c>
      <c r="C64" s="643">
        <v>101997</v>
      </c>
      <c r="D64" s="643">
        <v>101986</v>
      </c>
      <c r="E64" s="643">
        <v>101964</v>
      </c>
      <c r="F64" s="645">
        <f t="shared" si="0"/>
        <v>101964</v>
      </c>
    </row>
    <row r="65" spans="1:6">
      <c r="A65" s="1047" t="s">
        <v>909</v>
      </c>
      <c r="B65" s="154">
        <v>0.25</v>
      </c>
      <c r="C65" s="643">
        <v>101996</v>
      </c>
      <c r="D65" s="643">
        <v>101985</v>
      </c>
      <c r="E65" s="643">
        <v>101963</v>
      </c>
      <c r="F65" s="645">
        <f t="shared" si="0"/>
        <v>101963</v>
      </c>
    </row>
    <row r="66" spans="1:6">
      <c r="A66" s="1047" t="s">
        <v>912</v>
      </c>
      <c r="B66" s="154">
        <v>0.3125</v>
      </c>
      <c r="C66" s="643">
        <v>101995</v>
      </c>
      <c r="D66" s="643">
        <v>101984</v>
      </c>
      <c r="E66" s="643">
        <v>101962</v>
      </c>
      <c r="F66" s="645">
        <f t="shared" si="0"/>
        <v>101962</v>
      </c>
    </row>
    <row r="67" spans="1:6">
      <c r="A67" s="1047" t="s">
        <v>915</v>
      </c>
      <c r="B67" s="154">
        <v>0.375</v>
      </c>
      <c r="C67" s="643">
        <v>101994</v>
      </c>
      <c r="D67" s="643">
        <v>101983</v>
      </c>
      <c r="E67" s="643">
        <v>101961</v>
      </c>
      <c r="F67" s="645">
        <f t="shared" si="0"/>
        <v>101961</v>
      </c>
    </row>
    <row r="68" spans="1:6">
      <c r="A68" s="1047" t="s">
        <v>918</v>
      </c>
      <c r="B68" s="154">
        <v>0.5</v>
      </c>
      <c r="C68" s="643">
        <v>101993</v>
      </c>
      <c r="D68" s="643">
        <v>101982</v>
      </c>
      <c r="E68" s="643">
        <v>101960</v>
      </c>
      <c r="F68" s="645">
        <f t="shared" si="0"/>
        <v>101960</v>
      </c>
    </row>
    <row r="69" spans="1:6">
      <c r="A69" s="1047" t="s">
        <v>921</v>
      </c>
      <c r="B69" s="154">
        <v>0.625</v>
      </c>
      <c r="C69" s="643">
        <v>101992</v>
      </c>
      <c r="D69" s="643">
        <v>101981</v>
      </c>
      <c r="E69" s="643">
        <v>101959</v>
      </c>
      <c r="F69" s="645">
        <f t="shared" si="0"/>
        <v>101959</v>
      </c>
    </row>
    <row r="70" spans="1:6">
      <c r="A70" s="1048" t="s">
        <v>923</v>
      </c>
      <c r="B70" s="642">
        <v>0.75</v>
      </c>
      <c r="C70" s="644">
        <v>101991</v>
      </c>
      <c r="D70" s="644">
        <v>101980</v>
      </c>
      <c r="E70" s="644">
        <v>101958</v>
      </c>
      <c r="F70" s="646">
        <f t="shared" si="0"/>
        <v>101958</v>
      </c>
    </row>
    <row r="72" spans="1:6" ht="15.75" thickBot="1"/>
    <row r="73" spans="1:6">
      <c r="A73" s="1636" t="s">
        <v>976</v>
      </c>
      <c r="B73" s="1637"/>
      <c r="C73" s="1637"/>
      <c r="D73" s="1637"/>
      <c r="E73" s="1637"/>
      <c r="F73" s="1638"/>
    </row>
    <row r="74" spans="1:6">
      <c r="A74" s="665" t="s">
        <v>977</v>
      </c>
      <c r="B74" s="665" t="s">
        <v>978</v>
      </c>
      <c r="C74" s="665" t="s">
        <v>480</v>
      </c>
      <c r="D74" s="665" t="s">
        <v>925</v>
      </c>
      <c r="E74" s="665" t="s">
        <v>974</v>
      </c>
      <c r="F74" s="665" t="s">
        <v>975</v>
      </c>
    </row>
    <row r="75" spans="1:6">
      <c r="A75" s="666">
        <v>0.75</v>
      </c>
      <c r="B75" s="274">
        <v>40</v>
      </c>
      <c r="C75" s="56">
        <v>105799</v>
      </c>
      <c r="D75" s="56">
        <v>105795</v>
      </c>
      <c r="E75" s="56">
        <v>105787</v>
      </c>
      <c r="F75" s="56">
        <f>IF(MoC="304 SS",C75,IF(MoC="304L",D75,E75))</f>
        <v>105787</v>
      </c>
    </row>
    <row r="76" spans="1:6">
      <c r="A76" s="274">
        <v>1</v>
      </c>
      <c r="B76" s="274">
        <v>40</v>
      </c>
      <c r="C76" s="56">
        <v>105783</v>
      </c>
      <c r="D76" s="56">
        <v>105779</v>
      </c>
      <c r="E76" s="56">
        <v>105771</v>
      </c>
      <c r="F76" s="56">
        <f>IF(MoC="304 SS",C76,IF(MoC="304L",D76,E76))</f>
        <v>105771</v>
      </c>
    </row>
    <row r="77" spans="1:6">
      <c r="A77" s="274">
        <v>2</v>
      </c>
      <c r="B77" s="274">
        <v>160</v>
      </c>
      <c r="C77" s="661">
        <v>105468</v>
      </c>
      <c r="D77" s="56">
        <v>105468</v>
      </c>
      <c r="E77" s="56">
        <v>105467</v>
      </c>
      <c r="F77" s="56">
        <f>IF(MoC="304 SS",C77,IF(MoC="304L",D77,E77))</f>
        <v>105467</v>
      </c>
    </row>
    <row r="78" spans="1:6">
      <c r="A78" s="666">
        <v>2.5</v>
      </c>
      <c r="B78" s="274">
        <v>40</v>
      </c>
      <c r="C78" s="56">
        <v>105719</v>
      </c>
      <c r="D78" s="56">
        <v>105715</v>
      </c>
      <c r="E78" s="56">
        <v>105707</v>
      </c>
      <c r="F78" s="56">
        <f>IF(MoC="304 SS",C78,IF(MoC="304L",D78,E78))</f>
        <v>105707</v>
      </c>
    </row>
    <row r="79" spans="1:6">
      <c r="A79" s="274">
        <v>6</v>
      </c>
      <c r="B79" s="274">
        <v>40</v>
      </c>
      <c r="C79" s="56">
        <v>105639</v>
      </c>
      <c r="D79" s="56">
        <v>105635</v>
      </c>
      <c r="E79" s="56">
        <v>105627</v>
      </c>
      <c r="F79" s="56">
        <f>IF(MoC="304 SS",C79,IF(MoC="304L",D79,E79))</f>
        <v>105627</v>
      </c>
    </row>
    <row r="80" spans="1:6">
      <c r="A80" s="274"/>
    </row>
    <row r="81" spans="1:6" ht="15.75" thickBot="1">
      <c r="A81" s="274"/>
    </row>
    <row r="82" spans="1:6" ht="15.75" thickBot="1">
      <c r="A82" s="1630" t="s">
        <v>979</v>
      </c>
      <c r="B82" s="1631"/>
      <c r="C82" s="1631"/>
      <c r="D82" s="1631"/>
      <c r="E82" s="1631"/>
      <c r="F82" s="1632"/>
    </row>
    <row r="83" spans="1:6">
      <c r="A83" s="665" t="s">
        <v>977</v>
      </c>
      <c r="B83" s="665" t="s">
        <v>825</v>
      </c>
      <c r="C83" s="665" t="s">
        <v>480</v>
      </c>
      <c r="D83" s="665" t="s">
        <v>925</v>
      </c>
      <c r="E83" s="665" t="s">
        <v>974</v>
      </c>
      <c r="F83" s="665" t="s">
        <v>975</v>
      </c>
    </row>
    <row r="84" spans="1:6">
      <c r="A84" s="667">
        <v>0.75</v>
      </c>
      <c r="C84" s="56">
        <v>104797</v>
      </c>
      <c r="D84" s="56">
        <v>104783</v>
      </c>
      <c r="E84">
        <v>104755</v>
      </c>
      <c r="F84" s="56">
        <f t="shared" ref="F84:F92" si="1">IF(MoC="304 SS",C84,IF(MoC="304L",D84,E84))</f>
        <v>104755</v>
      </c>
    </row>
    <row r="85" spans="1:6">
      <c r="A85" s="667">
        <v>1.25</v>
      </c>
      <c r="C85" s="56">
        <v>104794</v>
      </c>
      <c r="D85" s="56">
        <v>104780</v>
      </c>
      <c r="E85">
        <v>104752</v>
      </c>
      <c r="F85" s="56">
        <f t="shared" si="1"/>
        <v>104752</v>
      </c>
    </row>
    <row r="86" spans="1:6">
      <c r="A86" s="667">
        <v>1.5</v>
      </c>
      <c r="C86">
        <v>104790</v>
      </c>
      <c r="D86" s="56">
        <v>104776</v>
      </c>
      <c r="E86">
        <v>104748</v>
      </c>
      <c r="F86" s="56">
        <f t="shared" si="1"/>
        <v>104748</v>
      </c>
    </row>
    <row r="87" spans="1:6">
      <c r="A87" s="668">
        <v>1.9375</v>
      </c>
      <c r="B87"/>
      <c r="C87">
        <v>104787</v>
      </c>
      <c r="D87">
        <v>104773</v>
      </c>
      <c r="E87">
        <v>104745</v>
      </c>
      <c r="F87">
        <f t="shared" si="1"/>
        <v>104745</v>
      </c>
    </row>
    <row r="88" spans="1:6">
      <c r="A88" s="668">
        <v>2</v>
      </c>
      <c r="B88"/>
      <c r="C88">
        <v>104744</v>
      </c>
      <c r="D88">
        <v>104734</v>
      </c>
      <c r="E88">
        <v>104714</v>
      </c>
      <c r="F88">
        <f t="shared" si="1"/>
        <v>104714</v>
      </c>
    </row>
    <row r="89" spans="1:6">
      <c r="A89" s="668">
        <v>2.4375</v>
      </c>
      <c r="B89"/>
      <c r="C89">
        <v>104739</v>
      </c>
      <c r="D89">
        <v>104729</v>
      </c>
      <c r="E89">
        <v>104709</v>
      </c>
      <c r="F89">
        <f t="shared" si="1"/>
        <v>104709</v>
      </c>
    </row>
    <row r="90" spans="1:6">
      <c r="A90" s="668">
        <v>2.9375</v>
      </c>
      <c r="B90"/>
      <c r="C90">
        <v>104735</v>
      </c>
      <c r="D90">
        <v>104725</v>
      </c>
      <c r="E90">
        <v>104705</v>
      </c>
      <c r="F90">
        <f t="shared" si="1"/>
        <v>104705</v>
      </c>
    </row>
    <row r="91" spans="1:6">
      <c r="A91" s="668">
        <v>3</v>
      </c>
      <c r="B91"/>
      <c r="C91">
        <v>104704</v>
      </c>
      <c r="D91">
        <v>104694</v>
      </c>
      <c r="E91">
        <v>104674</v>
      </c>
      <c r="F91">
        <f t="shared" si="1"/>
        <v>104674</v>
      </c>
    </row>
    <row r="92" spans="1:6">
      <c r="A92" s="668">
        <v>3.4375</v>
      </c>
      <c r="B92"/>
      <c r="C92">
        <v>104699</v>
      </c>
      <c r="D92">
        <v>104689</v>
      </c>
      <c r="E92">
        <v>104669</v>
      </c>
      <c r="F92">
        <f t="shared" si="1"/>
        <v>104669</v>
      </c>
    </row>
    <row r="94" spans="1:6" ht="15.75" thickBot="1"/>
    <row r="95" spans="1:6" ht="15.75" thickBot="1">
      <c r="A95" s="1630" t="s">
        <v>980</v>
      </c>
      <c r="B95" s="1631"/>
      <c r="C95" s="1631"/>
      <c r="D95" s="1631"/>
      <c r="E95" s="1631"/>
      <c r="F95" s="1632"/>
    </row>
    <row r="96" spans="1:6">
      <c r="A96" s="914" t="s">
        <v>981</v>
      </c>
      <c r="B96" s="915" t="s">
        <v>825</v>
      </c>
      <c r="C96" s="665" t="s">
        <v>480</v>
      </c>
      <c r="D96" s="665" t="s">
        <v>925</v>
      </c>
      <c r="E96" s="665" t="s">
        <v>974</v>
      </c>
      <c r="F96" s="665" t="s">
        <v>975</v>
      </c>
    </row>
    <row r="97" spans="1:6">
      <c r="A97" s="916" t="s">
        <v>982</v>
      </c>
      <c r="B97" s="913"/>
      <c r="C97" s="56">
        <v>109706</v>
      </c>
      <c r="D97" s="56">
        <v>109684</v>
      </c>
      <c r="E97" s="56">
        <v>109640</v>
      </c>
      <c r="F97" s="1095">
        <f>IF(MoC="304 SS",C97,IF(MoC="304L",D97,E97))</f>
        <v>109640</v>
      </c>
    </row>
  </sheetData>
  <mergeCells count="5">
    <mergeCell ref="A95:F95"/>
    <mergeCell ref="A1:L1"/>
    <mergeCell ref="A55:F55"/>
    <mergeCell ref="A73:F73"/>
    <mergeCell ref="A82:F82"/>
  </mergeCells>
  <pageMargins left="0.7" right="0.7" top="0.75" bottom="0.75" header="0.3" footer="0.3"/>
  <pageSetup orientation="portrait" horizontalDpi="1200" verticalDpi="1200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91F20-1ACF-4600-BA8E-D015A90305E5}">
  <sheetPr codeName="Sheet14">
    <tabColor theme="9" tint="0.39997558519241921"/>
  </sheetPr>
  <dimension ref="A1:AE123"/>
  <sheetViews>
    <sheetView zoomScaleNormal="100" workbookViewId="0">
      <pane ySplit="3" topLeftCell="A4" activePane="bottomLeft" state="frozen"/>
      <selection activeCell="B38" sqref="B38"/>
      <selection pane="bottomLeft" activeCell="K99" sqref="K99"/>
    </sheetView>
  </sheetViews>
  <sheetFormatPr defaultRowHeight="15" outlineLevelRow="1"/>
  <cols>
    <col min="1" max="1" width="9.140625" style="56"/>
    <col min="2" max="2" width="15.140625" style="56" customWidth="1"/>
    <col min="3" max="3" width="12.42578125" style="56" customWidth="1"/>
    <col min="4" max="4" width="14.7109375" style="56" customWidth="1"/>
    <col min="5" max="5" width="12.7109375" style="56" customWidth="1"/>
    <col min="6" max="6" width="12.5703125" style="56" customWidth="1"/>
    <col min="7" max="7" width="10.5703125" style="56" bestFit="1" customWidth="1"/>
    <col min="8" max="8" width="9.140625" style="56"/>
    <col min="9" max="9" width="10.28515625" style="56" bestFit="1" customWidth="1"/>
    <col min="10" max="11" width="10.5703125" style="56" bestFit="1" customWidth="1"/>
    <col min="12" max="13" width="10.5703125" style="56" customWidth="1"/>
    <col min="14" max="14" width="13.42578125" style="56" bestFit="1" customWidth="1"/>
    <col min="15" max="15" width="11.42578125" style="56" bestFit="1" customWidth="1"/>
    <col min="16" max="16" width="10.28515625" style="56" bestFit="1" customWidth="1"/>
    <col min="17" max="18" width="13.140625" style="56" customWidth="1"/>
    <col min="19" max="19" width="9.5703125" style="56" customWidth="1"/>
    <col min="20" max="20" width="10.5703125" style="56" customWidth="1"/>
    <col min="21" max="21" width="9.140625" style="56"/>
    <col min="22" max="23" width="11.85546875" style="56" customWidth="1"/>
    <col min="24" max="24" width="9.140625" style="56" customWidth="1"/>
    <col min="25" max="16384" width="9.140625" style="56"/>
  </cols>
  <sheetData>
    <row r="1" spans="1:31">
      <c r="A1" s="1654" t="s">
        <v>983</v>
      </c>
      <c r="B1" s="1655"/>
      <c r="C1" s="1655"/>
      <c r="D1" s="1655"/>
      <c r="E1" s="1655"/>
      <c r="F1" s="1655"/>
      <c r="G1" s="1655"/>
      <c r="H1" s="1655"/>
      <c r="I1" s="1655"/>
      <c r="J1" s="1655"/>
      <c r="K1" s="1655"/>
      <c r="L1" s="1655"/>
      <c r="M1" s="1655"/>
      <c r="N1" s="1655"/>
      <c r="O1" s="1655"/>
      <c r="P1" s="1655"/>
      <c r="Q1" s="1655"/>
      <c r="R1" s="1656"/>
      <c r="S1" s="1639">
        <f>MoC</f>
        <v>0</v>
      </c>
      <c r="T1" s="1641">
        <f>Belt_W</f>
        <v>0</v>
      </c>
    </row>
    <row r="2" spans="1:31" ht="15.75" thickBot="1">
      <c r="A2" s="1642" t="s">
        <v>984</v>
      </c>
      <c r="B2" s="1643"/>
      <c r="C2" s="1644"/>
      <c r="D2" s="1644"/>
      <c r="E2" s="1644"/>
      <c r="F2" s="1644"/>
      <c r="G2" s="1644"/>
      <c r="H2" s="1644"/>
      <c r="I2" s="1644"/>
      <c r="J2" s="1644"/>
      <c r="K2" s="1644"/>
      <c r="L2" s="1644"/>
      <c r="M2" s="1644"/>
      <c r="N2" s="1644"/>
      <c r="O2" s="1644"/>
      <c r="P2" s="1644"/>
      <c r="Q2" s="1644"/>
      <c r="R2" s="1645"/>
      <c r="S2" s="1640"/>
      <c r="T2" s="1640"/>
    </row>
    <row r="3" spans="1:31" ht="45.75" thickBot="1">
      <c r="A3" s="71" t="s">
        <v>715</v>
      </c>
      <c r="B3" s="351" t="s">
        <v>763</v>
      </c>
      <c r="C3" s="1646" t="s">
        <v>985</v>
      </c>
      <c r="D3" s="1647"/>
      <c r="E3" s="1647"/>
      <c r="F3" s="71" t="s">
        <v>986</v>
      </c>
      <c r="G3" s="72" t="s">
        <v>987</v>
      </c>
      <c r="H3" s="72" t="s">
        <v>988</v>
      </c>
      <c r="I3" s="72" t="s">
        <v>989</v>
      </c>
      <c r="J3" s="72" t="s">
        <v>990</v>
      </c>
      <c r="K3" s="72" t="s">
        <v>991</v>
      </c>
      <c r="L3" s="72" t="s">
        <v>992</v>
      </c>
      <c r="M3" s="72" t="s">
        <v>993</v>
      </c>
      <c r="N3" s="72" t="s">
        <v>994</v>
      </c>
      <c r="O3" s="72" t="s">
        <v>995</v>
      </c>
      <c r="P3" s="72" t="s">
        <v>996</v>
      </c>
      <c r="Q3" s="72" t="s">
        <v>997</v>
      </c>
      <c r="R3" s="72" t="s">
        <v>998</v>
      </c>
      <c r="S3" s="73" t="s">
        <v>623</v>
      </c>
      <c r="T3" s="73" t="s">
        <v>999</v>
      </c>
      <c r="U3" s="73" t="s">
        <v>1000</v>
      </c>
      <c r="V3" s="73" t="s">
        <v>1001</v>
      </c>
      <c r="W3" s="73" t="s">
        <v>1002</v>
      </c>
    </row>
    <row r="4" spans="1:31" ht="15.75" thickBot="1">
      <c r="A4" s="352" t="s">
        <v>1003</v>
      </c>
      <c r="B4" s="353"/>
      <c r="C4" s="353"/>
      <c r="D4" s="353"/>
      <c r="E4" s="353"/>
      <c r="F4" s="353"/>
      <c r="G4" s="353"/>
      <c r="H4" s="702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74">
        <v>1</v>
      </c>
      <c r="T4" s="75" t="e">
        <f>F19*S4</f>
        <v>#VALUE!</v>
      </c>
      <c r="U4" s="76">
        <f>G18*S4</f>
        <v>25</v>
      </c>
      <c r="V4" s="75">
        <f>D19*S4</f>
        <v>92.193000000000012</v>
      </c>
      <c r="W4" s="75">
        <f>I19*S4</f>
        <v>0</v>
      </c>
    </row>
    <row r="5" spans="1:31" outlineLevel="1">
      <c r="A5" s="77">
        <v>2</v>
      </c>
      <c r="B5" s="77" cm="1">
        <f t="array" ref="B5">_xlfn.XLOOKUP(G5,SM_TBL[[#All],[Thickness]],SM_TBL[[#All],[MoC_PN]])</f>
        <v>101963</v>
      </c>
      <c r="C5" s="1657" t="s">
        <v>1004</v>
      </c>
      <c r="D5" s="1657"/>
      <c r="E5" s="1657"/>
      <c r="F5" s="78" t="s">
        <v>1005</v>
      </c>
      <c r="G5" s="79">
        <v>0.25</v>
      </c>
      <c r="H5" s="79">
        <v>11.75</v>
      </c>
      <c r="I5" s="79">
        <v>56.125</v>
      </c>
      <c r="J5" s="77">
        <v>0.28899999999999998</v>
      </c>
      <c r="K5" s="80">
        <f>G5*H5*I5*J5</f>
        <v>47.646617187499999</v>
      </c>
      <c r="L5" s="1096" t="s">
        <v>92</v>
      </c>
      <c r="M5" s="80">
        <f>A5*K5</f>
        <v>95.293234374999997</v>
      </c>
      <c r="N5" s="80">
        <f>S$4*M5</f>
        <v>95.293234374999997</v>
      </c>
      <c r="O5" s="81">
        <f>M5</f>
        <v>95.293234374999997</v>
      </c>
      <c r="P5" s="1097" cm="1">
        <f t="array" ref="P5">_xlfn.XLOOKUP(B5,MET_PRICE[[#All],[Part Number]],MET_PRICE[[#All],[Price ($/lb) Domestic]])</f>
        <v>2.65</v>
      </c>
      <c r="Q5" s="1097">
        <f>M5*P5</f>
        <v>252.52707109374998</v>
      </c>
      <c r="R5" s="1097">
        <f>N5*P5</f>
        <v>252.52707109374998</v>
      </c>
      <c r="AE5" s="83"/>
    </row>
    <row r="6" spans="1:31" outlineLevel="1">
      <c r="A6" s="84">
        <v>2</v>
      </c>
      <c r="B6" s="84" cm="1">
        <f t="array" ref="B6">_xlfn.XLOOKUP(G6,SM_TBL[[#All],[Thickness]],SM_TBL[[#All],[MoC_PN]])</f>
        <v>101963</v>
      </c>
      <c r="C6" s="1658" t="s">
        <v>1006</v>
      </c>
      <c r="D6" s="1658"/>
      <c r="E6" s="1658"/>
      <c r="F6" s="85" t="s">
        <v>1005</v>
      </c>
      <c r="G6" s="84">
        <v>0.25</v>
      </c>
      <c r="H6" s="84">
        <v>2.875</v>
      </c>
      <c r="I6" s="84">
        <v>4.875</v>
      </c>
      <c r="J6" s="84">
        <v>0.28899999999999998</v>
      </c>
      <c r="K6" s="86">
        <f t="shared" ref="K6:K9" si="0">G6*H6*I6*J6</f>
        <v>1.01262890625</v>
      </c>
      <c r="L6" s="86" t="s">
        <v>92</v>
      </c>
      <c r="M6" s="86">
        <f t="shared" ref="M6:M17" si="1">A6*K6</f>
        <v>2.0252578125</v>
      </c>
      <c r="N6" s="86">
        <f t="shared" ref="N6:N17" si="2">S$4*M6</f>
        <v>2.0252578125</v>
      </c>
      <c r="O6" s="87">
        <f t="shared" ref="O6:O12" si="3">M6</f>
        <v>2.0252578125</v>
      </c>
      <c r="P6" s="1098" cm="1">
        <f t="array" ref="P6">_xlfn.XLOOKUP(B6,MET_PRICE[[#All],[Part Number]],MET_PRICE[[#All],[Price ($/lb) Domestic]])</f>
        <v>2.65</v>
      </c>
      <c r="Q6" s="1098">
        <f t="shared" ref="Q6:Q17" si="4">M6*P6</f>
        <v>5.3669332031249999</v>
      </c>
      <c r="R6" s="1098">
        <f t="shared" ref="R6:R17" si="5">N6*P6</f>
        <v>5.3669332031249999</v>
      </c>
      <c r="AE6" s="83"/>
    </row>
    <row r="7" spans="1:31" outlineLevel="1">
      <c r="A7" s="77">
        <v>1</v>
      </c>
      <c r="B7" s="77" cm="1">
        <f t="array" ref="B7">_xlfn.XLOOKUP(G7,SM_TBL[[#All],[Thickness]],SM_TBL[[#All],[MoC_PN]])</f>
        <v>101963</v>
      </c>
      <c r="C7" s="1659" t="s">
        <v>1007</v>
      </c>
      <c r="D7" s="1659"/>
      <c r="E7" s="1659"/>
      <c r="F7" s="89" t="s">
        <v>1005</v>
      </c>
      <c r="G7" s="77">
        <v>0.25</v>
      </c>
      <c r="H7" s="77">
        <v>9.17</v>
      </c>
      <c r="I7" s="90" t="str">
        <f>IF(T1=18,38.29-6,IF(T1=24,38.29,IF(T1=30,38.29+6,IF(T1=36,38.29+12,IF(T1=48,38.29+24,"N/A")))))</f>
        <v>N/A</v>
      </c>
      <c r="J7" s="77">
        <v>0.28899999999999998</v>
      </c>
      <c r="K7" s="80" t="e">
        <f t="shared" si="0"/>
        <v>#VALUE!</v>
      </c>
      <c r="L7" s="80" t="s">
        <v>92</v>
      </c>
      <c r="M7" s="80" t="e">
        <f t="shared" si="1"/>
        <v>#VALUE!</v>
      </c>
      <c r="N7" s="80" t="e">
        <f t="shared" si="2"/>
        <v>#VALUE!</v>
      </c>
      <c r="O7" s="81" t="e">
        <f t="shared" si="3"/>
        <v>#VALUE!</v>
      </c>
      <c r="P7" s="1097" cm="1">
        <f t="array" ref="P7">_xlfn.XLOOKUP(B7,MET_PRICE[[#All],[Part Number]],MET_PRICE[[#All],[Price ($/lb) Domestic]])</f>
        <v>2.65</v>
      </c>
      <c r="Q7" s="1097" t="e">
        <f t="shared" si="4"/>
        <v>#VALUE!</v>
      </c>
      <c r="R7" s="1097" t="e">
        <f t="shared" si="5"/>
        <v>#VALUE!</v>
      </c>
      <c r="AE7" s="83"/>
    </row>
    <row r="8" spans="1:31" outlineLevel="1">
      <c r="A8" s="84">
        <v>1</v>
      </c>
      <c r="B8" s="84" cm="1">
        <f t="array" ref="B8">_xlfn.XLOOKUP(G8,SM_TBL[[#All],[Thickness]],SM_TBL[[#All],[MoC_PN]])</f>
        <v>101963</v>
      </c>
      <c r="C8" s="1658" t="s">
        <v>1008</v>
      </c>
      <c r="D8" s="1658"/>
      <c r="E8" s="1658"/>
      <c r="F8" s="85" t="s">
        <v>1005</v>
      </c>
      <c r="G8" s="84">
        <v>0.25</v>
      </c>
      <c r="H8" s="84">
        <v>3.52</v>
      </c>
      <c r="I8" s="90" t="str">
        <f>IF(T1=18,37.29-6,IF(T1=24,37.29,IF(T1=30,37.29+6,IF(T1=36,37.29+12,IF(T1=48,37.29+24,"N/A")))))</f>
        <v>N/A</v>
      </c>
      <c r="J8" s="84">
        <v>0.28899999999999998</v>
      </c>
      <c r="K8" s="86" t="e">
        <f t="shared" si="0"/>
        <v>#VALUE!</v>
      </c>
      <c r="L8" s="86" t="s">
        <v>92</v>
      </c>
      <c r="M8" s="86" t="e">
        <f t="shared" si="1"/>
        <v>#VALUE!</v>
      </c>
      <c r="N8" s="86" t="e">
        <f t="shared" si="2"/>
        <v>#VALUE!</v>
      </c>
      <c r="O8" s="87" t="e">
        <f t="shared" si="3"/>
        <v>#VALUE!</v>
      </c>
      <c r="P8" s="1098" cm="1">
        <f t="array" ref="P8">_xlfn.XLOOKUP(B8,MET_PRICE[[#All],[Part Number]],MET_PRICE[[#All],[Price ($/lb) Domestic]])</f>
        <v>2.65</v>
      </c>
      <c r="Q8" s="1098" t="e">
        <f t="shared" si="4"/>
        <v>#VALUE!</v>
      </c>
      <c r="R8" s="1098" t="e">
        <f t="shared" si="5"/>
        <v>#VALUE!</v>
      </c>
    </row>
    <row r="9" spans="1:31" outlineLevel="1">
      <c r="A9" s="91">
        <v>2</v>
      </c>
      <c r="B9" s="91" cm="1">
        <f t="array" ref="B9">_xlfn.XLOOKUP(G9,SM_TBL[[#All],[Thickness]],SM_TBL[[#All],[MoC_PN]])</f>
        <v>101963</v>
      </c>
      <c r="C9" s="1659" t="s">
        <v>1009</v>
      </c>
      <c r="D9" s="1659"/>
      <c r="E9" s="1659"/>
      <c r="F9" s="89" t="s">
        <v>1005</v>
      </c>
      <c r="G9" s="77">
        <v>0.25</v>
      </c>
      <c r="H9" s="77">
        <v>2</v>
      </c>
      <c r="I9" s="77">
        <v>11.39</v>
      </c>
      <c r="J9" s="77">
        <v>0.28899999999999998</v>
      </c>
      <c r="K9" s="80">
        <f t="shared" si="0"/>
        <v>1.6458550000000001</v>
      </c>
      <c r="L9" s="80" t="s">
        <v>92</v>
      </c>
      <c r="M9" s="80">
        <f t="shared" si="1"/>
        <v>3.2917100000000001</v>
      </c>
      <c r="N9" s="80">
        <f t="shared" si="2"/>
        <v>3.2917100000000001</v>
      </c>
      <c r="O9" s="81">
        <f t="shared" si="3"/>
        <v>3.2917100000000001</v>
      </c>
      <c r="P9" s="1097" cm="1">
        <f t="array" ref="P9">_xlfn.XLOOKUP(B9,MET_PRICE[[#All],[Part Number]],MET_PRICE[[#All],[Price ($/lb) Domestic]])</f>
        <v>2.65</v>
      </c>
      <c r="Q9" s="1097">
        <f t="shared" si="4"/>
        <v>8.7230314999999994</v>
      </c>
      <c r="R9" s="1097">
        <f t="shared" si="5"/>
        <v>8.7230314999999994</v>
      </c>
    </row>
    <row r="10" spans="1:31" outlineLevel="1">
      <c r="A10" s="84">
        <v>1</v>
      </c>
      <c r="B10" s="84" t="e" cm="1">
        <f t="array" ref="B10">_xlfn.XLOOKUP(TSD,R_BAR[[#All],[Diameter]],R_BAR[[#All],[MoC_PN]])</f>
        <v>#N/A</v>
      </c>
      <c r="C10" s="1653" t="s">
        <v>1010</v>
      </c>
      <c r="D10" s="1653"/>
      <c r="E10" s="1653"/>
      <c r="F10" s="85" t="s">
        <v>1005</v>
      </c>
      <c r="G10" s="84">
        <v>2.9375</v>
      </c>
      <c r="H10" s="84" t="s">
        <v>1011</v>
      </c>
      <c r="I10" s="90" t="str">
        <f>IF(T1=18,36-6,IF(T1=24,36,IF(T1=30,36+6,IF(T1=36,36+12,IF(T1=48,36+24,"N/A")))))</f>
        <v>N/A</v>
      </c>
      <c r="J10" s="84">
        <v>1.92</v>
      </c>
      <c r="K10" s="1099" t="e">
        <f>I10/12</f>
        <v>#VALUE!</v>
      </c>
      <c r="L10" s="1099" t="s">
        <v>28</v>
      </c>
      <c r="M10" s="86" t="e">
        <f t="shared" si="1"/>
        <v>#VALUE!</v>
      </c>
      <c r="N10" s="86" t="e">
        <f t="shared" si="2"/>
        <v>#VALUE!</v>
      </c>
      <c r="O10" s="87" t="e">
        <f t="shared" si="3"/>
        <v>#VALUE!</v>
      </c>
      <c r="P10" s="1100" t="e" cm="1">
        <f t="array" ref="P10">_xlfn.XLOOKUP(B10,RAW_100[[#All],[PartNum]],RAW_100[[#All],[UnitCost]])</f>
        <v>#N/A</v>
      </c>
      <c r="Q10" s="1098" t="e">
        <f t="shared" si="4"/>
        <v>#VALUE!</v>
      </c>
      <c r="R10" s="1098" t="e">
        <f t="shared" si="5"/>
        <v>#VALUE!</v>
      </c>
    </row>
    <row r="11" spans="1:31" outlineLevel="1">
      <c r="A11" s="77">
        <v>4</v>
      </c>
      <c r="B11" s="77" cm="1">
        <f t="array" ref="B11">_xlfn.XLOOKUP(G11,SM_TBL[[#All],[Thickness]],SM_TBL[[#All],[MoC_PN]])</f>
        <v>101963</v>
      </c>
      <c r="C11" s="1659" t="s">
        <v>1012</v>
      </c>
      <c r="D11" s="1659"/>
      <c r="E11" s="1659"/>
      <c r="F11" s="89" t="s">
        <v>1005</v>
      </c>
      <c r="G11" s="77">
        <v>0.25</v>
      </c>
      <c r="H11" s="77">
        <v>5.15</v>
      </c>
      <c r="I11" s="77">
        <v>33.130000000000003</v>
      </c>
      <c r="J11" s="77">
        <v>0.28899999999999998</v>
      </c>
      <c r="K11" s="80">
        <f>G11*H11*I11*J11</f>
        <v>12.327258875</v>
      </c>
      <c r="L11" s="80" t="s">
        <v>92</v>
      </c>
      <c r="M11" s="80">
        <f t="shared" si="1"/>
        <v>49.3090355</v>
      </c>
      <c r="N11" s="80">
        <f t="shared" si="2"/>
        <v>49.3090355</v>
      </c>
      <c r="O11" s="81">
        <f t="shared" si="3"/>
        <v>49.3090355</v>
      </c>
      <c r="P11" s="1097" cm="1">
        <f t="array" ref="P11">_xlfn.XLOOKUP(B11,MET_PRICE[[#All],[Part Number]],MET_PRICE[[#All],[Price ($/lb) Domestic]])</f>
        <v>2.65</v>
      </c>
      <c r="Q11" s="1097">
        <f t="shared" si="4"/>
        <v>130.66894407499998</v>
      </c>
      <c r="R11" s="1097">
        <f t="shared" si="5"/>
        <v>130.66894407499998</v>
      </c>
    </row>
    <row r="12" spans="1:31" outlineLevel="1">
      <c r="A12" s="84">
        <v>2</v>
      </c>
      <c r="B12" s="1101">
        <v>501070</v>
      </c>
      <c r="C12" s="1649" t="s">
        <v>1013</v>
      </c>
      <c r="D12" s="1649"/>
      <c r="E12" s="1649"/>
      <c r="F12" s="84" t="s">
        <v>911</v>
      </c>
      <c r="G12" s="84"/>
      <c r="H12" s="84"/>
      <c r="I12" s="84"/>
      <c r="J12" s="84"/>
      <c r="K12" s="84">
        <v>1</v>
      </c>
      <c r="L12" s="1102" t="s">
        <v>1014</v>
      </c>
      <c r="M12" s="84">
        <f t="shared" si="1"/>
        <v>2</v>
      </c>
      <c r="N12" s="84">
        <f t="shared" si="2"/>
        <v>2</v>
      </c>
      <c r="O12" s="87">
        <f t="shared" si="3"/>
        <v>2</v>
      </c>
      <c r="P12" s="1098" cm="1">
        <f t="array" ref="P12">_xlfn.XLOOKUP(B12,PP_COST[[#All],[PART NUMBER]],PP_COST[[#All],[UNIT COST]])</f>
        <v>12.81</v>
      </c>
      <c r="Q12" s="1098">
        <f t="shared" si="4"/>
        <v>25.62</v>
      </c>
      <c r="R12" s="1098">
        <f t="shared" si="5"/>
        <v>25.62</v>
      </c>
    </row>
    <row r="13" spans="1:31" outlineLevel="1">
      <c r="A13" s="77">
        <v>2</v>
      </c>
      <c r="B13" s="1103" t="s">
        <v>872</v>
      </c>
      <c r="C13" s="1650" t="s">
        <v>1015</v>
      </c>
      <c r="D13" s="1651"/>
      <c r="E13" s="1651"/>
      <c r="F13" s="1103" t="s">
        <v>911</v>
      </c>
      <c r="G13" s="77" t="s">
        <v>824</v>
      </c>
      <c r="H13" s="77"/>
      <c r="I13" s="77"/>
      <c r="J13" s="77"/>
      <c r="K13" s="77">
        <v>1</v>
      </c>
      <c r="L13" s="77" t="s">
        <v>1014</v>
      </c>
      <c r="M13" s="77">
        <f t="shared" si="1"/>
        <v>2</v>
      </c>
      <c r="N13" s="77">
        <f t="shared" si="2"/>
        <v>2</v>
      </c>
      <c r="O13" s="77"/>
      <c r="P13" s="1097" cm="1">
        <f t="array" ref="P13">_xlfn.XLOOKUP(B13,HW_COST[[#All],[PART NUMBER]],HW_COST[[#All],[UNIT COST]])</f>
        <v>1.7</v>
      </c>
      <c r="Q13" s="1097">
        <f t="shared" si="4"/>
        <v>3.4</v>
      </c>
      <c r="R13" s="1097">
        <f t="shared" si="5"/>
        <v>3.4</v>
      </c>
    </row>
    <row r="14" spans="1:31" outlineLevel="1">
      <c r="A14" s="84">
        <v>6</v>
      </c>
      <c r="B14" s="1102" t="s">
        <v>858</v>
      </c>
      <c r="C14" s="1648" t="s">
        <v>858</v>
      </c>
      <c r="D14" s="1649"/>
      <c r="E14" s="1649"/>
      <c r="F14" s="1102" t="s">
        <v>911</v>
      </c>
      <c r="G14" s="84" t="s">
        <v>824</v>
      </c>
      <c r="H14" s="84"/>
      <c r="I14" s="84"/>
      <c r="J14" s="84"/>
      <c r="K14" s="84">
        <v>1</v>
      </c>
      <c r="L14" s="84" t="s">
        <v>1014</v>
      </c>
      <c r="M14" s="84">
        <f t="shared" si="1"/>
        <v>6</v>
      </c>
      <c r="N14" s="84">
        <f t="shared" si="2"/>
        <v>6</v>
      </c>
      <c r="O14" s="84"/>
      <c r="P14" s="1098" cm="1">
        <f t="array" ref="P14">_xlfn.XLOOKUP(B14,HW_COST[[#All],[PART NUMBER]],HW_COST[[#All],[UNIT COST]])</f>
        <v>3.2113</v>
      </c>
      <c r="Q14" s="1098">
        <f>M14*P14</f>
        <v>19.267800000000001</v>
      </c>
      <c r="R14" s="1098">
        <f t="shared" si="5"/>
        <v>19.267800000000001</v>
      </c>
    </row>
    <row r="15" spans="1:31" outlineLevel="1">
      <c r="A15" s="77">
        <v>12</v>
      </c>
      <c r="B15" s="1103" t="s">
        <v>856</v>
      </c>
      <c r="C15" s="1650" t="s">
        <v>856</v>
      </c>
      <c r="D15" s="1651"/>
      <c r="E15" s="1651"/>
      <c r="F15" s="1103" t="s">
        <v>911</v>
      </c>
      <c r="G15" s="77" t="s">
        <v>824</v>
      </c>
      <c r="H15" s="77"/>
      <c r="I15" s="77"/>
      <c r="J15" s="77"/>
      <c r="K15" s="77">
        <v>1</v>
      </c>
      <c r="L15" s="77" t="s">
        <v>1014</v>
      </c>
      <c r="M15" s="77">
        <f t="shared" si="1"/>
        <v>12</v>
      </c>
      <c r="N15" s="77">
        <f t="shared" si="2"/>
        <v>12</v>
      </c>
      <c r="O15" s="77"/>
      <c r="P15" s="1097" cm="1">
        <f t="array" ref="P15">_xlfn.XLOOKUP(B15,HW_COST[[#All],[PART NUMBER]],HW_COST[[#All],[UNIT COST]])</f>
        <v>2.83</v>
      </c>
      <c r="Q15" s="1097">
        <f t="shared" si="4"/>
        <v>33.96</v>
      </c>
      <c r="R15" s="1097">
        <f t="shared" si="5"/>
        <v>33.96</v>
      </c>
    </row>
    <row r="16" spans="1:31" outlineLevel="1">
      <c r="A16" s="84">
        <v>4</v>
      </c>
      <c r="B16" s="1102" t="s">
        <v>852</v>
      </c>
      <c r="C16" s="1648" t="s">
        <v>852</v>
      </c>
      <c r="D16" s="1649"/>
      <c r="E16" s="1649"/>
      <c r="F16" s="1102" t="s">
        <v>911</v>
      </c>
      <c r="G16" s="84" t="s">
        <v>824</v>
      </c>
      <c r="H16" s="84"/>
      <c r="I16" s="84"/>
      <c r="J16" s="84"/>
      <c r="K16" s="84">
        <v>1</v>
      </c>
      <c r="L16" s="84" t="s">
        <v>1014</v>
      </c>
      <c r="M16" s="84">
        <f t="shared" si="1"/>
        <v>4</v>
      </c>
      <c r="N16" s="84">
        <f t="shared" si="2"/>
        <v>4</v>
      </c>
      <c r="O16" s="84"/>
      <c r="P16" s="1098" cm="1">
        <f t="array" ref="P16">_xlfn.XLOOKUP(B16,HW_COST[[#All],[PART NUMBER]],HW_COST[[#All],[UNIT COST]])</f>
        <v>1.58</v>
      </c>
      <c r="Q16" s="1098">
        <f t="shared" si="4"/>
        <v>6.32</v>
      </c>
      <c r="R16" s="1098">
        <f t="shared" si="5"/>
        <v>6.32</v>
      </c>
    </row>
    <row r="17" spans="1:24" outlineLevel="1">
      <c r="A17" s="77">
        <v>6</v>
      </c>
      <c r="B17" s="1103" t="s">
        <v>844</v>
      </c>
      <c r="C17" s="1650" t="s">
        <v>1016</v>
      </c>
      <c r="D17" s="1651"/>
      <c r="E17" s="1651"/>
      <c r="F17" s="1103" t="s">
        <v>911</v>
      </c>
      <c r="G17" s="77" t="s">
        <v>824</v>
      </c>
      <c r="H17" s="77"/>
      <c r="I17" s="77"/>
      <c r="J17" s="77"/>
      <c r="K17" s="77">
        <v>1</v>
      </c>
      <c r="L17" s="77" t="s">
        <v>1014</v>
      </c>
      <c r="M17" s="77">
        <f t="shared" si="1"/>
        <v>6</v>
      </c>
      <c r="N17" s="77">
        <f t="shared" si="2"/>
        <v>6</v>
      </c>
      <c r="O17" s="77"/>
      <c r="P17" s="1097" cm="1">
        <f t="array" ref="P17">_xlfn.XLOOKUP(B17,HW_COST[[#All],[PART NUMBER]],HW_COST[[#All],[UNIT COST]])</f>
        <v>0.60419999999999996</v>
      </c>
      <c r="Q17" s="1097">
        <f t="shared" si="4"/>
        <v>3.6251999999999995</v>
      </c>
      <c r="R17" s="1097">
        <f t="shared" si="5"/>
        <v>3.6251999999999995</v>
      </c>
    </row>
    <row r="18" spans="1:24" outlineLevel="1">
      <c r="A18" s="84"/>
      <c r="B18" s="84"/>
      <c r="C18" s="1652" t="s">
        <v>920</v>
      </c>
      <c r="D18" s="1652"/>
      <c r="E18" s="1652"/>
      <c r="F18" s="84"/>
      <c r="G18" s="84">
        <v>25</v>
      </c>
      <c r="H18" s="84" t="s">
        <v>1017</v>
      </c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24">
      <c r="A19" s="93"/>
      <c r="B19" s="93"/>
      <c r="C19" s="94" t="s">
        <v>911</v>
      </c>
      <c r="D19" s="95">
        <f>SUMIF($F5:$F17,C19,$R5:$R17)</f>
        <v>92.193000000000012</v>
      </c>
      <c r="E19" s="94" t="s">
        <v>1005</v>
      </c>
      <c r="F19" s="95" t="e">
        <f>SUMIF($F5:$F17,E19,$R5:$R17)</f>
        <v>#VALUE!</v>
      </c>
      <c r="G19" s="93"/>
      <c r="H19" s="94" t="s">
        <v>914</v>
      </c>
      <c r="I19" s="95">
        <f>SUMIF($F5:$F17,H19,$R5:$R17)</f>
        <v>0</v>
      </c>
      <c r="J19" s="93"/>
      <c r="K19" s="93"/>
      <c r="L19" s="93"/>
      <c r="M19" s="93"/>
      <c r="N19" s="93" t="s">
        <v>1018</v>
      </c>
      <c r="O19" s="81" t="e">
        <f>SUM(O5:O18)</f>
        <v>#VALUE!</v>
      </c>
      <c r="P19" s="96" t="s">
        <v>1019</v>
      </c>
      <c r="Q19" s="96"/>
      <c r="R19" s="1097" t="e">
        <f>SUM(R5:R18)</f>
        <v>#VALUE!</v>
      </c>
    </row>
    <row r="20" spans="1:24" ht="15.75" thickBot="1"/>
    <row r="21" spans="1:24" ht="15.75" thickBot="1">
      <c r="A21" s="352" t="s">
        <v>1020</v>
      </c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53"/>
      <c r="O21" s="353"/>
      <c r="P21" s="353"/>
      <c r="Q21" s="353"/>
      <c r="R21" s="353"/>
      <c r="S21" s="97">
        <v>1</v>
      </c>
      <c r="T21" s="98" t="e">
        <f>F35*S21</f>
        <v>#VALUE!</v>
      </c>
      <c r="U21" s="99">
        <f>G34*S21</f>
        <v>8</v>
      </c>
      <c r="V21" s="98">
        <f>D35*S21</f>
        <v>49.452299999999994</v>
      </c>
      <c r="W21" s="98">
        <f>I35*S21</f>
        <v>0</v>
      </c>
    </row>
    <row r="22" spans="1:24" outlineLevel="1">
      <c r="A22" s="91">
        <v>1</v>
      </c>
      <c r="B22" s="91" cm="1">
        <f t="array" ref="B22">_xlfn.XLOOKUP(G22,SM_TBL[[#All],[Thickness]],SM_TBL[[#All],[MoC_PN]])</f>
        <v>101872</v>
      </c>
      <c r="C22" s="1657" t="s">
        <v>1021</v>
      </c>
      <c r="D22" s="1657"/>
      <c r="E22" s="1657"/>
      <c r="F22" s="78" t="s">
        <v>1005</v>
      </c>
      <c r="G22" s="79">
        <v>5.9499999999999997E-2</v>
      </c>
      <c r="H22" s="90" t="str">
        <f>IF(T1=18,20-6,IF(T1=24,20,IF(T1=30,20+6,IF(T1=36,20+12,IF(T1=48,20+24,"N/A")))))</f>
        <v>N/A</v>
      </c>
      <c r="I22" s="79">
        <v>22</v>
      </c>
      <c r="J22" s="77">
        <v>0.28899999999999998</v>
      </c>
      <c r="K22" s="80" t="e">
        <f>G22*H22*I22*J22</f>
        <v>#VALUE!</v>
      </c>
      <c r="L22" s="80" t="s">
        <v>92</v>
      </c>
      <c r="M22" s="80" t="e">
        <f>A22*K22</f>
        <v>#VALUE!</v>
      </c>
      <c r="N22" s="80" t="e">
        <f>S$21*M22</f>
        <v>#VALUE!</v>
      </c>
      <c r="O22" s="81" t="e">
        <f t="shared" ref="O22:O29" si="6">M22</f>
        <v>#VALUE!</v>
      </c>
      <c r="P22" s="1097" cm="1">
        <f t="array" ref="P22">_xlfn.XLOOKUP(B22,MET_PRICE[[#All],[Part Number]],MET_PRICE[[#All],[Price ($/lb) Domestic]])</f>
        <v>2.9</v>
      </c>
      <c r="Q22" s="1097" t="e">
        <f>M22*P22</f>
        <v>#VALUE!</v>
      </c>
      <c r="R22" s="1097" t="e">
        <f>N22*P22</f>
        <v>#VALUE!</v>
      </c>
    </row>
    <row r="23" spans="1:24" outlineLevel="1">
      <c r="A23" s="84">
        <v>1</v>
      </c>
      <c r="B23" s="84" cm="1">
        <f t="array" ref="B23">_xlfn.XLOOKUP(G23,SM_TBL[[#All],[Thickness]],SM_TBL[[#All],[MoC_PN]])</f>
        <v>101872</v>
      </c>
      <c r="C23" s="1658" t="s">
        <v>1022</v>
      </c>
      <c r="D23" s="1658"/>
      <c r="E23" s="1658"/>
      <c r="F23" s="85" t="s">
        <v>1005</v>
      </c>
      <c r="G23" s="84">
        <v>5.9499999999999997E-2</v>
      </c>
      <c r="H23" s="84">
        <v>1</v>
      </c>
      <c r="I23" s="84">
        <v>12</v>
      </c>
      <c r="J23" s="84">
        <v>0.28899999999999998</v>
      </c>
      <c r="K23" s="86">
        <f t="shared" ref="K23:K29" si="7">G23*H23*I23*J23</f>
        <v>0.20634599999999997</v>
      </c>
      <c r="L23" s="86" t="s">
        <v>92</v>
      </c>
      <c r="M23" s="86">
        <f t="shared" ref="M23:M33" si="8">A23*K23</f>
        <v>0.20634599999999997</v>
      </c>
      <c r="N23" s="86">
        <f t="shared" ref="N23:N33" si="9">S$21*M23</f>
        <v>0.20634599999999997</v>
      </c>
      <c r="O23" s="87">
        <f t="shared" si="6"/>
        <v>0.20634599999999997</v>
      </c>
      <c r="P23" s="1098" cm="1">
        <f t="array" ref="P23">_xlfn.XLOOKUP(B23,MET_PRICE[[#All],[Part Number]],MET_PRICE[[#All],[Price ($/lb) Domestic]])</f>
        <v>2.9</v>
      </c>
      <c r="Q23" s="1098">
        <f t="shared" ref="Q23:Q33" si="10">M23*P23</f>
        <v>0.59840339999999992</v>
      </c>
      <c r="R23" s="1098">
        <f t="shared" ref="R23:R33" si="11">N23*P23</f>
        <v>0.59840339999999992</v>
      </c>
    </row>
    <row r="24" spans="1:24" outlineLevel="1">
      <c r="A24" s="91">
        <v>1</v>
      </c>
      <c r="B24" s="91" cm="1">
        <f t="array" ref="B24">_xlfn.XLOOKUP(G24,SM_TBL[[#All],[Thickness]],SM_TBL[[#All],[MoC_PN]])</f>
        <v>101871</v>
      </c>
      <c r="C24" s="1659" t="s">
        <v>1023</v>
      </c>
      <c r="D24" s="1659"/>
      <c r="E24" s="1659"/>
      <c r="F24" s="89" t="s">
        <v>1005</v>
      </c>
      <c r="G24" s="77">
        <v>7.51E-2</v>
      </c>
      <c r="H24" s="77">
        <v>18.5</v>
      </c>
      <c r="I24" s="77">
        <v>63.5</v>
      </c>
      <c r="J24" s="77">
        <v>0.28899999999999998</v>
      </c>
      <c r="K24" s="80">
        <f t="shared" si="7"/>
        <v>25.496656524999999</v>
      </c>
      <c r="L24" s="80" t="s">
        <v>92</v>
      </c>
      <c r="M24" s="80">
        <f t="shared" si="8"/>
        <v>25.496656524999999</v>
      </c>
      <c r="N24" s="80">
        <f t="shared" si="9"/>
        <v>25.496656524999999</v>
      </c>
      <c r="O24" s="81">
        <f t="shared" si="6"/>
        <v>25.496656524999999</v>
      </c>
      <c r="P24" s="1097" cm="1">
        <f t="array" ref="P24">_xlfn.XLOOKUP(B24,MET_PRICE[[#All],[Part Number]],MET_PRICE[[#All],[Price ($/lb) Domestic]])</f>
        <v>2.89</v>
      </c>
      <c r="Q24" s="1097">
        <f t="shared" si="10"/>
        <v>73.685337357250006</v>
      </c>
      <c r="R24" s="1097">
        <f t="shared" si="11"/>
        <v>73.685337357250006</v>
      </c>
    </row>
    <row r="25" spans="1:24" outlineLevel="1">
      <c r="A25" s="84">
        <v>1</v>
      </c>
      <c r="B25" s="84" cm="1">
        <f t="array" ref="B25">_xlfn.XLOOKUP(G25,SM_TBL[[#All],[Thickness]],SM_TBL[[#All],[MoC_PN]])</f>
        <v>101871</v>
      </c>
      <c r="C25" s="1658" t="s">
        <v>1024</v>
      </c>
      <c r="D25" s="1658"/>
      <c r="E25" s="1658"/>
      <c r="F25" s="85" t="s">
        <v>1005</v>
      </c>
      <c r="G25" s="84">
        <v>7.51E-2</v>
      </c>
      <c r="H25" s="84">
        <v>25.5</v>
      </c>
      <c r="I25" s="84">
        <v>65</v>
      </c>
      <c r="J25" s="84">
        <v>0.28899999999999998</v>
      </c>
      <c r="K25" s="86">
        <f t="shared" si="7"/>
        <v>35.974214249999996</v>
      </c>
      <c r="L25" s="86" t="s">
        <v>92</v>
      </c>
      <c r="M25" s="86">
        <f t="shared" si="8"/>
        <v>35.974214249999996</v>
      </c>
      <c r="N25" s="86">
        <f t="shared" si="9"/>
        <v>35.974214249999996</v>
      </c>
      <c r="O25" s="87">
        <f t="shared" si="6"/>
        <v>35.974214249999996</v>
      </c>
      <c r="P25" s="1098" cm="1">
        <f t="array" ref="P25">_xlfn.XLOOKUP(B25,MET_PRICE[[#All],[Part Number]],MET_PRICE[[#All],[Price ($/lb) Domestic]])</f>
        <v>2.89</v>
      </c>
      <c r="Q25" s="1098">
        <f t="shared" si="10"/>
        <v>103.96547918249999</v>
      </c>
      <c r="R25" s="1098">
        <f t="shared" si="11"/>
        <v>103.96547918249999</v>
      </c>
    </row>
    <row r="26" spans="1:24" outlineLevel="1">
      <c r="A26" s="91">
        <v>1</v>
      </c>
      <c r="B26" s="91" cm="1">
        <f t="array" ref="B26">_xlfn.XLOOKUP(G26,SM_TBL[[#All],[Thickness]],SM_TBL[[#All],[MoC_PN]])</f>
        <v>101872</v>
      </c>
      <c r="C26" s="1659" t="s">
        <v>1025</v>
      </c>
      <c r="D26" s="1659"/>
      <c r="E26" s="1659"/>
      <c r="F26" s="89" t="s">
        <v>1005</v>
      </c>
      <c r="G26" s="77">
        <v>5.9499999999999997E-2</v>
      </c>
      <c r="H26" s="90" t="str">
        <f>IF(T1=18,32.125-6,IF(T1=24,32.125,IF(T1=30,32.125+6,IF(T1=36,32.125+12,IF(T1=48,32.125+24,"N/A")))))</f>
        <v>N/A</v>
      </c>
      <c r="I26" s="77">
        <v>66.125</v>
      </c>
      <c r="J26" s="77">
        <v>0.28899999999999998</v>
      </c>
      <c r="K26" s="80" t="e">
        <f t="shared" si="7"/>
        <v>#VALUE!</v>
      </c>
      <c r="L26" s="80" t="s">
        <v>92</v>
      </c>
      <c r="M26" s="80" t="e">
        <f t="shared" si="8"/>
        <v>#VALUE!</v>
      </c>
      <c r="N26" s="80" t="e">
        <f t="shared" si="9"/>
        <v>#VALUE!</v>
      </c>
      <c r="O26" s="81" t="e">
        <f t="shared" si="6"/>
        <v>#VALUE!</v>
      </c>
      <c r="P26" s="1097" cm="1">
        <f t="array" ref="P26">_xlfn.XLOOKUP(B26,MET_PRICE[[#All],[Part Number]],MET_PRICE[[#All],[Price ($/lb) Domestic]])</f>
        <v>2.9</v>
      </c>
      <c r="Q26" s="1097" t="e">
        <f t="shared" si="10"/>
        <v>#VALUE!</v>
      </c>
      <c r="R26" s="1097" t="e">
        <f t="shared" si="11"/>
        <v>#VALUE!</v>
      </c>
    </row>
    <row r="27" spans="1:24" outlineLevel="1">
      <c r="A27" s="84">
        <v>1</v>
      </c>
      <c r="B27" s="84" cm="1">
        <f t="array" ref="B27">_xlfn.XLOOKUP(G27,SM_TBL[[#All],[Thickness]],SM_TBL[[#All],[MoC_PN]])</f>
        <v>101872</v>
      </c>
      <c r="C27" s="1658" t="s">
        <v>1026</v>
      </c>
      <c r="D27" s="1658"/>
      <c r="E27" s="1658"/>
      <c r="F27" s="85" t="s">
        <v>1005</v>
      </c>
      <c r="G27" s="84">
        <v>5.9499999999999997E-2</v>
      </c>
      <c r="H27" s="84">
        <v>30.25</v>
      </c>
      <c r="I27" s="84">
        <v>51.375</v>
      </c>
      <c r="J27" s="84">
        <v>0.28899999999999998</v>
      </c>
      <c r="K27" s="86">
        <f t="shared" si="7"/>
        <v>26.723419078124998</v>
      </c>
      <c r="L27" s="86" t="s">
        <v>92</v>
      </c>
      <c r="M27" s="86">
        <f t="shared" si="8"/>
        <v>26.723419078124998</v>
      </c>
      <c r="N27" s="86">
        <f t="shared" si="9"/>
        <v>26.723419078124998</v>
      </c>
      <c r="O27" s="87">
        <f t="shared" si="6"/>
        <v>26.723419078124998</v>
      </c>
      <c r="P27" s="1098" cm="1">
        <f t="array" ref="P27">_xlfn.XLOOKUP(B27,MET_PRICE[[#All],[Part Number]],MET_PRICE[[#All],[Price ($/lb) Domestic]])</f>
        <v>2.9</v>
      </c>
      <c r="Q27" s="1098">
        <f t="shared" si="10"/>
        <v>77.497915326562492</v>
      </c>
      <c r="R27" s="1098">
        <f t="shared" si="11"/>
        <v>77.497915326562492</v>
      </c>
      <c r="X27" s="100"/>
    </row>
    <row r="28" spans="1:24" outlineLevel="1">
      <c r="A28" s="91">
        <v>1</v>
      </c>
      <c r="B28" s="91" cm="1">
        <f t="array" ref="B28">_xlfn.XLOOKUP(G28,SM_TBL[[#All],[Thickness]],SM_TBL[[#All],[MoC_PN]])</f>
        <v>101872</v>
      </c>
      <c r="C28" s="1659" t="s">
        <v>1027</v>
      </c>
      <c r="D28" s="1659"/>
      <c r="E28" s="1659"/>
      <c r="F28" s="89" t="s">
        <v>1005</v>
      </c>
      <c r="G28" s="77">
        <v>5.9499999999999997E-2</v>
      </c>
      <c r="H28" s="77">
        <v>30.25</v>
      </c>
      <c r="I28" s="77">
        <v>51.375</v>
      </c>
      <c r="J28" s="77">
        <v>0.28899999999999998</v>
      </c>
      <c r="K28" s="80">
        <f t="shared" si="7"/>
        <v>26.723419078124998</v>
      </c>
      <c r="L28" s="80" t="s">
        <v>92</v>
      </c>
      <c r="M28" s="80">
        <f t="shared" si="8"/>
        <v>26.723419078124998</v>
      </c>
      <c r="N28" s="80">
        <f t="shared" si="9"/>
        <v>26.723419078124998</v>
      </c>
      <c r="O28" s="81">
        <f t="shared" si="6"/>
        <v>26.723419078124998</v>
      </c>
      <c r="P28" s="1097" cm="1">
        <f t="array" ref="P28">_xlfn.XLOOKUP(B28,MET_PRICE[[#All],[Part Number]],MET_PRICE[[#All],[Price ($/lb) Domestic]])</f>
        <v>2.9</v>
      </c>
      <c r="Q28" s="1097">
        <f t="shared" si="10"/>
        <v>77.497915326562492</v>
      </c>
      <c r="R28" s="1097">
        <f t="shared" si="11"/>
        <v>77.497915326562492</v>
      </c>
    </row>
    <row r="29" spans="1:24" outlineLevel="1">
      <c r="A29" s="84">
        <v>1</v>
      </c>
      <c r="B29" s="84" cm="1">
        <f t="array" ref="B29">_xlfn.XLOOKUP(G29,SM_TBL[[#All],[Thickness]],SM_TBL[[#All],[MoC_PN]])</f>
        <v>101871</v>
      </c>
      <c r="C29" s="1658" t="s">
        <v>1028</v>
      </c>
      <c r="D29" s="1658"/>
      <c r="E29" s="1658"/>
      <c r="F29" s="85" t="s">
        <v>1005</v>
      </c>
      <c r="G29" s="84">
        <v>7.51E-2</v>
      </c>
      <c r="H29" s="84">
        <v>2.5</v>
      </c>
      <c r="I29" s="84">
        <v>2.5</v>
      </c>
      <c r="J29" s="84">
        <v>0.28899999999999998</v>
      </c>
      <c r="K29" s="86">
        <f t="shared" si="7"/>
        <v>0.13564937499999999</v>
      </c>
      <c r="L29" s="86" t="s">
        <v>92</v>
      </c>
      <c r="M29" s="86">
        <f t="shared" si="8"/>
        <v>0.13564937499999999</v>
      </c>
      <c r="N29" s="86">
        <f t="shared" si="9"/>
        <v>0.13564937499999999</v>
      </c>
      <c r="O29" s="87">
        <f t="shared" si="6"/>
        <v>0.13564937499999999</v>
      </c>
      <c r="P29" s="1098" cm="1">
        <f t="array" ref="P29">_xlfn.XLOOKUP(B29,MET_PRICE[[#All],[Part Number]],MET_PRICE[[#All],[Price ($/lb) Domestic]])</f>
        <v>2.89</v>
      </c>
      <c r="Q29" s="1098">
        <f t="shared" si="10"/>
        <v>0.39202669374999999</v>
      </c>
      <c r="R29" s="1098">
        <f t="shared" si="11"/>
        <v>0.39202669374999999</v>
      </c>
    </row>
    <row r="30" spans="1:24" outlineLevel="1">
      <c r="A30" s="91">
        <v>1</v>
      </c>
      <c r="B30" s="1104" t="s">
        <v>820</v>
      </c>
      <c r="C30" s="1650" t="s">
        <v>1029</v>
      </c>
      <c r="D30" s="1651"/>
      <c r="E30" s="1651"/>
      <c r="F30" s="1103" t="s">
        <v>911</v>
      </c>
      <c r="G30" s="77"/>
      <c r="H30" s="77"/>
      <c r="I30" s="77"/>
      <c r="J30" s="77"/>
      <c r="K30" s="77">
        <v>1</v>
      </c>
      <c r="L30" s="1103" t="s">
        <v>1014</v>
      </c>
      <c r="M30" s="77">
        <f t="shared" si="8"/>
        <v>1</v>
      </c>
      <c r="N30" s="77">
        <f t="shared" si="9"/>
        <v>1</v>
      </c>
      <c r="O30" s="77"/>
      <c r="P30" s="1097" cm="1">
        <f t="array" ref="P30">_xlfn.XLOOKUP(B30,PP_COST[[#All],[PART NUMBER]],PP_COST[[#All],[UNIT COST]])</f>
        <v>1.29</v>
      </c>
      <c r="Q30" s="1097">
        <f t="shared" si="10"/>
        <v>1.29</v>
      </c>
      <c r="R30" s="1097">
        <f t="shared" si="11"/>
        <v>1.29</v>
      </c>
    </row>
    <row r="31" spans="1:24" outlineLevel="1">
      <c r="A31" s="84">
        <v>1</v>
      </c>
      <c r="B31" s="84">
        <v>501100</v>
      </c>
      <c r="C31" s="1658" t="s">
        <v>1030</v>
      </c>
      <c r="D31" s="1658"/>
      <c r="E31" s="1658"/>
      <c r="F31" s="85" t="s">
        <v>911</v>
      </c>
      <c r="G31" s="84"/>
      <c r="H31" s="84"/>
      <c r="I31" s="84"/>
      <c r="J31" s="84"/>
      <c r="K31" s="86">
        <v>1</v>
      </c>
      <c r="L31" s="86" t="s">
        <v>1014</v>
      </c>
      <c r="M31" s="86">
        <f t="shared" si="8"/>
        <v>1</v>
      </c>
      <c r="N31" s="86">
        <f t="shared" si="9"/>
        <v>1</v>
      </c>
      <c r="O31" s="87"/>
      <c r="P31" s="1098" cm="1">
        <f t="array" ref="P31">_xlfn.XLOOKUP(B31,PP_COST[[#All],[PART NUMBER]],PP_COST[[#All],[UNIT COST]])</f>
        <v>21.56</v>
      </c>
      <c r="Q31" s="1098">
        <f t="shared" si="10"/>
        <v>21.56</v>
      </c>
      <c r="R31" s="1098">
        <f t="shared" si="11"/>
        <v>21.56</v>
      </c>
    </row>
    <row r="32" spans="1:24" outlineLevel="1">
      <c r="A32" s="91">
        <v>12</v>
      </c>
      <c r="B32" s="91" t="s">
        <v>826</v>
      </c>
      <c r="C32" s="1659" t="s">
        <v>827</v>
      </c>
      <c r="D32" s="1659"/>
      <c r="E32" s="1659"/>
      <c r="F32" s="89" t="s">
        <v>911</v>
      </c>
      <c r="G32" s="89" t="s">
        <v>824</v>
      </c>
      <c r="H32" s="77"/>
      <c r="I32" s="77"/>
      <c r="J32" s="77"/>
      <c r="K32" s="80">
        <v>1</v>
      </c>
      <c r="L32" s="80" t="s">
        <v>1014</v>
      </c>
      <c r="M32" s="80">
        <f t="shared" si="8"/>
        <v>12</v>
      </c>
      <c r="N32" s="80">
        <f t="shared" si="9"/>
        <v>12</v>
      </c>
      <c r="O32" s="81"/>
      <c r="P32" s="1097" cm="1">
        <f t="array" ref="P32">_xlfn.XLOOKUP(B32,HW_COST[[#All],[PART NUMBER]],HW_COST[[#All],[UNIT COST]])</f>
        <v>0.22020000000000001</v>
      </c>
      <c r="Q32" s="1097">
        <f t="shared" si="10"/>
        <v>2.6424000000000003</v>
      </c>
      <c r="R32" s="1097">
        <f t="shared" si="11"/>
        <v>2.6424000000000003</v>
      </c>
    </row>
    <row r="33" spans="1:23" outlineLevel="1">
      <c r="A33" s="84">
        <v>31</v>
      </c>
      <c r="B33" s="84" t="s">
        <v>838</v>
      </c>
      <c r="C33" s="1658" t="s">
        <v>838</v>
      </c>
      <c r="D33" s="1658"/>
      <c r="E33" s="1658"/>
      <c r="F33" s="85" t="s">
        <v>911</v>
      </c>
      <c r="G33" s="85" t="s">
        <v>824</v>
      </c>
      <c r="H33" s="84"/>
      <c r="I33" s="84"/>
      <c r="J33" s="84"/>
      <c r="K33" s="86">
        <v>1</v>
      </c>
      <c r="L33" s="86" t="s">
        <v>1014</v>
      </c>
      <c r="M33" s="86">
        <f t="shared" si="8"/>
        <v>31</v>
      </c>
      <c r="N33" s="86">
        <f t="shared" si="9"/>
        <v>31</v>
      </c>
      <c r="O33" s="87"/>
      <c r="P33" s="1098" cm="1">
        <f t="array" ref="P33">_xlfn.XLOOKUP(B33,HW_COST[[#All],[PART NUMBER]],HW_COST[[#All],[UNIT COST]])</f>
        <v>0.77290000000000003</v>
      </c>
      <c r="Q33" s="1098">
        <f t="shared" si="10"/>
        <v>23.959900000000001</v>
      </c>
      <c r="R33" s="1098">
        <f t="shared" si="11"/>
        <v>23.959900000000001</v>
      </c>
    </row>
    <row r="34" spans="1:23" outlineLevel="1">
      <c r="A34" s="91"/>
      <c r="B34" s="1104"/>
      <c r="C34" s="1660" t="s">
        <v>920</v>
      </c>
      <c r="D34" s="1661"/>
      <c r="E34" s="1661"/>
      <c r="F34" s="77"/>
      <c r="G34" s="77">
        <v>8</v>
      </c>
      <c r="H34" s="77" t="s">
        <v>1017</v>
      </c>
      <c r="I34" s="77"/>
      <c r="J34" s="77"/>
      <c r="K34" s="77"/>
      <c r="L34" s="77"/>
      <c r="M34" s="77"/>
      <c r="N34" s="77"/>
      <c r="O34" s="77"/>
      <c r="P34" s="92"/>
      <c r="Q34" s="92"/>
      <c r="R34" s="82"/>
    </row>
    <row r="35" spans="1:23">
      <c r="A35" s="101"/>
      <c r="B35" s="101"/>
      <c r="C35" s="102" t="s">
        <v>911</v>
      </c>
      <c r="D35" s="103">
        <f>SUMIF($F22:$F33,C35,$R22:$R33)</f>
        <v>49.452299999999994</v>
      </c>
      <c r="E35" s="102" t="s">
        <v>1005</v>
      </c>
      <c r="F35" s="103" t="e">
        <f>SUMIF($F22:$F33,E35,$R22:$R33)</f>
        <v>#VALUE!</v>
      </c>
      <c r="G35" s="101"/>
      <c r="H35" s="102" t="s">
        <v>914</v>
      </c>
      <c r="I35" s="103">
        <f>SUMIF($F22:$F33,H35,$R22:$R33)</f>
        <v>0</v>
      </c>
      <c r="J35" s="101"/>
      <c r="K35" s="101"/>
      <c r="L35" s="101"/>
      <c r="M35" s="101"/>
      <c r="N35" s="101" t="s">
        <v>1018</v>
      </c>
      <c r="O35" s="87" t="e">
        <f>SUM(O22:O34)</f>
        <v>#VALUE!</v>
      </c>
      <c r="P35" s="104" t="s">
        <v>1019</v>
      </c>
      <c r="Q35" s="104"/>
      <c r="R35" s="1098" t="e">
        <f>SUM(R22:R34)</f>
        <v>#VALUE!</v>
      </c>
    </row>
    <row r="36" spans="1:23" ht="15.75" thickBot="1"/>
    <row r="37" spans="1:23" ht="15.75" thickBot="1">
      <c r="A37" s="354" t="s">
        <v>1031</v>
      </c>
      <c r="B37" s="355"/>
      <c r="C37" s="355"/>
      <c r="D37" s="355"/>
      <c r="E37" s="355"/>
      <c r="F37" s="355"/>
      <c r="G37" s="355"/>
      <c r="H37" s="355"/>
      <c r="I37" s="355"/>
      <c r="J37" s="355"/>
      <c r="K37" s="355"/>
      <c r="L37" s="355"/>
      <c r="M37" s="355"/>
      <c r="N37" s="355"/>
      <c r="O37" s="355"/>
      <c r="P37" s="355"/>
      <c r="Q37" s="355"/>
      <c r="R37" s="355"/>
      <c r="S37" s="97">
        <v>1</v>
      </c>
      <c r="T37" s="98" t="e">
        <f>F60*S37</f>
        <v>#VALUE!</v>
      </c>
      <c r="U37" s="99">
        <f>G59*S37</f>
        <v>30</v>
      </c>
      <c r="V37" s="98">
        <f>D60*S37</f>
        <v>98.992999999999995</v>
      </c>
      <c r="W37" s="98">
        <f>I60*S37</f>
        <v>0</v>
      </c>
    </row>
    <row r="38" spans="1:23" outlineLevel="1">
      <c r="A38" s="105">
        <v>2</v>
      </c>
      <c r="B38" s="105" cm="1">
        <f t="array" ref="B38">_xlfn.XLOOKUP(G38,SM_TBL[[#All],[Thickness]],SM_TBL[[#All],[MoC_PN]])</f>
        <v>101963</v>
      </c>
      <c r="C38" s="1663" t="s">
        <v>1004</v>
      </c>
      <c r="D38" s="1663"/>
      <c r="E38" s="1663"/>
      <c r="F38" s="106" t="s">
        <v>1005</v>
      </c>
      <c r="G38" s="107">
        <v>0.25</v>
      </c>
      <c r="H38" s="107">
        <v>11.75</v>
      </c>
      <c r="I38" s="107">
        <v>56.125</v>
      </c>
      <c r="J38" s="105">
        <v>0.28899999999999998</v>
      </c>
      <c r="K38" s="108">
        <f>G38*H38*I38*J38</f>
        <v>47.646617187499999</v>
      </c>
      <c r="L38" s="108" t="s">
        <v>92</v>
      </c>
      <c r="M38" s="108">
        <f>A38*K38</f>
        <v>95.293234374999997</v>
      </c>
      <c r="N38" s="108">
        <f>S$37*M38</f>
        <v>95.293234374999997</v>
      </c>
      <c r="O38" s="108">
        <f t="shared" ref="O38" si="12">M38</f>
        <v>95.293234374999997</v>
      </c>
      <c r="P38" s="1105" cm="1">
        <f t="array" ref="P38">_xlfn.XLOOKUP(B38,MET_PRICE[[#All],[Part Number]],MET_PRICE[[#All],[Price ($/lb) Domestic]])</f>
        <v>2.65</v>
      </c>
      <c r="Q38" s="1105">
        <f>M38*P38</f>
        <v>252.52707109374998</v>
      </c>
      <c r="R38" s="1105">
        <f>N38*P38</f>
        <v>252.52707109374998</v>
      </c>
    </row>
    <row r="39" spans="1:23" outlineLevel="1">
      <c r="A39" s="84">
        <v>2</v>
      </c>
      <c r="B39" s="84" cm="1">
        <f t="array" ref="B39">_xlfn.XLOOKUP(G39,SM_TBL[[#All],[Thickness]],SM_TBL[[#All],[MoC_PN]])</f>
        <v>101963</v>
      </c>
      <c r="C39" s="1658" t="s">
        <v>1006</v>
      </c>
      <c r="D39" s="1658"/>
      <c r="E39" s="1658"/>
      <c r="F39" s="85" t="s">
        <v>1005</v>
      </c>
      <c r="G39" s="84">
        <v>0.25</v>
      </c>
      <c r="H39" s="84">
        <v>2.875</v>
      </c>
      <c r="I39" s="84">
        <v>4.875</v>
      </c>
      <c r="J39" s="84">
        <v>0.28899999999999998</v>
      </c>
      <c r="K39" s="86">
        <f t="shared" ref="K39:K43" si="13">G39*H39*I39*J39</f>
        <v>1.01262890625</v>
      </c>
      <c r="L39" s="86" t="s">
        <v>92</v>
      </c>
      <c r="M39" s="86">
        <f t="shared" ref="M39:M58" si="14">A39*K39</f>
        <v>2.0252578125</v>
      </c>
      <c r="N39" s="86">
        <f t="shared" ref="N39:N58" si="15">S$37*M39</f>
        <v>2.0252578125</v>
      </c>
      <c r="O39" s="86">
        <f t="shared" ref="O39:O58" si="16">M39</f>
        <v>2.0252578125</v>
      </c>
      <c r="P39" s="1098" cm="1">
        <f t="array" ref="P39">_xlfn.XLOOKUP(B39,MET_PRICE[[#All],[Part Number]],MET_PRICE[[#All],[Price ($/lb) Domestic]])</f>
        <v>2.65</v>
      </c>
      <c r="Q39" s="1098">
        <f t="shared" ref="Q39:Q58" si="17">M39*P39</f>
        <v>5.3669332031249999</v>
      </c>
      <c r="R39" s="1098">
        <f t="shared" ref="R39:R58" si="18">N39*P39</f>
        <v>5.3669332031249999</v>
      </c>
    </row>
    <row r="40" spans="1:23" outlineLevel="1">
      <c r="A40" s="105">
        <v>1</v>
      </c>
      <c r="B40" s="105" cm="1">
        <f t="array" ref="B40">_xlfn.XLOOKUP(G40,SM_TBL[[#All],[Thickness]],SM_TBL[[#All],[MoC_PN]])</f>
        <v>101963</v>
      </c>
      <c r="C40" s="1662" t="s">
        <v>1007</v>
      </c>
      <c r="D40" s="1662"/>
      <c r="E40" s="1662"/>
      <c r="F40" s="111" t="s">
        <v>1005</v>
      </c>
      <c r="G40" s="105">
        <v>0.25</v>
      </c>
      <c r="H40" s="105">
        <v>9.17</v>
      </c>
      <c r="I40" s="112" t="str">
        <f>IF(T1=18,38.29-6,IF(T1=24,38.29,IF(T1=30,38.29+6,IF(T1=36,38.29+12,IF(T1=48,38.29+24,"N/A")))))</f>
        <v>N/A</v>
      </c>
      <c r="J40" s="105">
        <v>0.28899999999999998</v>
      </c>
      <c r="K40" s="108" t="e">
        <f t="shared" si="13"/>
        <v>#VALUE!</v>
      </c>
      <c r="L40" s="108" t="s">
        <v>92</v>
      </c>
      <c r="M40" s="108" t="e">
        <f t="shared" si="14"/>
        <v>#VALUE!</v>
      </c>
      <c r="N40" s="108" t="e">
        <f t="shared" si="15"/>
        <v>#VALUE!</v>
      </c>
      <c r="O40" s="108" t="e">
        <f t="shared" si="16"/>
        <v>#VALUE!</v>
      </c>
      <c r="P40" s="1105" cm="1">
        <f t="array" ref="P40">_xlfn.XLOOKUP(B40,MET_PRICE[[#All],[Part Number]],MET_PRICE[[#All],[Price ($/lb) Domestic]])</f>
        <v>2.65</v>
      </c>
      <c r="Q40" s="1105" t="e">
        <f t="shared" si="17"/>
        <v>#VALUE!</v>
      </c>
      <c r="R40" s="1105" t="e">
        <f t="shared" si="18"/>
        <v>#VALUE!</v>
      </c>
    </row>
    <row r="41" spans="1:23" outlineLevel="1">
      <c r="A41" s="84">
        <v>1</v>
      </c>
      <c r="B41" s="84" cm="1">
        <f t="array" ref="B41">_xlfn.XLOOKUP(G41,SM_TBL[[#All],[Thickness]],SM_TBL[[#All],[MoC_PN]])</f>
        <v>101963</v>
      </c>
      <c r="C41" s="1658" t="s">
        <v>1008</v>
      </c>
      <c r="D41" s="1658"/>
      <c r="E41" s="1658"/>
      <c r="F41" s="85" t="s">
        <v>1005</v>
      </c>
      <c r="G41" s="84">
        <v>0.25</v>
      </c>
      <c r="H41" s="84">
        <v>3.52</v>
      </c>
      <c r="I41" s="112" t="str">
        <f>IF(T1=18,37.29-6,IF(T1=24,37.29,IF(T1=30,37.29+6,IF(T1=36,37.29+12,IF(T1=48,37.29+24,"N/A")))))</f>
        <v>N/A</v>
      </c>
      <c r="J41" s="84">
        <v>0.28899999999999998</v>
      </c>
      <c r="K41" s="86" t="e">
        <f t="shared" si="13"/>
        <v>#VALUE!</v>
      </c>
      <c r="L41" s="86" t="s">
        <v>92</v>
      </c>
      <c r="M41" s="86" t="e">
        <f t="shared" si="14"/>
        <v>#VALUE!</v>
      </c>
      <c r="N41" s="86" t="e">
        <f t="shared" si="15"/>
        <v>#VALUE!</v>
      </c>
      <c r="O41" s="86" t="e">
        <f t="shared" si="16"/>
        <v>#VALUE!</v>
      </c>
      <c r="P41" s="1098" cm="1">
        <f t="array" ref="P41">_xlfn.XLOOKUP(B41,MET_PRICE[[#All],[Part Number]],MET_PRICE[[#All],[Price ($/lb) Domestic]])</f>
        <v>2.65</v>
      </c>
      <c r="Q41" s="1098" t="e">
        <f t="shared" si="17"/>
        <v>#VALUE!</v>
      </c>
      <c r="R41" s="1098" t="e">
        <f t="shared" si="18"/>
        <v>#VALUE!</v>
      </c>
    </row>
    <row r="42" spans="1:23" outlineLevel="1">
      <c r="A42" s="105">
        <v>2</v>
      </c>
      <c r="B42" s="105" cm="1">
        <f t="array" ref="B42">_xlfn.XLOOKUP(G42,SM_TBL[[#All],[Thickness]],SM_TBL[[#All],[MoC_PN]])</f>
        <v>101963</v>
      </c>
      <c r="C42" s="1662" t="s">
        <v>1009</v>
      </c>
      <c r="D42" s="1662"/>
      <c r="E42" s="1662"/>
      <c r="F42" s="111" t="s">
        <v>1005</v>
      </c>
      <c r="G42" s="105">
        <v>0.25</v>
      </c>
      <c r="H42" s="105">
        <v>2</v>
      </c>
      <c r="I42" s="105">
        <v>11.39</v>
      </c>
      <c r="J42" s="105">
        <v>0.28899999999999998</v>
      </c>
      <c r="K42" s="108">
        <f t="shared" si="13"/>
        <v>1.6458550000000001</v>
      </c>
      <c r="L42" s="108" t="s">
        <v>92</v>
      </c>
      <c r="M42" s="108">
        <f t="shared" si="14"/>
        <v>3.2917100000000001</v>
      </c>
      <c r="N42" s="108">
        <f t="shared" si="15"/>
        <v>3.2917100000000001</v>
      </c>
      <c r="O42" s="108">
        <f t="shared" si="16"/>
        <v>3.2917100000000001</v>
      </c>
      <c r="P42" s="1105" cm="1">
        <f t="array" ref="P42">_xlfn.XLOOKUP(B42,MET_PRICE[[#All],[Part Number]],MET_PRICE[[#All],[Price ($/lb) Domestic]])</f>
        <v>2.65</v>
      </c>
      <c r="Q42" s="1105">
        <f t="shared" si="17"/>
        <v>8.7230314999999994</v>
      </c>
      <c r="R42" s="1105">
        <f t="shared" si="18"/>
        <v>8.7230314999999994</v>
      </c>
    </row>
    <row r="43" spans="1:23" outlineLevel="1">
      <c r="A43" s="84">
        <v>4</v>
      </c>
      <c r="B43" s="84" cm="1">
        <f t="array" ref="B43">_xlfn.XLOOKUP(G43,SM_TBL[[#All],[Thickness]],SM_TBL[[#All],[MoC_PN]])</f>
        <v>101960</v>
      </c>
      <c r="C43" s="1658" t="s">
        <v>1032</v>
      </c>
      <c r="D43" s="1658"/>
      <c r="E43" s="1658"/>
      <c r="F43" s="85" t="s">
        <v>1005</v>
      </c>
      <c r="G43" s="84">
        <v>0.5</v>
      </c>
      <c r="H43" s="84">
        <v>1.5</v>
      </c>
      <c r="I43" s="84">
        <v>1.75</v>
      </c>
      <c r="J43" s="84">
        <v>0.28899999999999998</v>
      </c>
      <c r="K43" s="86">
        <f t="shared" si="13"/>
        <v>0.3793125</v>
      </c>
      <c r="L43" s="86" t="s">
        <v>92</v>
      </c>
      <c r="M43" s="86">
        <f t="shared" si="14"/>
        <v>1.51725</v>
      </c>
      <c r="N43" s="86">
        <f t="shared" si="15"/>
        <v>1.51725</v>
      </c>
      <c r="O43" s="86">
        <f t="shared" si="16"/>
        <v>1.51725</v>
      </c>
      <c r="P43" s="1098" cm="1">
        <f t="array" ref="P43">_xlfn.XLOOKUP(B43,MET_PRICE[[#All],[Part Number]],MET_PRICE[[#All],[Price ($/lb) Domestic]])</f>
        <v>3.15</v>
      </c>
      <c r="Q43" s="1098">
        <f t="shared" si="17"/>
        <v>4.7793374999999996</v>
      </c>
      <c r="R43" s="1098">
        <f t="shared" si="18"/>
        <v>4.7793374999999996</v>
      </c>
    </row>
    <row r="44" spans="1:23" outlineLevel="1">
      <c r="A44" s="105">
        <v>1</v>
      </c>
      <c r="B44" s="105">
        <f>'MATERIAL COST'!F78</f>
        <v>105707</v>
      </c>
      <c r="C44" s="1653" t="s">
        <v>1033</v>
      </c>
      <c r="D44" s="1653"/>
      <c r="E44" s="1653"/>
      <c r="F44" s="111" t="s">
        <v>1005</v>
      </c>
      <c r="G44" s="105">
        <v>2.5</v>
      </c>
      <c r="H44" s="105" t="s">
        <v>1011</v>
      </c>
      <c r="I44" s="105">
        <v>44</v>
      </c>
      <c r="J44" s="105" t="s">
        <v>1011</v>
      </c>
      <c r="K44" s="108">
        <f>I44/12</f>
        <v>3.6666666666666665</v>
      </c>
      <c r="L44" s="1106" t="s">
        <v>28</v>
      </c>
      <c r="M44" s="108">
        <f t="shared" si="14"/>
        <v>3.6666666666666665</v>
      </c>
      <c r="N44" s="108">
        <f t="shared" si="15"/>
        <v>3.6666666666666665</v>
      </c>
      <c r="O44" s="108">
        <f t="shared" si="16"/>
        <v>3.6666666666666665</v>
      </c>
      <c r="P44" s="1105" cm="1">
        <f t="array" ref="P44">_xlfn.XLOOKUP(B44,RAW_100[[#All],[PartNum]],RAW_100[[#All],[UnitCost]])</f>
        <v>35</v>
      </c>
      <c r="Q44" s="1105">
        <f t="shared" si="17"/>
        <v>128.33333333333331</v>
      </c>
      <c r="R44" s="1105">
        <f t="shared" si="18"/>
        <v>128.33333333333331</v>
      </c>
    </row>
    <row r="45" spans="1:23" outlineLevel="1">
      <c r="A45" s="84">
        <v>2</v>
      </c>
      <c r="B45" s="84" cm="1">
        <f t="array" ref="B45">_xlfn.XLOOKUP(G45,SM_TBL[[#All],[Thickness]],SM_TBL[[#All],[MoC_PN]])</f>
        <v>101963</v>
      </c>
      <c r="C45" s="1658" t="s">
        <v>1034</v>
      </c>
      <c r="D45" s="1658"/>
      <c r="E45" s="1658"/>
      <c r="F45" s="85" t="s">
        <v>1005</v>
      </c>
      <c r="G45" s="84">
        <v>0.25</v>
      </c>
      <c r="H45" s="84">
        <v>8</v>
      </c>
      <c r="I45" s="84">
        <v>9</v>
      </c>
      <c r="J45" s="84">
        <v>0.28899999999999998</v>
      </c>
      <c r="K45" s="86">
        <f t="shared" ref="K45:K49" si="19">G45*H45*I45*J45</f>
        <v>5.202</v>
      </c>
      <c r="L45" s="86" t="s">
        <v>92</v>
      </c>
      <c r="M45" s="86">
        <f t="shared" si="14"/>
        <v>10.404</v>
      </c>
      <c r="N45" s="86">
        <f t="shared" si="15"/>
        <v>10.404</v>
      </c>
      <c r="O45" s="86">
        <f t="shared" si="16"/>
        <v>10.404</v>
      </c>
      <c r="P45" s="1098" cm="1">
        <f t="array" ref="P45">_xlfn.XLOOKUP(B45,MET_PRICE[[#All],[Part Number]],MET_PRICE[[#All],[Price ($/lb) Domestic]])</f>
        <v>2.65</v>
      </c>
      <c r="Q45" s="1098">
        <f t="shared" si="17"/>
        <v>27.570599999999999</v>
      </c>
      <c r="R45" s="1098">
        <f t="shared" si="18"/>
        <v>27.570599999999999</v>
      </c>
    </row>
    <row r="46" spans="1:23" outlineLevel="1">
      <c r="A46" s="105">
        <v>2</v>
      </c>
      <c r="B46" s="105" cm="1">
        <f t="array" ref="B46">_xlfn.XLOOKUP(G46,SM_TBL[[#All],[Thickness]],SM_TBL[[#All],[MoC_PN]])</f>
        <v>101871</v>
      </c>
      <c r="C46" s="1662" t="s">
        <v>1035</v>
      </c>
      <c r="D46" s="1662"/>
      <c r="E46" s="1662"/>
      <c r="F46" s="111" t="s">
        <v>1005</v>
      </c>
      <c r="G46" s="105">
        <v>7.51E-2</v>
      </c>
      <c r="H46" s="105">
        <v>2.67</v>
      </c>
      <c r="I46" s="105">
        <v>2.67</v>
      </c>
      <c r="J46" s="105">
        <v>0.28899999999999998</v>
      </c>
      <c r="K46" s="108">
        <f t="shared" si="19"/>
        <v>0.15472493271000001</v>
      </c>
      <c r="L46" s="108" t="s">
        <v>92</v>
      </c>
      <c r="M46" s="108">
        <f t="shared" si="14"/>
        <v>0.30944986542000003</v>
      </c>
      <c r="N46" s="108">
        <f t="shared" si="15"/>
        <v>0.30944986542000003</v>
      </c>
      <c r="O46" s="108">
        <f t="shared" si="16"/>
        <v>0.30944986542000003</v>
      </c>
      <c r="P46" s="1105" cm="1">
        <f t="array" ref="P46">_xlfn.XLOOKUP(B46,MET_PRICE[[#All],[Part Number]],MET_PRICE[[#All],[Price ($/lb) Domestic]])</f>
        <v>2.89</v>
      </c>
      <c r="Q46" s="1105">
        <f t="shared" si="17"/>
        <v>0.8943101110638001</v>
      </c>
      <c r="R46" s="1105">
        <f t="shared" si="18"/>
        <v>0.8943101110638001</v>
      </c>
    </row>
    <row r="47" spans="1:23" outlineLevel="1">
      <c r="A47" s="84">
        <v>2</v>
      </c>
      <c r="B47" s="84" cm="1">
        <f t="array" ref="B47">_xlfn.XLOOKUP(G47,SM_TBL[[#All],[Thickness]],SM_TBL[[#All],[MoC_PN]])</f>
        <v>101963</v>
      </c>
      <c r="C47" s="1658" t="s">
        <v>1036</v>
      </c>
      <c r="D47" s="1658"/>
      <c r="E47" s="1658"/>
      <c r="F47" s="85" t="s">
        <v>1005</v>
      </c>
      <c r="G47" s="84">
        <v>0.25</v>
      </c>
      <c r="H47" s="84">
        <v>1.875</v>
      </c>
      <c r="I47" s="84">
        <v>2.375</v>
      </c>
      <c r="J47" s="84">
        <v>0.28899999999999998</v>
      </c>
      <c r="K47" s="86">
        <f t="shared" si="19"/>
        <v>0.32173828124999998</v>
      </c>
      <c r="L47" s="86" t="s">
        <v>92</v>
      </c>
      <c r="M47" s="86">
        <f t="shared" si="14"/>
        <v>0.64347656249999996</v>
      </c>
      <c r="N47" s="86">
        <f t="shared" si="15"/>
        <v>0.64347656249999996</v>
      </c>
      <c r="O47" s="86">
        <f t="shared" si="16"/>
        <v>0.64347656249999996</v>
      </c>
      <c r="P47" s="1098" cm="1">
        <f t="array" ref="P47">_xlfn.XLOOKUP(B47,MET_PRICE[[#All],[Part Number]],MET_PRICE[[#All],[Price ($/lb) Domestic]])</f>
        <v>2.65</v>
      </c>
      <c r="Q47" s="1098">
        <f t="shared" si="17"/>
        <v>1.7052128906249999</v>
      </c>
      <c r="R47" s="1098">
        <f t="shared" si="18"/>
        <v>1.7052128906249999</v>
      </c>
    </row>
    <row r="48" spans="1:23" outlineLevel="1">
      <c r="A48" s="105">
        <v>1</v>
      </c>
      <c r="B48" s="105" cm="1">
        <f t="array" ref="B48">_xlfn.XLOOKUP(G48,SM_TBL[[#All],[Thickness]],SM_TBL[[#All],[MoC_PN]])</f>
        <v>101960</v>
      </c>
      <c r="C48" s="1662" t="s">
        <v>1037</v>
      </c>
      <c r="D48" s="1662"/>
      <c r="E48" s="1662"/>
      <c r="F48" s="111" t="s">
        <v>1005</v>
      </c>
      <c r="G48" s="105">
        <v>0.5</v>
      </c>
      <c r="H48" s="105">
        <v>5</v>
      </c>
      <c r="I48" s="105">
        <v>10.625</v>
      </c>
      <c r="J48" s="105">
        <v>0.28899999999999998</v>
      </c>
      <c r="K48" s="108">
        <f t="shared" si="19"/>
        <v>7.6765624999999993</v>
      </c>
      <c r="L48" s="108" t="s">
        <v>92</v>
      </c>
      <c r="M48" s="108">
        <f t="shared" si="14"/>
        <v>7.6765624999999993</v>
      </c>
      <c r="N48" s="108">
        <f t="shared" si="15"/>
        <v>7.6765624999999993</v>
      </c>
      <c r="O48" s="108">
        <f t="shared" si="16"/>
        <v>7.6765624999999993</v>
      </c>
      <c r="P48" s="1105" cm="1">
        <f t="array" ref="P48">_xlfn.XLOOKUP(B48,MET_PRICE[[#All],[Part Number]],MET_PRICE[[#All],[Price ($/lb) Domestic]])</f>
        <v>3.15</v>
      </c>
      <c r="Q48" s="1105">
        <f t="shared" si="17"/>
        <v>24.181171874999997</v>
      </c>
      <c r="R48" s="1105">
        <f t="shared" si="18"/>
        <v>24.181171874999997</v>
      </c>
    </row>
    <row r="49" spans="1:23" outlineLevel="1">
      <c r="A49" s="84">
        <v>1</v>
      </c>
      <c r="B49" s="84" cm="1">
        <f t="array" ref="B49">_xlfn.XLOOKUP(G49,SM_TBL[[#All],[Thickness]],SM_TBL[[#All],[MoC_PN]])</f>
        <v>101963</v>
      </c>
      <c r="C49" s="1658" t="s">
        <v>1038</v>
      </c>
      <c r="D49" s="1658"/>
      <c r="E49" s="1658"/>
      <c r="F49" s="85" t="s">
        <v>1005</v>
      </c>
      <c r="G49" s="84">
        <v>0.25</v>
      </c>
      <c r="H49" s="84">
        <v>2.5</v>
      </c>
      <c r="I49" s="84">
        <v>10.78</v>
      </c>
      <c r="J49" s="84">
        <v>0.28899999999999998</v>
      </c>
      <c r="K49" s="86">
        <f t="shared" si="19"/>
        <v>1.9471374999999997</v>
      </c>
      <c r="L49" s="86" t="s">
        <v>92</v>
      </c>
      <c r="M49" s="86">
        <f t="shared" si="14"/>
        <v>1.9471374999999997</v>
      </c>
      <c r="N49" s="86">
        <f t="shared" si="15"/>
        <v>1.9471374999999997</v>
      </c>
      <c r="O49" s="86">
        <f t="shared" si="16"/>
        <v>1.9471374999999997</v>
      </c>
      <c r="P49" s="1098" cm="1">
        <f t="array" ref="P49">_xlfn.XLOOKUP(B49,MET_PRICE[[#All],[Part Number]],MET_PRICE[[#All],[Price ($/lb) Domestic]])</f>
        <v>2.65</v>
      </c>
      <c r="Q49" s="1098">
        <f t="shared" si="17"/>
        <v>5.1599143749999987</v>
      </c>
      <c r="R49" s="1098">
        <f t="shared" si="18"/>
        <v>5.1599143749999987</v>
      </c>
    </row>
    <row r="50" spans="1:23" outlineLevel="1">
      <c r="A50" s="105">
        <v>1</v>
      </c>
      <c r="B50" s="105" t="e" cm="1">
        <f t="array" ref="B50">_xlfn.XLOOKUP(HSD,R_BAR[[#All],[Diameter]],R_BAR[[#All],[MoC_PN]])</f>
        <v>#N/A</v>
      </c>
      <c r="C50" s="1653" t="s">
        <v>1010</v>
      </c>
      <c r="D50" s="1653"/>
      <c r="E50" s="1653"/>
      <c r="F50" s="111" t="s">
        <v>1005</v>
      </c>
      <c r="G50" s="917">
        <v>2.9375</v>
      </c>
      <c r="H50" s="105" t="s">
        <v>1011</v>
      </c>
      <c r="I50" s="112" t="str">
        <f>IF(T1=18,48-6,IF(T1=24,48,IF(T1=30,48+6,IF(T1=36,48+12,IF(T1=48,48+24,"N/A")))))</f>
        <v>N/A</v>
      </c>
      <c r="J50" s="105">
        <v>1.92</v>
      </c>
      <c r="K50" s="108" t="e">
        <f>I50/12</f>
        <v>#VALUE!</v>
      </c>
      <c r="L50" s="1106" t="s">
        <v>28</v>
      </c>
      <c r="M50" s="108" t="e">
        <f t="shared" si="14"/>
        <v>#VALUE!</v>
      </c>
      <c r="N50" s="108" t="e">
        <f t="shared" si="15"/>
        <v>#VALUE!</v>
      </c>
      <c r="O50" s="108" t="e">
        <f t="shared" si="16"/>
        <v>#VALUE!</v>
      </c>
      <c r="P50" s="1100" t="e" cm="1">
        <f t="array" ref="P50">_xlfn.XLOOKUP(B50,RAW_100[[#All],[PartNum]],RAW_100[[#All],[UnitCost]])</f>
        <v>#N/A</v>
      </c>
      <c r="Q50" s="1105" t="e">
        <f t="shared" si="17"/>
        <v>#VALUE!</v>
      </c>
      <c r="R50" s="1105" t="e">
        <f t="shared" si="18"/>
        <v>#VALUE!</v>
      </c>
    </row>
    <row r="51" spans="1:23" outlineLevel="1">
      <c r="A51" s="84">
        <v>4</v>
      </c>
      <c r="B51" s="84" cm="1">
        <f t="array" ref="B51">_xlfn.XLOOKUP(G51,SM_TBL[[#All],[Thickness]],SM_TBL[[#All],[MoC_PN]])</f>
        <v>101963</v>
      </c>
      <c r="C51" s="1658" t="s">
        <v>1012</v>
      </c>
      <c r="D51" s="1658"/>
      <c r="E51" s="1658"/>
      <c r="F51" s="85" t="s">
        <v>1005</v>
      </c>
      <c r="G51" s="84">
        <v>0.25</v>
      </c>
      <c r="H51" s="84">
        <v>5.15</v>
      </c>
      <c r="I51" s="84">
        <v>33.130000000000003</v>
      </c>
      <c r="J51" s="84">
        <v>0.28899999999999998</v>
      </c>
      <c r="K51" s="86">
        <f>G51*H51*I51*J51</f>
        <v>12.327258875</v>
      </c>
      <c r="L51" s="86" t="s">
        <v>92</v>
      </c>
      <c r="M51" s="86">
        <f t="shared" si="14"/>
        <v>49.3090355</v>
      </c>
      <c r="N51" s="86">
        <f t="shared" si="15"/>
        <v>49.3090355</v>
      </c>
      <c r="O51" s="86">
        <f t="shared" si="16"/>
        <v>49.3090355</v>
      </c>
      <c r="P51" s="1098" cm="1">
        <f t="array" ref="P51">_xlfn.XLOOKUP(B51,MET_PRICE[[#All],[Part Number]],MET_PRICE[[#All],[Price ($/lb) Domestic]])</f>
        <v>2.65</v>
      </c>
      <c r="Q51" s="1098">
        <f t="shared" si="17"/>
        <v>130.66894407499998</v>
      </c>
      <c r="R51" s="1098">
        <f t="shared" si="18"/>
        <v>130.66894407499998</v>
      </c>
    </row>
    <row r="52" spans="1:23" outlineLevel="1">
      <c r="A52" s="105">
        <v>1</v>
      </c>
      <c r="B52" s="105">
        <f>'MATERIAL COST'!F84</f>
        <v>104755</v>
      </c>
      <c r="C52" s="1664" t="s">
        <v>1039</v>
      </c>
      <c r="D52" s="1665"/>
      <c r="E52" s="1665"/>
      <c r="F52" s="1107" t="s">
        <v>1005</v>
      </c>
      <c r="G52" s="105">
        <v>0.625</v>
      </c>
      <c r="H52" s="105" t="s">
        <v>1011</v>
      </c>
      <c r="I52" s="105">
        <v>3.8125</v>
      </c>
      <c r="J52" s="105"/>
      <c r="K52" s="108">
        <f>I52/12</f>
        <v>0.31770833333333331</v>
      </c>
      <c r="L52" s="1107" t="s">
        <v>28</v>
      </c>
      <c r="M52" s="108">
        <f t="shared" si="14"/>
        <v>0.31770833333333331</v>
      </c>
      <c r="N52" s="108">
        <f t="shared" si="15"/>
        <v>0.31770833333333331</v>
      </c>
      <c r="O52" s="108">
        <f t="shared" si="16"/>
        <v>0.31770833333333331</v>
      </c>
      <c r="P52" s="1105" cm="1">
        <f t="array" ref="P52">_xlfn.XLOOKUP(B52,RAW_100[[#All],[PartNum]],RAW_100[[#All],[UnitCost]])</f>
        <v>6.3</v>
      </c>
      <c r="Q52" s="1105">
        <f t="shared" si="17"/>
        <v>2.0015624999999999</v>
      </c>
      <c r="R52" s="1105">
        <f t="shared" si="18"/>
        <v>2.0015624999999999</v>
      </c>
    </row>
    <row r="53" spans="1:23" outlineLevel="1">
      <c r="A53" s="84">
        <v>2</v>
      </c>
      <c r="B53" s="1101">
        <v>501070</v>
      </c>
      <c r="C53" s="1649" t="s">
        <v>1013</v>
      </c>
      <c r="D53" s="1649"/>
      <c r="E53" s="1649"/>
      <c r="F53" s="84" t="s">
        <v>911</v>
      </c>
      <c r="G53" s="84"/>
      <c r="H53" s="84"/>
      <c r="I53" s="84"/>
      <c r="J53" s="84"/>
      <c r="K53" s="86">
        <v>1</v>
      </c>
      <c r="L53" s="1102" t="s">
        <v>1014</v>
      </c>
      <c r="M53" s="86">
        <f t="shared" si="14"/>
        <v>2</v>
      </c>
      <c r="N53" s="86">
        <f t="shared" si="15"/>
        <v>2</v>
      </c>
      <c r="O53" s="86">
        <f t="shared" si="16"/>
        <v>2</v>
      </c>
      <c r="P53" s="1098" cm="1">
        <f t="array" ref="P53">_xlfn.XLOOKUP(B53,PP_COST[[#All],[PART NUMBER]],PP_COST[[#All],[UNIT COST]])</f>
        <v>12.81</v>
      </c>
      <c r="Q53" s="1098">
        <f t="shared" si="17"/>
        <v>25.62</v>
      </c>
      <c r="R53" s="1098">
        <f t="shared" si="18"/>
        <v>25.62</v>
      </c>
    </row>
    <row r="54" spans="1:23" outlineLevel="1">
      <c r="A54" s="105">
        <v>6</v>
      </c>
      <c r="B54" s="1107" t="s">
        <v>872</v>
      </c>
      <c r="C54" s="1666" t="s">
        <v>1040</v>
      </c>
      <c r="D54" s="1666"/>
      <c r="E54" s="1666"/>
      <c r="F54" s="105" t="s">
        <v>911</v>
      </c>
      <c r="G54" s="105" t="s">
        <v>824</v>
      </c>
      <c r="H54" s="105"/>
      <c r="I54" s="105"/>
      <c r="J54" s="105"/>
      <c r="K54" s="108">
        <v>1</v>
      </c>
      <c r="L54" s="105" t="s">
        <v>1014</v>
      </c>
      <c r="M54" s="108">
        <f t="shared" si="14"/>
        <v>6</v>
      </c>
      <c r="N54" s="108">
        <f t="shared" si="15"/>
        <v>6</v>
      </c>
      <c r="O54" s="108">
        <f t="shared" si="16"/>
        <v>6</v>
      </c>
      <c r="P54" s="1105" cm="1">
        <f t="array" ref="P54">_xlfn.XLOOKUP(B54,HW_COST[[#All],[PART NUMBER]],HW_COST[[#All],[UNIT COST]])</f>
        <v>1.7</v>
      </c>
      <c r="Q54" s="1105">
        <f t="shared" si="17"/>
        <v>10.199999999999999</v>
      </c>
      <c r="R54" s="1105">
        <f t="shared" si="18"/>
        <v>10.199999999999999</v>
      </c>
    </row>
    <row r="55" spans="1:23" outlineLevel="1">
      <c r="A55" s="84">
        <v>6</v>
      </c>
      <c r="B55" s="1102" t="s">
        <v>858</v>
      </c>
      <c r="C55" s="1648" t="s">
        <v>858</v>
      </c>
      <c r="D55" s="1649"/>
      <c r="E55" s="1649"/>
      <c r="F55" s="84" t="s">
        <v>911</v>
      </c>
      <c r="G55" s="84" t="s">
        <v>824</v>
      </c>
      <c r="H55" s="84"/>
      <c r="I55" s="84"/>
      <c r="J55" s="84"/>
      <c r="K55" s="86">
        <v>1</v>
      </c>
      <c r="L55" s="84" t="s">
        <v>1014</v>
      </c>
      <c r="M55" s="86">
        <f t="shared" si="14"/>
        <v>6</v>
      </c>
      <c r="N55" s="86">
        <f t="shared" si="15"/>
        <v>6</v>
      </c>
      <c r="O55" s="86">
        <f t="shared" si="16"/>
        <v>6</v>
      </c>
      <c r="P55" s="1098" cm="1">
        <f t="array" ref="P55">_xlfn.XLOOKUP(B55,HW_COST[[#All],[PART NUMBER]],HW_COST[[#All],[UNIT COST]])</f>
        <v>3.2113</v>
      </c>
      <c r="Q55" s="1098">
        <f t="shared" si="17"/>
        <v>19.267800000000001</v>
      </c>
      <c r="R55" s="1098">
        <f t="shared" si="18"/>
        <v>19.267800000000001</v>
      </c>
    </row>
    <row r="56" spans="1:23" outlineLevel="1">
      <c r="A56" s="105">
        <v>12</v>
      </c>
      <c r="B56" s="1107" t="s">
        <v>856</v>
      </c>
      <c r="C56" s="1667" t="s">
        <v>856</v>
      </c>
      <c r="D56" s="1666"/>
      <c r="E56" s="1666"/>
      <c r="F56" s="105" t="s">
        <v>911</v>
      </c>
      <c r="G56" s="105" t="s">
        <v>824</v>
      </c>
      <c r="H56" s="105"/>
      <c r="I56" s="105"/>
      <c r="J56" s="105"/>
      <c r="K56" s="108">
        <v>1</v>
      </c>
      <c r="L56" s="105" t="s">
        <v>1014</v>
      </c>
      <c r="M56" s="108">
        <f t="shared" si="14"/>
        <v>12</v>
      </c>
      <c r="N56" s="108">
        <f t="shared" si="15"/>
        <v>12</v>
      </c>
      <c r="O56" s="108">
        <f t="shared" si="16"/>
        <v>12</v>
      </c>
      <c r="P56" s="1105" cm="1">
        <f t="array" ref="P56">_xlfn.XLOOKUP(B56,HW_COST[[#All],[PART NUMBER]],HW_COST[[#All],[UNIT COST]])</f>
        <v>2.83</v>
      </c>
      <c r="Q56" s="1105">
        <f t="shared" si="17"/>
        <v>33.96</v>
      </c>
      <c r="R56" s="1105">
        <f t="shared" si="18"/>
        <v>33.96</v>
      </c>
    </row>
    <row r="57" spans="1:23" outlineLevel="1">
      <c r="A57" s="84">
        <v>4</v>
      </c>
      <c r="B57" s="1102" t="s">
        <v>852</v>
      </c>
      <c r="C57" s="1648" t="s">
        <v>852</v>
      </c>
      <c r="D57" s="1649"/>
      <c r="E57" s="1649"/>
      <c r="F57" s="84" t="s">
        <v>911</v>
      </c>
      <c r="G57" s="84" t="s">
        <v>824</v>
      </c>
      <c r="H57" s="84"/>
      <c r="I57" s="84"/>
      <c r="J57" s="84"/>
      <c r="K57" s="86">
        <v>1</v>
      </c>
      <c r="L57" s="84" t="s">
        <v>1014</v>
      </c>
      <c r="M57" s="86">
        <f t="shared" si="14"/>
        <v>4</v>
      </c>
      <c r="N57" s="86">
        <f t="shared" si="15"/>
        <v>4</v>
      </c>
      <c r="O57" s="86">
        <f t="shared" si="16"/>
        <v>4</v>
      </c>
      <c r="P57" s="1098" cm="1">
        <f t="array" ref="P57">_xlfn.XLOOKUP(B57,HW_COST[[#All],[PART NUMBER]],HW_COST[[#All],[UNIT COST]])</f>
        <v>1.58</v>
      </c>
      <c r="Q57" s="1098">
        <f t="shared" si="17"/>
        <v>6.32</v>
      </c>
      <c r="R57" s="1098">
        <f t="shared" si="18"/>
        <v>6.32</v>
      </c>
    </row>
    <row r="58" spans="1:23" outlineLevel="1">
      <c r="A58" s="105">
        <v>6</v>
      </c>
      <c r="B58" s="1107" t="s">
        <v>844</v>
      </c>
      <c r="C58" s="1667" t="s">
        <v>1016</v>
      </c>
      <c r="D58" s="1666"/>
      <c r="E58" s="1666"/>
      <c r="F58" s="105" t="s">
        <v>911</v>
      </c>
      <c r="G58" s="105" t="s">
        <v>824</v>
      </c>
      <c r="H58" s="105"/>
      <c r="I58" s="105"/>
      <c r="J58" s="105"/>
      <c r="K58" s="108">
        <v>1</v>
      </c>
      <c r="L58" s="105" t="s">
        <v>1014</v>
      </c>
      <c r="M58" s="108">
        <f t="shared" si="14"/>
        <v>6</v>
      </c>
      <c r="N58" s="108">
        <f t="shared" si="15"/>
        <v>6</v>
      </c>
      <c r="O58" s="108">
        <f t="shared" si="16"/>
        <v>6</v>
      </c>
      <c r="P58" s="1105" cm="1">
        <f t="array" ref="P58">_xlfn.XLOOKUP(B58,HW_COST[[#All],[PART NUMBER]],HW_COST[[#All],[UNIT COST]])</f>
        <v>0.60419999999999996</v>
      </c>
      <c r="Q58" s="1105">
        <f t="shared" si="17"/>
        <v>3.6251999999999995</v>
      </c>
      <c r="R58" s="1105">
        <f t="shared" si="18"/>
        <v>3.6251999999999995</v>
      </c>
    </row>
    <row r="59" spans="1:23" outlineLevel="1">
      <c r="A59" s="84"/>
      <c r="B59" s="84"/>
      <c r="C59" s="1652" t="s">
        <v>920</v>
      </c>
      <c r="D59" s="1652"/>
      <c r="E59" s="1652"/>
      <c r="F59" s="84"/>
      <c r="G59" s="84">
        <v>30</v>
      </c>
      <c r="H59" s="84" t="s">
        <v>1017</v>
      </c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23">
      <c r="A60" s="113"/>
      <c r="B60" s="113"/>
      <c r="C60" s="114" t="s">
        <v>911</v>
      </c>
      <c r="D60" s="115">
        <f>SUMIF($F38:$F58,C60,$R38:$R58)</f>
        <v>98.992999999999995</v>
      </c>
      <c r="E60" s="114" t="s">
        <v>1005</v>
      </c>
      <c r="F60" s="115" t="e">
        <f>SUMIF($F38:$F58,E60,$R38:$R58)</f>
        <v>#VALUE!</v>
      </c>
      <c r="G60" s="113"/>
      <c r="H60" s="114" t="s">
        <v>914</v>
      </c>
      <c r="I60" s="115">
        <f>SUMIF($F38:$F58,H60,$R38:$R58)</f>
        <v>0</v>
      </c>
      <c r="J60" s="113"/>
      <c r="K60" s="113"/>
      <c r="L60" s="113"/>
      <c r="M60" s="113"/>
      <c r="N60" s="113" t="s">
        <v>1018</v>
      </c>
      <c r="O60" s="109" t="e">
        <f>SUM(O38:O59)</f>
        <v>#VALUE!</v>
      </c>
      <c r="P60" s="116" t="s">
        <v>1019</v>
      </c>
      <c r="Q60" s="116"/>
      <c r="R60" s="1105" t="e">
        <f>SUM(R38:R59)</f>
        <v>#VALUE!</v>
      </c>
    </row>
    <row r="61" spans="1:23" ht="15.75" thickBot="1"/>
    <row r="62" spans="1:23" ht="15.75" thickBot="1">
      <c r="A62" s="354" t="s">
        <v>1041</v>
      </c>
      <c r="B62" s="355"/>
      <c r="C62" s="355"/>
      <c r="D62" s="355"/>
      <c r="E62" s="355"/>
      <c r="F62" s="355"/>
      <c r="G62" s="355"/>
      <c r="H62" s="355"/>
      <c r="I62" s="355"/>
      <c r="J62" s="355"/>
      <c r="K62" s="355"/>
      <c r="L62" s="355"/>
      <c r="M62" s="355"/>
      <c r="N62" s="355"/>
      <c r="O62" s="355"/>
      <c r="P62" s="355"/>
      <c r="Q62" s="355"/>
      <c r="R62" s="355"/>
      <c r="S62" s="97">
        <v>1</v>
      </c>
      <c r="T62" s="98" t="e">
        <f>F76*S62</f>
        <v>#VALUE!</v>
      </c>
      <c r="U62" s="99">
        <f>G75*S62</f>
        <v>8</v>
      </c>
      <c r="V62" s="98">
        <f>D76*S62</f>
        <v>49.452299999999994</v>
      </c>
      <c r="W62" s="98">
        <f>I76*S62</f>
        <v>0</v>
      </c>
    </row>
    <row r="63" spans="1:23" outlineLevel="1">
      <c r="A63" s="105">
        <v>1</v>
      </c>
      <c r="B63" s="105" cm="1">
        <f t="array" ref="B63">_xlfn.XLOOKUP(G63,SM_TBL[[#All],[Thickness]],SM_TBL[[#All],[MoC_PN]])</f>
        <v>101872</v>
      </c>
      <c r="C63" s="1663" t="s">
        <v>1021</v>
      </c>
      <c r="D63" s="1663"/>
      <c r="E63" s="1663"/>
      <c r="F63" s="106" t="s">
        <v>1005</v>
      </c>
      <c r="G63" s="107">
        <v>5.9499999999999997E-2</v>
      </c>
      <c r="H63" s="117" t="str">
        <f>IF(T1=18,20-6,IF(T1=24,20,IF(T1=30,20+6,IF(T1=36,20+12,IF(T1=48,20+24,"N/A")))))</f>
        <v>N/A</v>
      </c>
      <c r="I63" s="107">
        <v>22</v>
      </c>
      <c r="J63" s="105">
        <v>0.28899999999999998</v>
      </c>
      <c r="K63" s="108" t="e">
        <f>G63*H63*I63*J63</f>
        <v>#VALUE!</v>
      </c>
      <c r="L63" s="108" t="s">
        <v>92</v>
      </c>
      <c r="M63" s="108" t="e">
        <f>A63*K63</f>
        <v>#VALUE!</v>
      </c>
      <c r="N63" s="108" t="e">
        <f>S$62*M63</f>
        <v>#VALUE!</v>
      </c>
      <c r="O63" s="109" t="e">
        <f t="shared" ref="O63:O70" si="20">M63</f>
        <v>#VALUE!</v>
      </c>
      <c r="P63" s="1105" cm="1">
        <f t="array" ref="P63">_xlfn.XLOOKUP(B63,MET_PRICE[[#All],[Part Number]],MET_PRICE[[#All],[Price ($/lb) Domestic]])</f>
        <v>2.9</v>
      </c>
      <c r="Q63" s="1105" t="e">
        <f>M63*P63</f>
        <v>#VALUE!</v>
      </c>
      <c r="R63" s="1105" t="e">
        <f>N63*P63</f>
        <v>#VALUE!</v>
      </c>
    </row>
    <row r="64" spans="1:23" outlineLevel="1">
      <c r="A64" s="84">
        <v>1</v>
      </c>
      <c r="B64" s="84" cm="1">
        <f t="array" ref="B64">_xlfn.XLOOKUP(G64,SM_TBL[[#All],[Thickness]],SM_TBL[[#All],[MoC_PN]])</f>
        <v>101872</v>
      </c>
      <c r="C64" s="1658" t="s">
        <v>1022</v>
      </c>
      <c r="D64" s="1658"/>
      <c r="E64" s="1658"/>
      <c r="F64" s="85" t="s">
        <v>1005</v>
      </c>
      <c r="G64" s="84">
        <v>5.9499999999999997E-2</v>
      </c>
      <c r="H64" s="84">
        <v>1</v>
      </c>
      <c r="I64" s="84">
        <v>12</v>
      </c>
      <c r="J64" s="84">
        <v>0.28899999999999998</v>
      </c>
      <c r="K64" s="86">
        <f t="shared" ref="K64:K70" si="21">G64*H64*I64*J64</f>
        <v>0.20634599999999997</v>
      </c>
      <c r="L64" s="86" t="s">
        <v>92</v>
      </c>
      <c r="M64" s="86">
        <f t="shared" ref="M64:M74" si="22">A64*K64</f>
        <v>0.20634599999999997</v>
      </c>
      <c r="N64" s="86">
        <f t="shared" ref="N64:N74" si="23">S$62*M64</f>
        <v>0.20634599999999997</v>
      </c>
      <c r="O64" s="87">
        <f t="shared" si="20"/>
        <v>0.20634599999999997</v>
      </c>
      <c r="P64" s="1098" cm="1">
        <f t="array" ref="P64">_xlfn.XLOOKUP(B64,MET_PRICE[[#All],[Part Number]],MET_PRICE[[#All],[Price ($/lb) Domestic]])</f>
        <v>2.9</v>
      </c>
      <c r="Q64" s="1098">
        <f t="shared" ref="Q64:Q74" si="24">M64*P64</f>
        <v>0.59840339999999992</v>
      </c>
      <c r="R64" s="1098">
        <f t="shared" ref="R64:R74" si="25">N64*P64</f>
        <v>0.59840339999999992</v>
      </c>
    </row>
    <row r="65" spans="1:23" outlineLevel="1">
      <c r="A65" s="105">
        <v>1</v>
      </c>
      <c r="B65" s="105" cm="1">
        <f t="array" ref="B65">_xlfn.XLOOKUP(G65,SM_TBL[[#All],[Thickness]],SM_TBL[[#All],[MoC_PN]])</f>
        <v>101872</v>
      </c>
      <c r="C65" s="1662" t="s">
        <v>1042</v>
      </c>
      <c r="D65" s="1662"/>
      <c r="E65" s="1662"/>
      <c r="F65" s="111" t="s">
        <v>1005</v>
      </c>
      <c r="G65" s="105">
        <v>5.9499999999999997E-2</v>
      </c>
      <c r="H65" s="105">
        <v>36</v>
      </c>
      <c r="I65" s="105">
        <v>36.5</v>
      </c>
      <c r="J65" s="105">
        <v>0.28899999999999998</v>
      </c>
      <c r="K65" s="108">
        <f t="shared" si="21"/>
        <v>22.594886999999996</v>
      </c>
      <c r="L65" s="108" t="s">
        <v>92</v>
      </c>
      <c r="M65" s="108">
        <f t="shared" si="22"/>
        <v>22.594886999999996</v>
      </c>
      <c r="N65" s="108">
        <f t="shared" si="23"/>
        <v>22.594886999999996</v>
      </c>
      <c r="O65" s="109">
        <f t="shared" si="20"/>
        <v>22.594886999999996</v>
      </c>
      <c r="P65" s="1105" cm="1">
        <f t="array" ref="P65">_xlfn.XLOOKUP(B65,MET_PRICE[[#All],[Part Number]],MET_PRICE[[#All],[Price ($/lb) Domestic]])</f>
        <v>2.9</v>
      </c>
      <c r="Q65" s="1105">
        <f t="shared" si="24"/>
        <v>65.525172299999994</v>
      </c>
      <c r="R65" s="1105">
        <f t="shared" si="25"/>
        <v>65.525172299999994</v>
      </c>
    </row>
    <row r="66" spans="1:23" outlineLevel="1">
      <c r="A66" s="84">
        <v>1</v>
      </c>
      <c r="B66" s="84" cm="1">
        <f t="array" ref="B66">_xlfn.XLOOKUP(G66,SM_TBL[[#All],[Thickness]],SM_TBL[[#All],[MoC_PN]])</f>
        <v>101872</v>
      </c>
      <c r="C66" s="1658" t="s">
        <v>1043</v>
      </c>
      <c r="D66" s="1658"/>
      <c r="E66" s="1658"/>
      <c r="F66" s="85" t="s">
        <v>1005</v>
      </c>
      <c r="G66" s="84">
        <v>5.9499999999999997E-2</v>
      </c>
      <c r="H66" s="84">
        <v>36</v>
      </c>
      <c r="I66" s="84">
        <v>36.5</v>
      </c>
      <c r="J66" s="84">
        <v>0.28899999999999998</v>
      </c>
      <c r="K66" s="86">
        <f t="shared" si="21"/>
        <v>22.594886999999996</v>
      </c>
      <c r="L66" s="86" t="s">
        <v>92</v>
      </c>
      <c r="M66" s="86">
        <f t="shared" si="22"/>
        <v>22.594886999999996</v>
      </c>
      <c r="N66" s="86">
        <f t="shared" si="23"/>
        <v>22.594886999999996</v>
      </c>
      <c r="O66" s="87">
        <f t="shared" si="20"/>
        <v>22.594886999999996</v>
      </c>
      <c r="P66" s="1098" cm="1">
        <f t="array" ref="P66">_xlfn.XLOOKUP(B66,MET_PRICE[[#All],[Part Number]],MET_PRICE[[#All],[Price ($/lb) Domestic]])</f>
        <v>2.9</v>
      </c>
      <c r="Q66" s="1098">
        <f t="shared" si="24"/>
        <v>65.525172299999994</v>
      </c>
      <c r="R66" s="1098">
        <f t="shared" si="25"/>
        <v>65.525172299999994</v>
      </c>
    </row>
    <row r="67" spans="1:23" outlineLevel="1">
      <c r="A67" s="105">
        <v>1</v>
      </c>
      <c r="B67" s="105" cm="1">
        <f t="array" ref="B67">_xlfn.XLOOKUP(G67,SM_TBL[[#All],[Thickness]],SM_TBL[[#All],[MoC_PN]])</f>
        <v>101872</v>
      </c>
      <c r="C67" s="1662" t="s">
        <v>1044</v>
      </c>
      <c r="D67" s="1662"/>
      <c r="E67" s="1662"/>
      <c r="F67" s="111" t="s">
        <v>1005</v>
      </c>
      <c r="G67" s="105">
        <v>5.9499999999999997E-2</v>
      </c>
      <c r="H67" s="112" t="str">
        <f>IF(T1=18,34.5-6,IF(T1=24,34.5,IF(T1=30,34.5+6,IF(T1=36,34.5+12,IF(T1=48,34.5+24,"N/A")))))</f>
        <v>N/A</v>
      </c>
      <c r="I67" s="105">
        <v>57.625</v>
      </c>
      <c r="J67" s="105">
        <v>0.28899999999999998</v>
      </c>
      <c r="K67" s="108" t="e">
        <f t="shared" si="21"/>
        <v>#VALUE!</v>
      </c>
      <c r="L67" s="108" t="s">
        <v>92</v>
      </c>
      <c r="M67" s="108" t="e">
        <f t="shared" si="22"/>
        <v>#VALUE!</v>
      </c>
      <c r="N67" s="108" t="e">
        <f t="shared" si="23"/>
        <v>#VALUE!</v>
      </c>
      <c r="O67" s="109" t="e">
        <f t="shared" si="20"/>
        <v>#VALUE!</v>
      </c>
      <c r="P67" s="1105" cm="1">
        <f t="array" ref="P67">_xlfn.XLOOKUP(B67,MET_PRICE[[#All],[Part Number]],MET_PRICE[[#All],[Price ($/lb) Domestic]])</f>
        <v>2.9</v>
      </c>
      <c r="Q67" s="1105" t="e">
        <f t="shared" si="24"/>
        <v>#VALUE!</v>
      </c>
      <c r="R67" s="1105" t="e">
        <f t="shared" si="25"/>
        <v>#VALUE!</v>
      </c>
    </row>
    <row r="68" spans="1:23" outlineLevel="1">
      <c r="A68" s="84">
        <v>1</v>
      </c>
      <c r="B68" s="84" cm="1">
        <f t="array" ref="B68">_xlfn.XLOOKUP(G68,SM_TBL[[#All],[Thickness]],SM_TBL[[#All],[MoC_PN]])</f>
        <v>101871</v>
      </c>
      <c r="C68" s="1658" t="s">
        <v>1045</v>
      </c>
      <c r="D68" s="1658"/>
      <c r="E68" s="1658"/>
      <c r="F68" s="85" t="s">
        <v>1005</v>
      </c>
      <c r="G68" s="84">
        <v>7.51E-2</v>
      </c>
      <c r="H68" s="84">
        <v>18.5</v>
      </c>
      <c r="I68" s="84">
        <v>63.5</v>
      </c>
      <c r="J68" s="84">
        <v>0.28899999999999998</v>
      </c>
      <c r="K68" s="86">
        <f t="shared" si="21"/>
        <v>25.496656524999999</v>
      </c>
      <c r="L68" s="86" t="s">
        <v>92</v>
      </c>
      <c r="M68" s="86">
        <f t="shared" si="22"/>
        <v>25.496656524999999</v>
      </c>
      <c r="N68" s="86">
        <f t="shared" si="23"/>
        <v>25.496656524999999</v>
      </c>
      <c r="O68" s="87">
        <f t="shared" si="20"/>
        <v>25.496656524999999</v>
      </c>
      <c r="P68" s="1098" cm="1">
        <f t="array" ref="P68">_xlfn.XLOOKUP(B68,MET_PRICE[[#All],[Part Number]],MET_PRICE[[#All],[Price ($/lb) Domestic]])</f>
        <v>2.89</v>
      </c>
      <c r="Q68" s="1098">
        <f t="shared" si="24"/>
        <v>73.685337357250006</v>
      </c>
      <c r="R68" s="1098">
        <f t="shared" si="25"/>
        <v>73.685337357250006</v>
      </c>
    </row>
    <row r="69" spans="1:23" outlineLevel="1">
      <c r="A69" s="105">
        <v>1</v>
      </c>
      <c r="B69" s="105" cm="1">
        <f t="array" ref="B69">_xlfn.XLOOKUP(G69,SM_TBL[[#All],[Thickness]],SM_TBL[[#All],[MoC_PN]])</f>
        <v>101871</v>
      </c>
      <c r="C69" s="1662" t="s">
        <v>1046</v>
      </c>
      <c r="D69" s="1662"/>
      <c r="E69" s="1662"/>
      <c r="F69" s="111" t="s">
        <v>1005</v>
      </c>
      <c r="G69" s="105">
        <v>7.51E-2</v>
      </c>
      <c r="H69" s="105">
        <v>25.5</v>
      </c>
      <c r="I69" s="105">
        <v>65</v>
      </c>
      <c r="J69" s="105">
        <v>0.28899999999999998</v>
      </c>
      <c r="K69" s="108">
        <f t="shared" si="21"/>
        <v>35.974214249999996</v>
      </c>
      <c r="L69" s="108" t="s">
        <v>92</v>
      </c>
      <c r="M69" s="108">
        <f t="shared" si="22"/>
        <v>35.974214249999996</v>
      </c>
      <c r="N69" s="108">
        <f t="shared" si="23"/>
        <v>35.974214249999996</v>
      </c>
      <c r="O69" s="109">
        <f t="shared" si="20"/>
        <v>35.974214249999996</v>
      </c>
      <c r="P69" s="1105" cm="1">
        <f t="array" ref="P69">_xlfn.XLOOKUP(B69,MET_PRICE[[#All],[Part Number]],MET_PRICE[[#All],[Price ($/lb) Domestic]])</f>
        <v>2.89</v>
      </c>
      <c r="Q69" s="1105">
        <f t="shared" si="24"/>
        <v>103.96547918249999</v>
      </c>
      <c r="R69" s="1105">
        <f t="shared" si="25"/>
        <v>103.96547918249999</v>
      </c>
    </row>
    <row r="70" spans="1:23" outlineLevel="1">
      <c r="A70" s="84">
        <v>1</v>
      </c>
      <c r="B70" s="84" cm="1">
        <f t="array" ref="B70">_xlfn.XLOOKUP(G70,SM_TBL[[#All],[Thickness]],SM_TBL[[#All],[MoC_PN]])</f>
        <v>101871</v>
      </c>
      <c r="C70" s="1658" t="s">
        <v>1028</v>
      </c>
      <c r="D70" s="1658"/>
      <c r="E70" s="1658"/>
      <c r="F70" s="85" t="s">
        <v>1005</v>
      </c>
      <c r="G70" s="84">
        <v>7.51E-2</v>
      </c>
      <c r="H70" s="84">
        <v>2.5</v>
      </c>
      <c r="I70" s="84">
        <v>2.5</v>
      </c>
      <c r="J70" s="84">
        <v>0.28899999999999998</v>
      </c>
      <c r="K70" s="86">
        <f t="shared" si="21"/>
        <v>0.13564937499999999</v>
      </c>
      <c r="L70" s="86" t="s">
        <v>92</v>
      </c>
      <c r="M70" s="86">
        <f t="shared" si="22"/>
        <v>0.13564937499999999</v>
      </c>
      <c r="N70" s="86">
        <f t="shared" si="23"/>
        <v>0.13564937499999999</v>
      </c>
      <c r="O70" s="87">
        <f t="shared" si="20"/>
        <v>0.13564937499999999</v>
      </c>
      <c r="P70" s="1098" cm="1">
        <f t="array" ref="P70">_xlfn.XLOOKUP(B70,MET_PRICE[[#All],[Part Number]],MET_PRICE[[#All],[Price ($/lb) Domestic]])</f>
        <v>2.89</v>
      </c>
      <c r="Q70" s="1098">
        <f t="shared" si="24"/>
        <v>0.39202669374999999</v>
      </c>
      <c r="R70" s="1098">
        <f t="shared" si="25"/>
        <v>0.39202669374999999</v>
      </c>
    </row>
    <row r="71" spans="1:23" outlineLevel="1">
      <c r="A71" s="105">
        <v>1</v>
      </c>
      <c r="B71" s="105" t="s">
        <v>820</v>
      </c>
      <c r="C71" s="704" t="s">
        <v>1029</v>
      </c>
      <c r="D71" s="704"/>
      <c r="E71" s="704"/>
      <c r="F71" s="111" t="s">
        <v>911</v>
      </c>
      <c r="G71" s="105"/>
      <c r="H71" s="105"/>
      <c r="I71" s="105"/>
      <c r="J71" s="105"/>
      <c r="K71" s="108">
        <v>1</v>
      </c>
      <c r="L71" s="1106" t="s">
        <v>1014</v>
      </c>
      <c r="M71" s="108">
        <f t="shared" si="22"/>
        <v>1</v>
      </c>
      <c r="N71" s="108">
        <f t="shared" si="23"/>
        <v>1</v>
      </c>
      <c r="O71" s="109"/>
      <c r="P71" s="1105" cm="1">
        <f t="array" ref="P71">_xlfn.XLOOKUP(B71,PP_COST[[#All],[PART NUMBER]],PP_COST[[#All],[UNIT COST]])</f>
        <v>1.29</v>
      </c>
      <c r="Q71" s="1105">
        <f t="shared" si="24"/>
        <v>1.29</v>
      </c>
      <c r="R71" s="1105">
        <f t="shared" si="25"/>
        <v>1.29</v>
      </c>
    </row>
    <row r="72" spans="1:23" outlineLevel="1">
      <c r="A72" s="84">
        <v>1</v>
      </c>
      <c r="B72" s="84">
        <v>501100</v>
      </c>
      <c r="C72" s="703" t="s">
        <v>1030</v>
      </c>
      <c r="D72" s="703"/>
      <c r="E72" s="703"/>
      <c r="F72" s="85" t="s">
        <v>911</v>
      </c>
      <c r="G72" s="84"/>
      <c r="H72" s="84"/>
      <c r="I72" s="84"/>
      <c r="J72" s="84"/>
      <c r="K72" s="86">
        <v>1</v>
      </c>
      <c r="L72" s="86" t="s">
        <v>1014</v>
      </c>
      <c r="M72" s="86">
        <f t="shared" si="22"/>
        <v>1</v>
      </c>
      <c r="N72" s="86">
        <f t="shared" si="23"/>
        <v>1</v>
      </c>
      <c r="O72" s="87"/>
      <c r="P72" s="1098" cm="1">
        <f t="array" ref="P72">_xlfn.XLOOKUP(B72,PP_COST[[#All],[PART NUMBER]],PP_COST[[#All],[UNIT COST]])</f>
        <v>21.56</v>
      </c>
      <c r="Q72" s="1098">
        <f t="shared" si="24"/>
        <v>21.56</v>
      </c>
      <c r="R72" s="1098">
        <f t="shared" si="25"/>
        <v>21.56</v>
      </c>
    </row>
    <row r="73" spans="1:23" outlineLevel="1">
      <c r="A73" s="105">
        <v>12</v>
      </c>
      <c r="B73" s="105" t="s">
        <v>826</v>
      </c>
      <c r="C73" s="704" t="s">
        <v>1047</v>
      </c>
      <c r="D73" s="704"/>
      <c r="E73" s="704"/>
      <c r="F73" s="111" t="s">
        <v>911</v>
      </c>
      <c r="G73" s="105" t="s">
        <v>824</v>
      </c>
      <c r="H73" s="105"/>
      <c r="I73" s="105"/>
      <c r="J73" s="105"/>
      <c r="K73" s="108">
        <v>1</v>
      </c>
      <c r="L73" s="108" t="s">
        <v>1014</v>
      </c>
      <c r="M73" s="108">
        <f t="shared" si="22"/>
        <v>12</v>
      </c>
      <c r="N73" s="108">
        <f t="shared" si="23"/>
        <v>12</v>
      </c>
      <c r="O73" s="109"/>
      <c r="P73" s="1105" cm="1">
        <f t="array" ref="P73">_xlfn.XLOOKUP(B73,HW_COST[[#All],[PART NUMBER]],HW_COST[[#All],[UNIT COST]])</f>
        <v>0.22020000000000001</v>
      </c>
      <c r="Q73" s="1105">
        <f t="shared" si="24"/>
        <v>2.6424000000000003</v>
      </c>
      <c r="R73" s="1105">
        <f t="shared" si="25"/>
        <v>2.6424000000000003</v>
      </c>
    </row>
    <row r="74" spans="1:23" outlineLevel="1">
      <c r="A74" s="84">
        <v>31</v>
      </c>
      <c r="B74" s="84" t="s">
        <v>838</v>
      </c>
      <c r="C74" s="703" t="s">
        <v>838</v>
      </c>
      <c r="D74" s="703"/>
      <c r="E74" s="703"/>
      <c r="F74" s="85" t="s">
        <v>911</v>
      </c>
      <c r="G74" s="84" t="s">
        <v>824</v>
      </c>
      <c r="H74" s="84"/>
      <c r="I74" s="84"/>
      <c r="J74" s="84"/>
      <c r="K74" s="86">
        <v>1</v>
      </c>
      <c r="L74" s="86" t="s">
        <v>1014</v>
      </c>
      <c r="M74" s="86">
        <f t="shared" si="22"/>
        <v>31</v>
      </c>
      <c r="N74" s="86">
        <f t="shared" si="23"/>
        <v>31</v>
      </c>
      <c r="O74" s="87"/>
      <c r="P74" s="1098" cm="1">
        <f t="array" ref="P74">_xlfn.XLOOKUP(B74,HW_COST[[#All],[PART NUMBER]],HW_COST[[#All],[UNIT COST]])</f>
        <v>0.77290000000000003</v>
      </c>
      <c r="Q74" s="1098">
        <f t="shared" si="24"/>
        <v>23.959900000000001</v>
      </c>
      <c r="R74" s="1098">
        <f t="shared" si="25"/>
        <v>23.959900000000001</v>
      </c>
    </row>
    <row r="75" spans="1:23" outlineLevel="1">
      <c r="A75" s="113"/>
      <c r="B75" s="113"/>
      <c r="C75" s="114" t="s">
        <v>920</v>
      </c>
      <c r="D75" s="115"/>
      <c r="E75" s="114"/>
      <c r="F75" s="115"/>
      <c r="G75" s="113">
        <v>8</v>
      </c>
      <c r="H75" s="114" t="s">
        <v>1017</v>
      </c>
      <c r="I75" s="115"/>
      <c r="J75" s="113"/>
      <c r="K75" s="113"/>
      <c r="L75" s="113"/>
      <c r="M75" s="113"/>
      <c r="N75" s="113"/>
      <c r="O75" s="109"/>
      <c r="P75" s="116"/>
      <c r="Q75" s="116"/>
      <c r="R75" s="110"/>
    </row>
    <row r="76" spans="1:23">
      <c r="A76" s="84"/>
      <c r="B76" s="84"/>
      <c r="C76" s="85" t="s">
        <v>911</v>
      </c>
      <c r="D76" s="85">
        <f>SUMIF($F63:$F74,C76,$R63:$R74)</f>
        <v>49.452299999999994</v>
      </c>
      <c r="E76" s="85" t="s">
        <v>1005</v>
      </c>
      <c r="F76" s="85" t="e">
        <f>SUMIF($F63:$F74,E76,$R63:$R74)</f>
        <v>#VALUE!</v>
      </c>
      <c r="G76" s="84"/>
      <c r="H76" s="84" t="s">
        <v>914</v>
      </c>
      <c r="I76" s="84">
        <f>SUMIF($F63:$F74,H76,$R63:$R74)</f>
        <v>0</v>
      </c>
      <c r="J76" s="84"/>
      <c r="K76" s="86"/>
      <c r="L76" s="86"/>
      <c r="M76" s="86"/>
      <c r="N76" s="86" t="s">
        <v>1018</v>
      </c>
      <c r="O76" s="87" t="e">
        <f>SUM(O63:O75)</f>
        <v>#VALUE!</v>
      </c>
      <c r="P76" s="88" t="s">
        <v>1019</v>
      </c>
      <c r="Q76" s="88"/>
      <c r="R76" s="1098" t="e">
        <f>SUM(R63:R75)</f>
        <v>#VALUE!</v>
      </c>
    </row>
    <row r="77" spans="1:23" ht="15.75" thickBot="1"/>
    <row r="78" spans="1:23" ht="15.75" thickBot="1">
      <c r="A78" s="356" t="s">
        <v>1048</v>
      </c>
      <c r="B78" s="357"/>
      <c r="C78" s="357"/>
      <c r="D78" s="357"/>
      <c r="E78" s="357"/>
      <c r="F78" s="357"/>
      <c r="G78" s="357"/>
      <c r="H78" s="357"/>
      <c r="I78" s="357"/>
      <c r="J78" s="357"/>
      <c r="K78" s="357"/>
      <c r="L78" s="357"/>
      <c r="M78" s="357"/>
      <c r="N78" s="357"/>
      <c r="O78" s="357"/>
      <c r="P78" s="357"/>
      <c r="Q78" s="357"/>
      <c r="R78" s="357"/>
      <c r="S78" s="97">
        <v>1</v>
      </c>
      <c r="T78" s="98" t="e">
        <f>F84*S78</f>
        <v>#VALUE!</v>
      </c>
      <c r="U78" s="99">
        <f>G83*S78</f>
        <v>3</v>
      </c>
      <c r="V78" s="98">
        <f>D84*S78</f>
        <v>7.6580000000000004</v>
      </c>
      <c r="W78" s="98">
        <f>I84*S78</f>
        <v>0</v>
      </c>
    </row>
    <row r="79" spans="1:23" outlineLevel="1">
      <c r="A79" s="118">
        <v>1</v>
      </c>
      <c r="B79" s="118" cm="1">
        <f t="array" ref="B79">_xlfn.XLOOKUP(G79,SM_TBL[[#All],[Thickness]],SM_TBL[[#All],[MoC_PN]])</f>
        <v>101872</v>
      </c>
      <c r="C79" s="1670" t="s">
        <v>1049</v>
      </c>
      <c r="D79" s="1670"/>
      <c r="E79" s="1670"/>
      <c r="F79" s="119" t="s">
        <v>1005</v>
      </c>
      <c r="G79" s="120">
        <v>5.9499999999999997E-2</v>
      </c>
      <c r="H79" s="121" t="str">
        <f>IF(T1=18,35.5-6,IF(T1=24,35.5,IF(T1=30,35.5+6,IF(T1=36,35.5+12,IF(T1=48,35.5+24,"N/A")))))</f>
        <v>N/A</v>
      </c>
      <c r="I79" s="120">
        <v>27.5</v>
      </c>
      <c r="J79" s="118">
        <v>0.28899999999999998</v>
      </c>
      <c r="K79" s="122" t="e">
        <f>G79*H79*I79*J79</f>
        <v>#VALUE!</v>
      </c>
      <c r="L79" s="122" t="s">
        <v>92</v>
      </c>
      <c r="M79" s="122" t="e">
        <f>A79*K79</f>
        <v>#VALUE!</v>
      </c>
      <c r="N79" s="122" t="e">
        <f>S$78*M79</f>
        <v>#VALUE!</v>
      </c>
      <c r="O79" s="123" t="e">
        <f t="shared" ref="O79:O80" si="26">M79</f>
        <v>#VALUE!</v>
      </c>
      <c r="P79" s="1108" cm="1">
        <f t="array" ref="P79">_xlfn.XLOOKUP(B79,MET_PRICE[[#All],[Part Number]],MET_PRICE[[#All],[Price ($/lb) Domestic]])</f>
        <v>2.9</v>
      </c>
      <c r="Q79" s="1108" t="e">
        <f>M79*P79</f>
        <v>#VALUE!</v>
      </c>
      <c r="R79" s="1108" t="e">
        <f>N79*P79</f>
        <v>#VALUE!</v>
      </c>
    </row>
    <row r="80" spans="1:23" outlineLevel="1">
      <c r="A80" s="84">
        <v>1</v>
      </c>
      <c r="B80" s="84" cm="1">
        <f t="array" ref="B80">_xlfn.XLOOKUP(G80,SM_TBL[[#All],[Thickness]],SM_TBL[[#All],[MoC_PN]])</f>
        <v>101872</v>
      </c>
      <c r="C80" s="1671" t="s">
        <v>1050</v>
      </c>
      <c r="D80" s="1671"/>
      <c r="E80" s="1671"/>
      <c r="F80" s="85" t="s">
        <v>1005</v>
      </c>
      <c r="G80" s="84">
        <v>5.9499999999999997E-2</v>
      </c>
      <c r="H80" s="124" t="str">
        <f>IF(T1=18,35.5-6,IF(T1=24,35.5,IF(T1=30,35.5+6,IF(T1=36,35.5+12,IF(T1=48,35.5+24,"N/A")))))</f>
        <v>N/A</v>
      </c>
      <c r="I80" s="84">
        <v>16.5</v>
      </c>
      <c r="J80" s="84">
        <v>0.28899999999999998</v>
      </c>
      <c r="K80" s="86" t="e">
        <f t="shared" ref="K80:K81" si="27">G80*H80*I80*J80</f>
        <v>#VALUE!</v>
      </c>
      <c r="L80" s="86" t="s">
        <v>92</v>
      </c>
      <c r="M80" s="86" t="e">
        <f t="shared" ref="M80:M82" si="28">A80*K80</f>
        <v>#VALUE!</v>
      </c>
      <c r="N80" s="86" t="e">
        <f t="shared" ref="N80:N82" si="29">S$78*M80</f>
        <v>#VALUE!</v>
      </c>
      <c r="O80" s="87" t="e">
        <f t="shared" si="26"/>
        <v>#VALUE!</v>
      </c>
      <c r="P80" s="1098" cm="1">
        <f t="array" ref="P80">_xlfn.XLOOKUP(B80,MET_PRICE[[#All],[Part Number]],MET_PRICE[[#All],[Price ($/lb) Domestic]])</f>
        <v>2.9</v>
      </c>
      <c r="Q80" s="1098" t="e">
        <f t="shared" ref="Q80:Q82" si="30">M80*P80</f>
        <v>#VALUE!</v>
      </c>
      <c r="R80" s="1098" t="e">
        <f t="shared" ref="R80:R82" si="31">N80*P80</f>
        <v>#VALUE!</v>
      </c>
    </row>
    <row r="81" spans="1:23" outlineLevel="1">
      <c r="A81" s="118">
        <v>2</v>
      </c>
      <c r="B81" s="118" cm="1">
        <f t="array" ref="B81">_xlfn.XLOOKUP(G81,SM_TBL[[#All],[Thickness]],SM_TBL[[#All],[MoC_PN]])</f>
        <v>101872</v>
      </c>
      <c r="C81" s="1672" t="s">
        <v>1051</v>
      </c>
      <c r="D81" s="1672"/>
      <c r="E81" s="1672"/>
      <c r="F81" s="125" t="s">
        <v>1005</v>
      </c>
      <c r="G81" s="118">
        <v>5.9499999999999997E-2</v>
      </c>
      <c r="H81" s="118">
        <v>29.25</v>
      </c>
      <c r="I81" s="118">
        <v>37</v>
      </c>
      <c r="J81" s="118">
        <v>0.28899999999999998</v>
      </c>
      <c r="K81" s="122">
        <f t="shared" si="27"/>
        <v>18.609829874999996</v>
      </c>
      <c r="L81" s="122" t="s">
        <v>92</v>
      </c>
      <c r="M81" s="122">
        <f t="shared" si="28"/>
        <v>37.219659749999991</v>
      </c>
      <c r="N81" s="122">
        <f t="shared" si="29"/>
        <v>37.219659749999991</v>
      </c>
      <c r="O81" s="123">
        <f t="shared" ref="O81" si="32">N81*J81</f>
        <v>10.756481667749997</v>
      </c>
      <c r="P81" s="1108" cm="1">
        <f t="array" ref="P81">_xlfn.XLOOKUP(B81,MET_PRICE[[#All],[Part Number]],MET_PRICE[[#All],[Price ($/lb) Domestic]])</f>
        <v>2.9</v>
      </c>
      <c r="Q81" s="1108">
        <f t="shared" si="30"/>
        <v>107.93701327499997</v>
      </c>
      <c r="R81" s="1108">
        <f t="shared" si="31"/>
        <v>107.93701327499997</v>
      </c>
    </row>
    <row r="82" spans="1:23" outlineLevel="1">
      <c r="A82" s="84">
        <v>10</v>
      </c>
      <c r="B82" s="84" t="s">
        <v>840</v>
      </c>
      <c r="C82" s="1668" t="s">
        <v>840</v>
      </c>
      <c r="D82" s="1652"/>
      <c r="E82" s="1652"/>
      <c r="F82" s="84" t="s">
        <v>911</v>
      </c>
      <c r="G82" s="84" t="s">
        <v>824</v>
      </c>
      <c r="H82" s="84"/>
      <c r="I82" s="84"/>
      <c r="J82" s="84"/>
      <c r="K82" s="84">
        <v>1</v>
      </c>
      <c r="L82" s="1102" t="s">
        <v>1014</v>
      </c>
      <c r="M82" s="84">
        <f t="shared" si="28"/>
        <v>10</v>
      </c>
      <c r="N82" s="84">
        <f t="shared" si="29"/>
        <v>10</v>
      </c>
      <c r="O82" s="84"/>
      <c r="P82" s="1098" cm="1">
        <f t="array" ref="P82">_xlfn.XLOOKUP(B82,HW_COST[[#All],[PART NUMBER]],HW_COST[[#All],[UNIT COST]])</f>
        <v>0.76580000000000004</v>
      </c>
      <c r="Q82" s="1098">
        <f t="shared" si="30"/>
        <v>7.6580000000000004</v>
      </c>
      <c r="R82" s="1098">
        <f t="shared" si="31"/>
        <v>7.6580000000000004</v>
      </c>
    </row>
    <row r="83" spans="1:23" outlineLevel="1">
      <c r="A83" s="118"/>
      <c r="B83" s="118"/>
      <c r="C83" s="1669" t="s">
        <v>920</v>
      </c>
      <c r="D83" s="1669"/>
      <c r="E83" s="1669"/>
      <c r="F83" s="118"/>
      <c r="G83" s="118">
        <v>3</v>
      </c>
      <c r="H83" s="118" t="s">
        <v>1017</v>
      </c>
      <c r="I83" s="118"/>
      <c r="J83" s="118"/>
      <c r="K83" s="118"/>
      <c r="L83" s="118"/>
      <c r="M83" s="118"/>
      <c r="N83" s="118"/>
      <c r="O83" s="118"/>
      <c r="P83" s="118"/>
      <c r="Q83" s="118"/>
      <c r="R83" s="118"/>
    </row>
    <row r="84" spans="1:23" ht="15.75" thickBot="1">
      <c r="A84" s="101"/>
      <c r="B84" s="101"/>
      <c r="C84" s="102" t="s">
        <v>911</v>
      </c>
      <c r="D84" s="103">
        <f>SUMIF($F79:$F82,C84,$R79:$R82)</f>
        <v>7.6580000000000004</v>
      </c>
      <c r="E84" s="102" t="s">
        <v>1005</v>
      </c>
      <c r="F84" s="103" t="e">
        <f>SUMIF($F79:$F82,E84,$R79:$R82)</f>
        <v>#VALUE!</v>
      </c>
      <c r="G84" s="101"/>
      <c r="H84" s="102" t="s">
        <v>914</v>
      </c>
      <c r="I84" s="103">
        <f>SUMIF($F79:$F82,H84,$R79:$R82)</f>
        <v>0</v>
      </c>
      <c r="J84" s="101"/>
      <c r="K84" s="101"/>
      <c r="L84" s="101"/>
      <c r="M84" s="101"/>
      <c r="N84" s="101" t="s">
        <v>1018</v>
      </c>
      <c r="O84" s="87" t="e">
        <f>SUM(O79:O83)</f>
        <v>#VALUE!</v>
      </c>
      <c r="P84" s="104" t="s">
        <v>1019</v>
      </c>
      <c r="Q84" s="104"/>
      <c r="R84" s="1098" t="e">
        <f>SUM(R79:R83)</f>
        <v>#VALUE!</v>
      </c>
    </row>
    <row r="85" spans="1:23">
      <c r="S85" s="126"/>
      <c r="T85" s="127" t="s">
        <v>908</v>
      </c>
      <c r="U85" s="127" t="s">
        <v>920</v>
      </c>
      <c r="V85" s="127" t="s">
        <v>911</v>
      </c>
      <c r="W85" s="128" t="s">
        <v>914</v>
      </c>
    </row>
    <row r="86" spans="1:23" ht="15.75" thickBot="1">
      <c r="S86" s="129" t="s">
        <v>1052</v>
      </c>
      <c r="T86" s="130" t="e">
        <f>SUM(T4:T85)</f>
        <v>#VALUE!</v>
      </c>
      <c r="U86" s="271">
        <f>SUM(U4:U85)</f>
        <v>74</v>
      </c>
      <c r="V86" s="294">
        <f>SUM(V4:V85)</f>
        <v>297.74860000000001</v>
      </c>
      <c r="W86" s="131">
        <f>SUM(W4:W85)</f>
        <v>0</v>
      </c>
    </row>
    <row r="90" spans="1:23">
      <c r="B90" s="359" t="s">
        <v>1053</v>
      </c>
    </row>
    <row r="91" spans="1:23">
      <c r="B91" s="360" t="s">
        <v>763</v>
      </c>
      <c r="C91" s="360" t="s">
        <v>544</v>
      </c>
      <c r="D91" s="360" t="s">
        <v>985</v>
      </c>
      <c r="E91" s="360"/>
      <c r="F91" s="360"/>
      <c r="G91" s="360"/>
      <c r="H91" s="360" t="s">
        <v>623</v>
      </c>
      <c r="I91" s="360" t="s">
        <v>728</v>
      </c>
      <c r="J91" s="360" t="s">
        <v>765</v>
      </c>
      <c r="K91" s="360" t="s">
        <v>766</v>
      </c>
      <c r="L91" s="360"/>
      <c r="M91" s="360"/>
      <c r="T91" s="69"/>
    </row>
    <row r="92" spans="1:23">
      <c r="B92" s="56" cm="1">
        <f t="array" ref="B92">_xlfn.XLOOKUP(C92,SM_TBL[[#All],[Thickness]],SM_TBL[[#All],[MoC_PN]])</f>
        <v>101871</v>
      </c>
      <c r="C92" s="1093">
        <v>7.51E-2</v>
      </c>
      <c r="D92" s="56" t="str" cm="1">
        <f t="array" ref="D92">_xlfn.XLOOKUP(B92,RAW_100[[#All],[PartNum]],RAW_100[[#All],[PartDescription]])</f>
        <v>SHEET 0.075" 14GA T-316L SS PER A240 2B FINISH</v>
      </c>
      <c r="H92" s="669">
        <f>SUMIF(B$4:B$84,$B92,N$4:N$84)</f>
        <v>123.52249016542</v>
      </c>
      <c r="I92" s="1109" t="s">
        <v>768</v>
      </c>
      <c r="J92" s="1110" cm="1">
        <f t="array" ref="J92">_xlfn.XLOOKUP(B92,MET_PRICE[[#All],[Part Number]],MET_PRICE[[#All],[Price ($/lb) Domestic]])</f>
        <v>2.89</v>
      </c>
      <c r="K92" s="378">
        <f>H92*J92</f>
        <v>356.97999657806378</v>
      </c>
      <c r="L92" s="669"/>
      <c r="M92" s="378"/>
    </row>
    <row r="93" spans="1:23">
      <c r="B93" s="56" cm="1">
        <f t="array" ref="B93">_xlfn.XLOOKUP(C93,SM_TBL[[#All],[Thickness]],SM_TBL[[#All],[MoC_PN]])</f>
        <v>101872</v>
      </c>
      <c r="C93" s="56">
        <v>5.9499999999999997E-2</v>
      </c>
      <c r="D93" s="56" t="str" cm="1">
        <f t="array" ref="D93">_xlfn.XLOOKUP(B93,RAW_100[[#All],[PartNum]],RAW_100[[#All],[PartDescription]])</f>
        <v>SHEET 0.059" 16GA T-316L SS PER A240 2B FINISH</v>
      </c>
      <c r="H93" s="669" t="e">
        <f t="shared" ref="H93:H101" si="33">SUMIF(B$4:B$84,$B93,N$4:N$84)</f>
        <v>#VALUE!</v>
      </c>
      <c r="I93" s="1109" t="s">
        <v>768</v>
      </c>
      <c r="J93" s="1110" cm="1">
        <f t="array" ref="J93">_xlfn.XLOOKUP(B93,MET_PRICE[[#All],[Part Number]],MET_PRICE[[#All],[Price ($/lb) Domestic]])</f>
        <v>2.9</v>
      </c>
      <c r="K93" s="378" t="e">
        <f t="shared" ref="K93:K101" si="34">H93*J93</f>
        <v>#VALUE!</v>
      </c>
      <c r="L93" s="669"/>
      <c r="M93" s="378"/>
    </row>
    <row r="94" spans="1:23">
      <c r="B94" s="56" cm="1">
        <f t="array" ref="B94">_xlfn.XLOOKUP(C94,SM_TBL[[#All],[Thickness]],SM_TBL[[#All],[MoC_PN]])</f>
        <v>101960</v>
      </c>
      <c r="C94" s="56">
        <v>0.5</v>
      </c>
      <c r="D94" s="56" t="str" cm="1">
        <f t="array" ref="D94">_xlfn.XLOOKUP(B94,RAW_100[[#All],[PartNum]],RAW_100[[#All],[PartDescription]])</f>
        <v>PLATE 1/2" T-316L SS PER A240 2B FINISH</v>
      </c>
      <c r="H94" s="669">
        <f t="shared" si="33"/>
        <v>9.1938124999999999</v>
      </c>
      <c r="I94" s="1109" t="s">
        <v>768</v>
      </c>
      <c r="J94" s="1110" cm="1">
        <f t="array" ref="J94">_xlfn.XLOOKUP(B94,MET_PRICE[[#All],[Part Number]],MET_PRICE[[#All],[Price ($/lb) Domestic]])</f>
        <v>3.15</v>
      </c>
      <c r="K94" s="378">
        <f t="shared" si="34"/>
        <v>28.960509374999997</v>
      </c>
      <c r="L94" s="669"/>
      <c r="M94" s="378"/>
    </row>
    <row r="95" spans="1:23">
      <c r="B95" s="56" cm="1">
        <f t="array" ref="B95">_xlfn.XLOOKUP(C95,SM_TBL[[#All],[Thickness]],SM_TBL[[#All],[MoC_PN]])</f>
        <v>101963</v>
      </c>
      <c r="C95" s="56">
        <v>0.25</v>
      </c>
      <c r="D95" s="56" t="str" cm="1">
        <f t="array" ref="D95">_xlfn.XLOOKUP(B95,RAW_100[[#All],[PartNum]],RAW_100[[#All],[PartDescription]])</f>
        <v>PLATE 1/4" T-316L SS PER A240 2B FINISH</v>
      </c>
      <c r="H95" s="669" t="e">
        <f t="shared" si="33"/>
        <v>#VALUE!</v>
      </c>
      <c r="I95" s="1109" t="s">
        <v>768</v>
      </c>
      <c r="J95" s="1110" cm="1">
        <f t="array" ref="J95">_xlfn.XLOOKUP(B95,MET_PRICE[[#All],[Part Number]],MET_PRICE[[#All],[Price ($/lb) Domestic]])</f>
        <v>2.65</v>
      </c>
      <c r="K95" s="378" t="e">
        <f t="shared" si="34"/>
        <v>#VALUE!</v>
      </c>
      <c r="L95" s="669"/>
      <c r="M95" s="378"/>
    </row>
    <row r="96" spans="1:23">
      <c r="B96" s="56">
        <f>'MATERIAL COST'!F87</f>
        <v>104745</v>
      </c>
      <c r="D96" s="56" t="str" cm="1">
        <f t="array" ref="D96">_xlfn.XLOOKUP(B96,RAW_100[[#All],[PartNum]],RAW_100[[#All],[PartDescription]])</f>
        <v>BAR RD Ø1 15/16" OD T-316L SS PER A276 MILL FINISH</v>
      </c>
      <c r="H96" s="669">
        <f t="shared" si="33"/>
        <v>0</v>
      </c>
      <c r="I96" s="1109" t="s">
        <v>28</v>
      </c>
      <c r="J96" s="1110" cm="1">
        <f t="array" ref="J96">_xlfn.XLOOKUP(B96,RAW_100[[#All],[PartNum]],RAW_100[[#All],[UnitCost]])</f>
        <v>95</v>
      </c>
      <c r="K96" s="378">
        <f t="shared" si="34"/>
        <v>0</v>
      </c>
      <c r="L96" s="669"/>
      <c r="M96" s="378"/>
    </row>
    <row r="97" spans="2:17">
      <c r="B97" s="56">
        <f>'MATERIAL COST'!F89</f>
        <v>104709</v>
      </c>
      <c r="D97" s="56" t="str" cm="1">
        <f t="array" ref="D97">_xlfn.XLOOKUP(B97,RAW_100[[#All],[PartNum]],RAW_100[[#All],[PartDescription]])</f>
        <v>BAR RD Ø2 7/16" OD T-316L SS PER A276 MILL FINISH</v>
      </c>
      <c r="H97" s="669">
        <f t="shared" si="33"/>
        <v>0</v>
      </c>
      <c r="I97" s="1109" t="s">
        <v>28</v>
      </c>
      <c r="J97" s="1110" cm="1">
        <f t="array" ref="J97">_xlfn.XLOOKUP(B97,RAW_100[[#All],[PartNum]],RAW_100[[#All],[UnitCost]])</f>
        <v>218.75</v>
      </c>
      <c r="K97" s="378">
        <f t="shared" si="34"/>
        <v>0</v>
      </c>
      <c r="L97" s="669"/>
      <c r="M97" s="1110"/>
    </row>
    <row r="98" spans="2:17">
      <c r="B98" s="56">
        <f>'MATERIAL COST'!F90</f>
        <v>104705</v>
      </c>
      <c r="D98" s="56" t="str" cm="1">
        <f t="array" ref="D98">_xlfn.XLOOKUP(B98,RAW_100[[#All],[PartNum]],RAW_100[[#All],[PartDescription]])</f>
        <v>BAR RD Ø2 15/16" OD T-316L SS PER A276 MILL FINISH</v>
      </c>
      <c r="H98" s="669">
        <f t="shared" si="33"/>
        <v>0</v>
      </c>
      <c r="I98" s="1109" t="s">
        <v>28</v>
      </c>
      <c r="J98" s="1110" cm="1">
        <f t="array" ref="J98">_xlfn.XLOOKUP(B98,RAW_100[[#All],[PartNum]],RAW_100[[#All],[UnitCost]])</f>
        <v>0</v>
      </c>
      <c r="K98" s="378">
        <f t="shared" si="34"/>
        <v>0</v>
      </c>
      <c r="L98" s="669"/>
      <c r="M98" s="378"/>
    </row>
    <row r="99" spans="2:17">
      <c r="B99" s="56">
        <f>'MATERIAL COST'!F92</f>
        <v>104669</v>
      </c>
      <c r="D99" s="56" t="str" cm="1">
        <f t="array" ref="D99">_xlfn.XLOOKUP(B99,RAW_100[[#All],[PartNum]],RAW_100[[#All],[PartDescription]])</f>
        <v>BAR RD Ø3 7/16" OD T-316L SS PER A276 MILL FINISH</v>
      </c>
      <c r="H99" s="669">
        <f t="shared" si="33"/>
        <v>0</v>
      </c>
      <c r="I99" s="1109" t="s">
        <v>28</v>
      </c>
      <c r="J99" s="1110" cm="1">
        <f t="array" ref="J99">_xlfn.XLOOKUP(B99,RAW_100[[#All],[PartNum]],RAW_100[[#All],[UnitCost]])</f>
        <v>0</v>
      </c>
      <c r="K99" s="378">
        <f t="shared" si="34"/>
        <v>0</v>
      </c>
      <c r="L99" s="669"/>
      <c r="M99" s="1110"/>
    </row>
    <row r="100" spans="2:17">
      <c r="B100" s="56">
        <f>'MATERIAL COST'!F84</f>
        <v>104755</v>
      </c>
      <c r="D100" s="56" t="str" cm="1">
        <f t="array" ref="D100">_xlfn.XLOOKUP(B100,RAW_100[[#All],[PartNum]],RAW_100[[#All],[PartDescription]])</f>
        <v>BAR RD Ø3/4" OD T-316L SS PER A276 MILL FINISH</v>
      </c>
      <c r="H100" s="669">
        <f t="shared" si="33"/>
        <v>0.31770833333333331</v>
      </c>
      <c r="I100" s="1109" t="s">
        <v>28</v>
      </c>
      <c r="J100" s="1110" cm="1">
        <f t="array" ref="J100">_xlfn.XLOOKUP(B100,RAW_100[[#All],[PartNum]],RAW_100[[#All],[UnitCost]])</f>
        <v>6.3</v>
      </c>
      <c r="K100" s="378">
        <f t="shared" si="34"/>
        <v>2.0015624999999999</v>
      </c>
      <c r="L100" s="669"/>
      <c r="M100" s="1110"/>
    </row>
    <row r="101" spans="2:17">
      <c r="B101" s="56">
        <f>'MATERIAL COST'!F78</f>
        <v>105707</v>
      </c>
      <c r="D101" s="56" t="str" cm="1">
        <f t="array" ref="D101">_xlfn.XLOOKUP(B101,RAW_100[[#All],[PartNum]],RAW_100[[#All],[PartDescription]])</f>
        <v>PIPE Ø2 1/2" NOM X .203" SCH 40 T-316L SS PER A312 MILL FINISH</v>
      </c>
      <c r="H101" s="669">
        <f t="shared" si="33"/>
        <v>3.6666666666666665</v>
      </c>
      <c r="I101" s="1109" t="s">
        <v>28</v>
      </c>
      <c r="J101" s="1110" cm="1">
        <f t="array" ref="J101">_xlfn.XLOOKUP(B101,RAW_100[[#All],[PartNum]],RAW_100[[#All],[UnitCost]])</f>
        <v>35</v>
      </c>
      <c r="K101" s="378">
        <f t="shared" si="34"/>
        <v>128.33333333333331</v>
      </c>
      <c r="L101" s="669"/>
      <c r="M101" s="1110"/>
    </row>
    <row r="102" spans="2:17">
      <c r="H102" s="669"/>
      <c r="I102" s="1093"/>
    </row>
    <row r="103" spans="2:17">
      <c r="J103" s="358" t="s">
        <v>917</v>
      </c>
      <c r="K103" s="588" t="e">
        <f>SUM(K92:K101)</f>
        <v>#VALUE!</v>
      </c>
      <c r="L103" s="588">
        <f>SUM(L92:L102)</f>
        <v>0</v>
      </c>
      <c r="M103" s="588"/>
      <c r="O103" s="69"/>
      <c r="P103" s="378"/>
      <c r="Q103" s="378"/>
    </row>
    <row r="104" spans="2:17">
      <c r="I104" s="358"/>
      <c r="J104" s="588"/>
      <c r="N104" s="69"/>
      <c r="O104" s="378"/>
    </row>
    <row r="105" spans="2:17">
      <c r="B105" s="359" t="s">
        <v>1054</v>
      </c>
      <c r="I105" s="358"/>
      <c r="J105" s="588"/>
      <c r="N105" s="69"/>
      <c r="O105" s="378"/>
    </row>
    <row r="106" spans="2:17">
      <c r="B106" s="359"/>
      <c r="I106" s="358"/>
      <c r="J106" s="588"/>
      <c r="N106" s="69"/>
      <c r="O106" s="378"/>
    </row>
    <row r="107" spans="2:17">
      <c r="B107" s="359"/>
      <c r="I107" s="358"/>
      <c r="J107" s="588"/>
      <c r="N107" s="69"/>
      <c r="O107" s="378"/>
    </row>
    <row r="108" spans="2:17">
      <c r="I108" s="358"/>
      <c r="J108" s="588"/>
      <c r="N108" s="69"/>
      <c r="O108" s="378"/>
    </row>
    <row r="109" spans="2:17">
      <c r="B109" s="359" t="s">
        <v>1055</v>
      </c>
      <c r="J109" s="69"/>
    </row>
    <row r="110" spans="2:17">
      <c r="B110" s="360" t="s">
        <v>763</v>
      </c>
      <c r="D110" s="662" t="s">
        <v>764</v>
      </c>
      <c r="H110" s="360" t="s">
        <v>623</v>
      </c>
      <c r="I110" s="360" t="s">
        <v>728</v>
      </c>
      <c r="J110" s="360" t="s">
        <v>765</v>
      </c>
      <c r="K110" s="360" t="s">
        <v>766</v>
      </c>
      <c r="L110" s="360"/>
      <c r="M110" s="360"/>
    </row>
    <row r="111" spans="2:17">
      <c r="B111" s="56">
        <v>501070</v>
      </c>
      <c r="D111" s="1093" t="s">
        <v>790</v>
      </c>
      <c r="H111" s="274">
        <f>SUMIF(B$4:B$84,B111,N$4:N$84)</f>
        <v>4</v>
      </c>
      <c r="I111" s="1109" t="s">
        <v>1056</v>
      </c>
      <c r="J111" s="1111" cm="1">
        <f t="array" ref="J111">_xlfn.XLOOKUP(B111,PP_COST[[#All],[PART NUMBER]],PP_COST[[#All],[UNIT COST]])</f>
        <v>12.81</v>
      </c>
      <c r="K111" s="1111">
        <f t="shared" ref="K111:K116" si="35">H111*J111</f>
        <v>51.24</v>
      </c>
      <c r="L111" s="1111"/>
      <c r="M111" s="1111"/>
    </row>
    <row r="112" spans="2:17">
      <c r="B112" s="56">
        <v>501100</v>
      </c>
      <c r="D112" s="1093" t="s">
        <v>791</v>
      </c>
      <c r="H112" s="274">
        <f t="shared" ref="H112:H121" si="36">SUMIF(B$4:B$84,B112,N$4:N$84)</f>
        <v>2</v>
      </c>
      <c r="I112" s="1109" t="s">
        <v>1056</v>
      </c>
      <c r="J112" s="1111" cm="1">
        <f t="array" ref="J112">_xlfn.XLOOKUP(B112,PP_COST[[#All],[PART NUMBER]],PP_COST[[#All],[UNIT COST]])</f>
        <v>21.56</v>
      </c>
      <c r="K112" s="1111">
        <f t="shared" si="35"/>
        <v>43.12</v>
      </c>
      <c r="L112" s="1111"/>
      <c r="M112" s="1111"/>
    </row>
    <row r="113" spans="2:13">
      <c r="B113" s="56" t="s">
        <v>820</v>
      </c>
      <c r="D113" s="1093" t="s">
        <v>821</v>
      </c>
      <c r="H113" s="274">
        <f t="shared" si="36"/>
        <v>2</v>
      </c>
      <c r="I113" s="1109" t="s">
        <v>1056</v>
      </c>
      <c r="J113" s="1111" cm="1">
        <f t="array" ref="J113">_xlfn.XLOOKUP(B113,PP_COST[[#All],[PART NUMBER]],PP_COST[[#All],[UNIT COST]])</f>
        <v>1.29</v>
      </c>
      <c r="K113" s="1111">
        <f t="shared" si="35"/>
        <v>2.58</v>
      </c>
      <c r="L113" s="1111"/>
      <c r="M113" s="1111"/>
    </row>
    <row r="114" spans="2:13">
      <c r="B114" s="56" t="s">
        <v>826</v>
      </c>
      <c r="D114" s="56" t="s">
        <v>827</v>
      </c>
      <c r="H114" s="274">
        <f t="shared" si="36"/>
        <v>24</v>
      </c>
      <c r="I114" s="1109" t="s">
        <v>1056</v>
      </c>
      <c r="J114" s="1111" cm="1">
        <f t="array" ref="J114">_xlfn.XLOOKUP(B114,HW_COST[[#All],[PART NUMBER]],HW_COST[[#All],[UNIT COST]])</f>
        <v>0.22020000000000001</v>
      </c>
      <c r="K114" s="1111">
        <f t="shared" si="35"/>
        <v>5.2848000000000006</v>
      </c>
      <c r="L114" s="1111"/>
      <c r="M114" s="1111"/>
    </row>
    <row r="115" spans="2:13">
      <c r="B115" s="56" t="s">
        <v>838</v>
      </c>
      <c r="D115" s="56" t="s">
        <v>839</v>
      </c>
      <c r="H115" s="274">
        <f t="shared" si="36"/>
        <v>62</v>
      </c>
      <c r="I115" s="1109" t="s">
        <v>1056</v>
      </c>
      <c r="J115" s="1111" cm="1">
        <f t="array" ref="J115">_xlfn.XLOOKUP(B115,HW_COST[[#All],[PART NUMBER]],HW_COST[[#All],[UNIT COST]])</f>
        <v>0.77290000000000003</v>
      </c>
      <c r="K115" s="1111">
        <f t="shared" si="35"/>
        <v>47.919800000000002</v>
      </c>
      <c r="L115" s="1111"/>
      <c r="M115" s="1111"/>
    </row>
    <row r="116" spans="2:13">
      <c r="B116" s="56" t="s">
        <v>840</v>
      </c>
      <c r="D116" s="56" t="s">
        <v>841</v>
      </c>
      <c r="H116" s="274">
        <f t="shared" si="36"/>
        <v>10</v>
      </c>
      <c r="I116" s="1109" t="s">
        <v>1056</v>
      </c>
      <c r="J116" s="1111" cm="1">
        <f t="array" ref="J116">_xlfn.XLOOKUP(B116,HW_COST[[#All],[PART NUMBER]],HW_COST[[#All],[UNIT COST]])</f>
        <v>0.76580000000000004</v>
      </c>
      <c r="K116" s="1111">
        <f t="shared" si="35"/>
        <v>7.6580000000000004</v>
      </c>
      <c r="L116" s="1111"/>
      <c r="M116" s="1111"/>
    </row>
    <row r="117" spans="2:13">
      <c r="B117" s="56" t="s">
        <v>844</v>
      </c>
      <c r="D117" s="56" t="s">
        <v>845</v>
      </c>
      <c r="H117" s="274">
        <f t="shared" si="36"/>
        <v>12</v>
      </c>
      <c r="I117" s="1109" t="s">
        <v>1056</v>
      </c>
      <c r="J117" s="1111" cm="1">
        <f t="array" ref="J117">_xlfn.XLOOKUP(B117,HW_COST[[#All],[PART NUMBER]],HW_COST[[#All],[UNIT COST]])</f>
        <v>0.60419999999999996</v>
      </c>
      <c r="K117" s="1111">
        <f t="shared" ref="K117:K121" si="37">H117*J117</f>
        <v>7.2503999999999991</v>
      </c>
      <c r="L117" s="1111"/>
      <c r="M117" s="1111"/>
    </row>
    <row r="118" spans="2:13">
      <c r="B118" s="56" t="s">
        <v>852</v>
      </c>
      <c r="D118" s="56" t="s">
        <v>853</v>
      </c>
      <c r="H118" s="274">
        <f t="shared" si="36"/>
        <v>8</v>
      </c>
      <c r="I118" s="1109" t="s">
        <v>1056</v>
      </c>
      <c r="J118" s="1111" cm="1">
        <f t="array" ref="J118">_xlfn.XLOOKUP(B118,HW_COST[[#All],[PART NUMBER]],HW_COST[[#All],[UNIT COST]])</f>
        <v>1.58</v>
      </c>
      <c r="K118" s="1111">
        <f t="shared" si="37"/>
        <v>12.64</v>
      </c>
      <c r="L118" s="1111"/>
      <c r="M118" s="1111"/>
    </row>
    <row r="119" spans="2:13">
      <c r="B119" s="56" t="s">
        <v>856</v>
      </c>
      <c r="D119" s="56" t="s">
        <v>857</v>
      </c>
      <c r="H119" s="274">
        <f t="shared" si="36"/>
        <v>24</v>
      </c>
      <c r="I119" s="1109" t="s">
        <v>1056</v>
      </c>
      <c r="J119" s="1111" cm="1">
        <f t="array" ref="J119">_xlfn.XLOOKUP(B119,HW_COST[[#All],[PART NUMBER]],HW_COST[[#All],[UNIT COST]])</f>
        <v>2.83</v>
      </c>
      <c r="K119" s="1111">
        <f t="shared" si="37"/>
        <v>67.92</v>
      </c>
      <c r="L119" s="1111"/>
      <c r="M119" s="1111"/>
    </row>
    <row r="120" spans="2:13">
      <c r="B120" s="56" t="s">
        <v>858</v>
      </c>
      <c r="D120" s="56" t="s">
        <v>859</v>
      </c>
      <c r="H120" s="274">
        <f t="shared" si="36"/>
        <v>12</v>
      </c>
      <c r="I120" s="1109" t="s">
        <v>1056</v>
      </c>
      <c r="J120" s="1111" cm="1">
        <f t="array" ref="J120">_xlfn.XLOOKUP(B120,HW_COST[[#All],[PART NUMBER]],HW_COST[[#All],[UNIT COST]])</f>
        <v>3.2113</v>
      </c>
      <c r="K120" s="1111">
        <f t="shared" si="37"/>
        <v>38.535600000000002</v>
      </c>
      <c r="L120" s="1111"/>
      <c r="M120" s="1111"/>
    </row>
    <row r="121" spans="2:13">
      <c r="B121" s="56" t="s">
        <v>872</v>
      </c>
      <c r="D121" s="56" t="s">
        <v>873</v>
      </c>
      <c r="H121" s="274">
        <f t="shared" si="36"/>
        <v>8</v>
      </c>
      <c r="I121" s="1109" t="s">
        <v>1056</v>
      </c>
      <c r="J121" s="1111" cm="1">
        <f t="array" ref="J121">_xlfn.XLOOKUP(B121,HW_COST[[#All],[PART NUMBER]],HW_COST[[#All],[UNIT COST]])</f>
        <v>1.7</v>
      </c>
      <c r="K121" s="1111">
        <f t="shared" si="37"/>
        <v>13.6</v>
      </c>
      <c r="L121" s="1111"/>
      <c r="M121" s="1111"/>
    </row>
    <row r="123" spans="2:13">
      <c r="J123" s="358" t="s">
        <v>917</v>
      </c>
      <c r="K123" s="588">
        <f>SUM(K111:K122)</f>
        <v>297.74860000000001</v>
      </c>
      <c r="L123" s="588"/>
      <c r="M123" s="933">
        <f>V86</f>
        <v>297.74860000000001</v>
      </c>
    </row>
  </sheetData>
  <autoFilter ref="A3:R84" xr:uid="{4E391F20-1ACF-4600-BA8E-D015A90305E5}">
    <filterColumn colId="2" showButton="0"/>
    <filterColumn colId="3" showButton="0"/>
  </autoFilter>
  <mergeCells count="67">
    <mergeCell ref="C82:E82"/>
    <mergeCell ref="C83:E83"/>
    <mergeCell ref="C79:E79"/>
    <mergeCell ref="C80:E80"/>
    <mergeCell ref="C67:E67"/>
    <mergeCell ref="C68:E68"/>
    <mergeCell ref="C69:E69"/>
    <mergeCell ref="C70:E70"/>
    <mergeCell ref="C81:E81"/>
    <mergeCell ref="C59:E59"/>
    <mergeCell ref="C63:E63"/>
    <mergeCell ref="C64:E64"/>
    <mergeCell ref="C65:E65"/>
    <mergeCell ref="C66:E66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33:E33"/>
    <mergeCell ref="C34:E34"/>
    <mergeCell ref="C23:E23"/>
    <mergeCell ref="C48:E48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28:E28"/>
    <mergeCell ref="C29:E29"/>
    <mergeCell ref="C31:E31"/>
    <mergeCell ref="C32:E32"/>
    <mergeCell ref="C30:E30"/>
    <mergeCell ref="C22:E22"/>
    <mergeCell ref="C24:E24"/>
    <mergeCell ref="C25:E25"/>
    <mergeCell ref="C26:E26"/>
    <mergeCell ref="C27:E27"/>
    <mergeCell ref="C17:E17"/>
    <mergeCell ref="C18:E18"/>
    <mergeCell ref="C10:E10"/>
    <mergeCell ref="A1:R1"/>
    <mergeCell ref="C5:E5"/>
    <mergeCell ref="C6:E6"/>
    <mergeCell ref="C7:E7"/>
    <mergeCell ref="C8:E8"/>
    <mergeCell ref="C9:E9"/>
    <mergeCell ref="C11:E11"/>
    <mergeCell ref="C12:E12"/>
    <mergeCell ref="C13:E13"/>
    <mergeCell ref="C14:E14"/>
    <mergeCell ref="C15:E15"/>
    <mergeCell ref="S1:S2"/>
    <mergeCell ref="T1:T2"/>
    <mergeCell ref="A2:R2"/>
    <mergeCell ref="C3:E3"/>
    <mergeCell ref="C16:E16"/>
  </mergeCells>
  <pageMargins left="0.7" right="0.7" top="0.75" bottom="0.75" header="0.3" footer="0.3"/>
  <pageSetup orientation="portrait" horizontalDpi="1200" verticalDpi="1200" r:id="rId1"/>
  <ignoredErrors>
    <ignoredError sqref="B10" formula="1"/>
  </ignoredError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B82E8-8C99-44AE-9ED9-299148BA931C}">
  <sheetPr codeName="Sheet15">
    <tabColor theme="9" tint="0.39997558519241921"/>
  </sheetPr>
  <dimension ref="A1:Z324"/>
  <sheetViews>
    <sheetView zoomScaleNormal="100" workbookViewId="0">
      <pane ySplit="2" topLeftCell="A157" activePane="bottomLeft" state="frozen"/>
      <selection activeCell="B38" sqref="B38"/>
      <selection pane="bottomLeft" activeCell="B172" sqref="B172"/>
    </sheetView>
  </sheetViews>
  <sheetFormatPr defaultRowHeight="15"/>
  <cols>
    <col min="1" max="1" width="9.140625" style="56"/>
    <col min="2" max="2" width="15.140625" style="56" customWidth="1"/>
    <col min="3" max="3" width="12.42578125" style="56" customWidth="1"/>
    <col min="4" max="4" width="14.7109375" style="56" customWidth="1"/>
    <col min="5" max="5" width="12.7109375" style="56" customWidth="1"/>
    <col min="6" max="6" width="12.5703125" style="56" customWidth="1"/>
    <col min="7" max="7" width="10.5703125" style="56" bestFit="1" customWidth="1"/>
    <col min="8" max="8" width="11.7109375" style="56" bestFit="1" customWidth="1"/>
    <col min="9" max="9" width="10.28515625" style="56" bestFit="1" customWidth="1"/>
    <col min="10" max="10" width="10.5703125" style="56" bestFit="1" customWidth="1"/>
    <col min="11" max="11" width="11.5703125" style="56" customWidth="1"/>
    <col min="12" max="12" width="13.42578125" style="56" bestFit="1" customWidth="1"/>
    <col min="13" max="13" width="10" style="56" bestFit="1" customWidth="1"/>
    <col min="14" max="14" width="10" style="56" customWidth="1"/>
    <col min="15" max="15" width="11.42578125" style="56" bestFit="1" customWidth="1"/>
    <col min="16" max="16" width="14.28515625" style="56" bestFit="1" customWidth="1"/>
    <col min="17" max="18" width="13.42578125" style="56" bestFit="1" customWidth="1"/>
    <col min="19" max="19" width="9.5703125" style="56" customWidth="1"/>
    <col min="20" max="20" width="10.5703125" style="56" customWidth="1"/>
    <col min="21" max="21" width="9.140625" style="56"/>
    <col min="22" max="23" width="11.85546875" style="56" customWidth="1"/>
    <col min="24" max="24" width="16.140625" style="56" customWidth="1"/>
    <col min="25" max="25" width="11.42578125" style="56" customWidth="1"/>
    <col min="26" max="16384" width="9.140625" style="56"/>
  </cols>
  <sheetData>
    <row r="1" spans="1:26" ht="15.75" thickBot="1">
      <c r="A1" s="1673" t="s">
        <v>1057</v>
      </c>
      <c r="B1" s="1674"/>
      <c r="C1" s="1674"/>
      <c r="D1" s="1674"/>
      <c r="E1" s="1674"/>
      <c r="F1" s="1674"/>
      <c r="G1" s="1674"/>
      <c r="H1" s="1674"/>
      <c r="I1" s="1674"/>
      <c r="J1" s="1674"/>
      <c r="K1" s="1674"/>
      <c r="L1" s="1674"/>
      <c r="M1" s="1674"/>
      <c r="N1" s="1674"/>
      <c r="O1" s="1674"/>
      <c r="P1" s="1674"/>
      <c r="Q1" s="1674"/>
      <c r="R1" s="1675"/>
    </row>
    <row r="2" spans="1:26" ht="45.75" thickBot="1">
      <c r="A2" s="71" t="s">
        <v>715</v>
      </c>
      <c r="B2" s="351" t="s">
        <v>763</v>
      </c>
      <c r="C2" s="1646" t="s">
        <v>985</v>
      </c>
      <c r="D2" s="1647"/>
      <c r="E2" s="1647"/>
      <c r="F2" s="71" t="s">
        <v>986</v>
      </c>
      <c r="G2" s="72" t="s">
        <v>987</v>
      </c>
      <c r="H2" s="72" t="s">
        <v>988</v>
      </c>
      <c r="I2" s="72" t="s">
        <v>989</v>
      </c>
      <c r="J2" s="72" t="s">
        <v>990</v>
      </c>
      <c r="K2" s="72" t="s">
        <v>991</v>
      </c>
      <c r="L2" s="72" t="s">
        <v>992</v>
      </c>
      <c r="M2" s="72" t="s">
        <v>993</v>
      </c>
      <c r="N2" s="72" t="s">
        <v>994</v>
      </c>
      <c r="O2" s="72" t="s">
        <v>995</v>
      </c>
      <c r="P2" s="72" t="s">
        <v>996</v>
      </c>
      <c r="Q2" s="72" t="s">
        <v>997</v>
      </c>
      <c r="R2" s="72" t="s">
        <v>998</v>
      </c>
      <c r="S2" s="132" t="s">
        <v>623</v>
      </c>
      <c r="T2" s="132" t="s">
        <v>999</v>
      </c>
      <c r="U2" s="132" t="s">
        <v>1000</v>
      </c>
      <c r="V2" s="132" t="s">
        <v>1001</v>
      </c>
      <c r="W2" s="132" t="s">
        <v>1002</v>
      </c>
    </row>
    <row r="3" spans="1:26" ht="15" customHeight="1" thickBot="1">
      <c r="A3" s="354" t="e" cm="1">
        <f t="array" ref="A3">_xlfn.XLOOKUP(Belt_W,TROUGHING_IDLER[[#All],[WIDTH]],TROUGHING_IDLER[[#All],[TI_DESC]])</f>
        <v>#N/A</v>
      </c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290" t="s">
        <v>1058</v>
      </c>
      <c r="Q3" s="290"/>
      <c r="R3" s="290">
        <f>Belt_W</f>
        <v>0</v>
      </c>
      <c r="S3" s="74" cm="1">
        <f t="array" ref="S3">IdlerQty(Belt_W,I_TYPE,C_DIM_A,C_DIM_B,C_DIM_C,CI_SPACING,N_IMP_Z,L_IMP_Z,II_SPACING,P3,R3)</f>
        <v>0</v>
      </c>
      <c r="T3" s="133" t="e">
        <f>H13*S3</f>
        <v>#N/A</v>
      </c>
      <c r="U3" s="134">
        <f>G12*S3</f>
        <v>0</v>
      </c>
      <c r="V3" s="133" t="e">
        <f>F13*S3</f>
        <v>#N/A</v>
      </c>
      <c r="W3" s="133">
        <f>K13*S3</f>
        <v>0</v>
      </c>
    </row>
    <row r="4" spans="1:26">
      <c r="A4" s="395">
        <v>1</v>
      </c>
      <c r="B4" s="135" cm="1">
        <f t="array" ref="B4">Table12[MoC_PN]</f>
        <v>109640</v>
      </c>
      <c r="C4" s="1676" t="s">
        <v>1059</v>
      </c>
      <c r="D4" s="1677"/>
      <c r="E4" s="1677"/>
      <c r="F4" s="136" t="s">
        <v>1005</v>
      </c>
      <c r="G4" s="137">
        <v>0.25</v>
      </c>
      <c r="H4" s="137">
        <v>5</v>
      </c>
      <c r="I4" s="137" t="e" cm="1">
        <f t="array" ref="I4">_xlfn.XLOOKUP(Belt_W,TROUGHING_IDLER[[#All],[WIDTH]],TROUGHING_IDLER[[#All],[IF_LEN]])</f>
        <v>#N/A</v>
      </c>
      <c r="J4" s="1112" t="s">
        <v>1011</v>
      </c>
      <c r="K4" s="138" t="e">
        <f>IF_LEN/12</f>
        <v>#N/A</v>
      </c>
      <c r="L4" s="1113" t="s">
        <v>28</v>
      </c>
      <c r="M4" s="1113" t="e">
        <f>A4*K4</f>
        <v>#N/A</v>
      </c>
      <c r="N4" s="1113" t="e">
        <f>$S$3*M4</f>
        <v>#N/A</v>
      </c>
      <c r="O4" s="670">
        <v>15.52</v>
      </c>
      <c r="P4" s="1114" cm="1">
        <f t="array" ref="P4">_xlfn.XLOOKUP(B4,RAW_100[[#All],[PartNum]],RAW_100[[#All],[UnitCost]])</f>
        <v>15.2</v>
      </c>
      <c r="Q4" s="1114" t="e">
        <f>M4*P4</f>
        <v>#N/A</v>
      </c>
      <c r="R4" s="1114" t="e">
        <f>N4*P4</f>
        <v>#N/A</v>
      </c>
    </row>
    <row r="5" spans="1:26">
      <c r="A5" s="142">
        <v>2</v>
      </c>
      <c r="B5" s="142" cm="1">
        <f t="array" ref="B5">_xlfn.XLOOKUP(G5,SM_TBL[[#All],[Thickness]],SM_TBL[[#All],[MoC_PN]])</f>
        <v>101963</v>
      </c>
      <c r="C5" s="1678" t="s">
        <v>1060</v>
      </c>
      <c r="D5" s="1678"/>
      <c r="E5" s="1678"/>
      <c r="F5" s="143" t="s">
        <v>1005</v>
      </c>
      <c r="G5" s="142">
        <v>0.25</v>
      </c>
      <c r="H5" s="142">
        <v>3</v>
      </c>
      <c r="I5" s="142" t="e" cm="1">
        <f t="array" ref="I5">_xlfn.XLOOKUP(Belt_W,TROUGHING_IDLER[[#All],[WIDTH]],TROUGHING_IDLER[[#All],[IFL_LEN]])</f>
        <v>#N/A</v>
      </c>
      <c r="J5" s="142">
        <v>0.28899999999999998</v>
      </c>
      <c r="K5" s="144" t="e">
        <f>G5*H5*IFL_LEN*J5</f>
        <v>#N/A</v>
      </c>
      <c r="L5" s="1115" t="s">
        <v>92</v>
      </c>
      <c r="M5" s="1115" t="e">
        <f t="shared" ref="M5:M11" si="0">A5*K5</f>
        <v>#N/A</v>
      </c>
      <c r="N5" s="1115" t="e">
        <f t="shared" ref="N5:N11" si="1">$S$3*M5</f>
        <v>#N/A</v>
      </c>
      <c r="O5" s="145" t="e">
        <f>A5*K5</f>
        <v>#N/A</v>
      </c>
      <c r="P5" s="1116" cm="1">
        <f t="array" ref="P5">_xlfn.XLOOKUP(B5,MET_PRICE[[#All],[Part Number]],MET_PRICE[[#All],[Price ($/lb) Domestic]])</f>
        <v>2.65</v>
      </c>
      <c r="Q5" s="1116" t="e">
        <f t="shared" ref="Q5:Q11" si="2">M5*P5</f>
        <v>#N/A</v>
      </c>
      <c r="R5" s="1116" t="e">
        <f t="shared" ref="R5:R11" si="3">N5*P5</f>
        <v>#N/A</v>
      </c>
      <c r="T5" s="1109" t="s">
        <v>1061</v>
      </c>
      <c r="U5" s="1109" t="s">
        <v>1062</v>
      </c>
      <c r="V5" s="1109" t="s">
        <v>1063</v>
      </c>
      <c r="W5" s="1109" t="s">
        <v>1064</v>
      </c>
      <c r="X5" s="1093" t="s">
        <v>1065</v>
      </c>
      <c r="Y5" s="1109" t="s">
        <v>1066</v>
      </c>
      <c r="Z5" s="1109" t="s">
        <v>1067</v>
      </c>
    </row>
    <row r="6" spans="1:26" ht="15" customHeight="1">
      <c r="A6" s="135">
        <v>2</v>
      </c>
      <c r="B6" s="135" cm="1">
        <f t="array" ref="B6">_xlfn.XLOOKUP(G6,SM_TBL[[#All],[Thickness]],SM_TBL[[#All],[MoC_PN]])</f>
        <v>101869</v>
      </c>
      <c r="C6" s="1679" t="s">
        <v>1068</v>
      </c>
      <c r="D6" s="1679"/>
      <c r="E6" s="1679"/>
      <c r="F6" s="147" t="s">
        <v>1005</v>
      </c>
      <c r="G6" s="135">
        <v>0.12</v>
      </c>
      <c r="H6" s="135">
        <v>2</v>
      </c>
      <c r="I6" s="135">
        <v>13.1875</v>
      </c>
      <c r="J6" s="135">
        <v>0.28899999999999998</v>
      </c>
      <c r="K6" s="138">
        <f>G6*H6*I6</f>
        <v>3.165</v>
      </c>
      <c r="L6" s="138" t="s">
        <v>92</v>
      </c>
      <c r="M6" s="138">
        <f t="shared" si="0"/>
        <v>6.33</v>
      </c>
      <c r="N6" s="138">
        <f t="shared" si="1"/>
        <v>0</v>
      </c>
      <c r="O6" s="139">
        <f t="shared" ref="O6:O9" si="4">A6*K6</f>
        <v>6.33</v>
      </c>
      <c r="P6" s="1114" cm="1">
        <f t="array" ref="P6">_xlfn.XLOOKUP(B6,MET_PRICE[[#All],[Part Number]],MET_PRICE[[#All],[Price ($/lb) Domestic]])</f>
        <v>2.89</v>
      </c>
      <c r="Q6" s="1114">
        <f t="shared" si="2"/>
        <v>18.293700000000001</v>
      </c>
      <c r="R6" s="1114">
        <f t="shared" si="3"/>
        <v>0</v>
      </c>
      <c r="T6" s="274">
        <v>18</v>
      </c>
      <c r="U6" s="635">
        <v>26.6875</v>
      </c>
      <c r="V6" s="635">
        <v>9.1875</v>
      </c>
      <c r="W6" s="1117">
        <v>501416</v>
      </c>
      <c r="X6" s="56" cm="1">
        <f t="array" ref="X6">_xlfn.XLOOKUP(TROUGHING_IDLER[[#This Row],[MR_PN]],PC_500[[#All],[Part_PartNum]],PC_500[[#All],[Unit_Cost]])</f>
        <v>105.2</v>
      </c>
      <c r="Y6" s="56" t="s">
        <v>1069</v>
      </c>
      <c r="Z6" s="56" t="s">
        <v>1070</v>
      </c>
    </row>
    <row r="7" spans="1:26" ht="15" customHeight="1">
      <c r="A7" s="142">
        <v>2</v>
      </c>
      <c r="B7" s="142" cm="1">
        <f t="array" ref="B7">_xlfn.XLOOKUP(G7,SM_TBL[[#All],[Thickness]],SM_TBL[[#All],[MoC_PN]])</f>
        <v>101963</v>
      </c>
      <c r="C7" s="1678" t="s">
        <v>1071</v>
      </c>
      <c r="D7" s="1678"/>
      <c r="E7" s="1678"/>
      <c r="F7" s="143" t="s">
        <v>1005</v>
      </c>
      <c r="G7" s="142">
        <v>0.25</v>
      </c>
      <c r="H7" s="142">
        <v>2</v>
      </c>
      <c r="I7" s="142">
        <v>8.5</v>
      </c>
      <c r="J7" s="142">
        <v>0.28899999999999998</v>
      </c>
      <c r="K7" s="144">
        <f>G7*H7*I7</f>
        <v>4.25</v>
      </c>
      <c r="L7" s="144" t="s">
        <v>92</v>
      </c>
      <c r="M7" s="144">
        <f t="shared" si="0"/>
        <v>8.5</v>
      </c>
      <c r="N7" s="144">
        <f t="shared" si="1"/>
        <v>0</v>
      </c>
      <c r="O7" s="145">
        <f t="shared" si="4"/>
        <v>8.5</v>
      </c>
      <c r="P7" s="1116" cm="1">
        <f t="array" ref="P7">_xlfn.XLOOKUP(B7,MET_PRICE[[#All],[Part Number]],MET_PRICE[[#All],[Price ($/lb) Domestic]])</f>
        <v>2.65</v>
      </c>
      <c r="Q7" s="1116">
        <f t="shared" si="2"/>
        <v>22.524999999999999</v>
      </c>
      <c r="R7" s="1116">
        <f t="shared" si="3"/>
        <v>0</v>
      </c>
      <c r="T7" s="274">
        <v>24</v>
      </c>
      <c r="U7" s="635">
        <v>33.5</v>
      </c>
      <c r="V7" s="635">
        <v>10</v>
      </c>
      <c r="W7" s="1117">
        <v>501238</v>
      </c>
      <c r="X7" s="56" cm="1">
        <f t="array" ref="X7">_xlfn.XLOOKUP(TROUGHING_IDLER[[#This Row],[MR_PN]],PC_500[[#All],[Part_PartNum]],PC_500[[#All],[Unit_Cost]])</f>
        <v>76.25</v>
      </c>
      <c r="Y7" s="56" t="s">
        <v>1072</v>
      </c>
      <c r="Z7" s="56" t="s">
        <v>1073</v>
      </c>
    </row>
    <row r="8" spans="1:26" ht="15" customHeight="1">
      <c r="A8" s="135">
        <v>2</v>
      </c>
      <c r="B8" s="135" cm="1">
        <f t="array" ref="B8">_xlfn.XLOOKUP(G8,SM_TBL[[#All],[Thickness]],SM_TBL[[#All],[MoC_PN]])</f>
        <v>101872</v>
      </c>
      <c r="C8" s="1679" t="s">
        <v>1074</v>
      </c>
      <c r="D8" s="1679"/>
      <c r="E8" s="1679"/>
      <c r="F8" s="147" t="s">
        <v>1005</v>
      </c>
      <c r="G8" s="135">
        <v>5.9499999999999997E-2</v>
      </c>
      <c r="H8" s="135">
        <v>1.25</v>
      </c>
      <c r="I8" s="135">
        <v>1.75</v>
      </c>
      <c r="J8" s="135">
        <v>0.28899999999999998</v>
      </c>
      <c r="K8" s="138">
        <f>G8*H8*I8</f>
        <v>0.13015625</v>
      </c>
      <c r="L8" s="138" t="s">
        <v>92</v>
      </c>
      <c r="M8" s="138">
        <f t="shared" si="0"/>
        <v>0.2603125</v>
      </c>
      <c r="N8" s="138">
        <f t="shared" si="1"/>
        <v>0</v>
      </c>
      <c r="O8" s="139">
        <f t="shared" si="4"/>
        <v>0.2603125</v>
      </c>
      <c r="P8" s="1114" cm="1">
        <f t="array" ref="P8">_xlfn.XLOOKUP(B8,MET_PRICE[[#All],[Part Number]],MET_PRICE[[#All],[Price ($/lb) Domestic]])</f>
        <v>2.9</v>
      </c>
      <c r="Q8" s="1114">
        <f t="shared" si="2"/>
        <v>0.75490625</v>
      </c>
      <c r="R8" s="1114">
        <f t="shared" si="3"/>
        <v>0</v>
      </c>
      <c r="T8" s="274">
        <v>30</v>
      </c>
      <c r="U8" s="635">
        <v>39.625</v>
      </c>
      <c r="V8" s="635">
        <v>10.6875</v>
      </c>
      <c r="W8" s="1117">
        <v>501264</v>
      </c>
      <c r="X8" s="56" cm="1">
        <f t="array" ref="X8">_xlfn.XLOOKUP(TROUGHING_IDLER[[#This Row],[MR_PN]],PC_500[[#All],[Part_PartNum]],PC_500[[#All],[Unit_Cost]])</f>
        <v>84.73</v>
      </c>
      <c r="Y8" s="56" t="s">
        <v>1075</v>
      </c>
      <c r="Z8" s="56" t="s">
        <v>1076</v>
      </c>
    </row>
    <row r="9" spans="1:26" ht="15" customHeight="1">
      <c r="A9" s="142">
        <v>2</v>
      </c>
      <c r="B9" s="142" cm="1">
        <f t="array" ref="B9">_xlfn.XLOOKUP(G9,SM_TBL[[#All],[Thickness]],SM_TBL[[#All],[MoC_PN]])</f>
        <v>101874</v>
      </c>
      <c r="C9" s="1678" t="s">
        <v>1077</v>
      </c>
      <c r="D9" s="1678"/>
      <c r="E9" s="1678"/>
      <c r="F9" s="143" t="s">
        <v>1005</v>
      </c>
      <c r="G9" s="142">
        <v>3.5000000000000003E-2</v>
      </c>
      <c r="H9" s="142">
        <v>2.125</v>
      </c>
      <c r="I9" s="142">
        <v>3.25</v>
      </c>
      <c r="J9" s="142">
        <v>0.28899999999999998</v>
      </c>
      <c r="K9" s="144">
        <f>G9*H9*I9</f>
        <v>0.24171875000000004</v>
      </c>
      <c r="L9" s="144" t="s">
        <v>92</v>
      </c>
      <c r="M9" s="144">
        <f t="shared" si="0"/>
        <v>0.48343750000000008</v>
      </c>
      <c r="N9" s="144">
        <f t="shared" si="1"/>
        <v>0</v>
      </c>
      <c r="O9" s="145">
        <f t="shared" si="4"/>
        <v>0.48343750000000008</v>
      </c>
      <c r="P9" s="1116" cm="1">
        <f t="array" ref="P9">_xlfn.XLOOKUP(B9,MET_PRICE[[#All],[Part Number]],MET_PRICE[[#All],[Price ($/lb) Domestic]])</f>
        <v>2.97</v>
      </c>
      <c r="Q9" s="1116">
        <f t="shared" si="2"/>
        <v>1.4358093750000003</v>
      </c>
      <c r="R9" s="1116">
        <f t="shared" si="3"/>
        <v>0</v>
      </c>
      <c r="T9" s="274">
        <v>36</v>
      </c>
      <c r="U9" s="635">
        <v>45.5</v>
      </c>
      <c r="V9" s="635">
        <v>11.4</v>
      </c>
      <c r="W9" s="1117">
        <v>501417</v>
      </c>
      <c r="X9" s="56" cm="1">
        <f t="array" ref="X9">_xlfn.XLOOKUP(TROUGHING_IDLER[[#This Row],[MR_PN]],PC_500[[#All],[Part_PartNum]],PC_500[[#All],[Unit_Cost]])</f>
        <v>101.68</v>
      </c>
      <c r="Y9" s="56" t="s">
        <v>1078</v>
      </c>
      <c r="Z9" s="56" t="s">
        <v>1079</v>
      </c>
    </row>
    <row r="10" spans="1:26" ht="15" customHeight="1">
      <c r="A10" s="135">
        <v>3</v>
      </c>
      <c r="B10" s="135" t="e" cm="1">
        <f t="array" ref="B10">_xlfn.XLOOKUP(Belt_W,TROUGHING_IDLER[[#All],[WIDTH]],TROUGHING_IDLER[[#All],[MR_PN]])</f>
        <v>#N/A</v>
      </c>
      <c r="C10" s="1681" t="e" cm="1">
        <f t="array" ref="C10">_xlfn.XLOOKUP(Belt_W,TROUGHING_IDLER[[#All],[WIDTH]],TROUGHING_IDLER[[#All],[MR_DESC]])</f>
        <v>#N/A</v>
      </c>
      <c r="D10" s="1682" t="e" cm="1">
        <f t="array" ref="D10">_xlfn.XLOOKUP(Belt_W,TROUGHING_IDLER[[#All],[WIDTH]],TROUGHING_IDLER[[#All],[MR_PN]])</f>
        <v>#N/A</v>
      </c>
      <c r="E10" s="1682" t="e" cm="1">
        <f t="array" ref="E10">_xlfn.XLOOKUP(Belt_W,TROUGHING_IDLER[[#All],[WIDTH]],TROUGHING_IDLER[[#All],[MR_PN]])</f>
        <v>#N/A</v>
      </c>
      <c r="F10" s="135" t="s">
        <v>911</v>
      </c>
      <c r="G10" s="135"/>
      <c r="H10" s="135"/>
      <c r="I10" s="135"/>
      <c r="J10" s="135"/>
      <c r="K10" s="135">
        <v>1</v>
      </c>
      <c r="L10" s="1112" t="s">
        <v>1014</v>
      </c>
      <c r="M10" s="1112">
        <f t="shared" si="0"/>
        <v>3</v>
      </c>
      <c r="N10" s="1112">
        <f t="shared" si="1"/>
        <v>0</v>
      </c>
      <c r="O10" s="670">
        <f>3.9*3</f>
        <v>11.7</v>
      </c>
      <c r="P10" s="1114" t="e" cm="1">
        <f t="array" ref="P10">_xlfn.XLOOKUP(B10,PP_COST[[#All],[PART NUMBER]],PP_COST[[#All],[UNIT COST]])</f>
        <v>#N/A</v>
      </c>
      <c r="Q10" s="1114" t="e">
        <f t="shared" si="2"/>
        <v>#N/A</v>
      </c>
      <c r="R10" s="1114" t="e">
        <f t="shared" si="3"/>
        <v>#N/A</v>
      </c>
      <c r="T10" s="274">
        <v>48</v>
      </c>
      <c r="U10" s="635">
        <v>57.5</v>
      </c>
      <c r="V10" s="635">
        <v>13</v>
      </c>
      <c r="W10" s="1117">
        <v>501418</v>
      </c>
      <c r="X10" s="661">
        <v>135.28</v>
      </c>
      <c r="Y10" s="56" t="s">
        <v>1080</v>
      </c>
      <c r="Z10" s="56" t="s">
        <v>1081</v>
      </c>
    </row>
    <row r="11" spans="1:26" ht="15" customHeight="1">
      <c r="A11" s="142">
        <v>2</v>
      </c>
      <c r="B11" s="1118" t="s">
        <v>828</v>
      </c>
      <c r="C11" s="1683" t="s">
        <v>1082</v>
      </c>
      <c r="D11" s="1684"/>
      <c r="E11" s="1684"/>
      <c r="F11" s="142" t="s">
        <v>911</v>
      </c>
      <c r="G11" s="1118" t="s">
        <v>824</v>
      </c>
      <c r="H11" s="142"/>
      <c r="I11" s="142"/>
      <c r="J11" s="142"/>
      <c r="K11" s="142">
        <v>1</v>
      </c>
      <c r="L11" s="1118" t="s">
        <v>1014</v>
      </c>
      <c r="M11" s="1118">
        <f t="shared" si="0"/>
        <v>2</v>
      </c>
      <c r="N11" s="1118">
        <f t="shared" si="1"/>
        <v>0</v>
      </c>
      <c r="O11" s="142"/>
      <c r="P11" s="1116" cm="1">
        <f t="array" ref="P11">_xlfn.XLOOKUP(B11,HW_COST[[#All],[PART NUMBER]],HW_COST[[#All],[UNIT COST]])</f>
        <v>0.29759999999999998</v>
      </c>
      <c r="Q11" s="1116">
        <f t="shared" si="2"/>
        <v>0.59519999999999995</v>
      </c>
      <c r="R11" s="1116">
        <f t="shared" si="3"/>
        <v>0</v>
      </c>
    </row>
    <row r="12" spans="1:26" ht="15" customHeight="1">
      <c r="A12" s="135"/>
      <c r="B12" s="135"/>
      <c r="C12" s="1685" t="s">
        <v>920</v>
      </c>
      <c r="D12" s="1685"/>
      <c r="E12" s="1685"/>
      <c r="F12" s="135"/>
      <c r="G12" s="135">
        <v>1</v>
      </c>
      <c r="H12" s="135" t="s">
        <v>1017</v>
      </c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26" ht="15" customHeight="1">
      <c r="A13" s="149"/>
      <c r="B13" s="149"/>
      <c r="C13" s="149"/>
      <c r="D13" s="149"/>
      <c r="E13" s="150" t="s">
        <v>911</v>
      </c>
      <c r="F13" s="151" t="e">
        <f>SUMIF($F4:$F11,E13,$Q4:$Q11)</f>
        <v>#N/A</v>
      </c>
      <c r="G13" s="150" t="s">
        <v>1005</v>
      </c>
      <c r="H13" s="151" t="e">
        <f>SUMIF($F4:$F11,G13,$Q4:$Q11)</f>
        <v>#N/A</v>
      </c>
      <c r="I13" s="1680" t="s">
        <v>914</v>
      </c>
      <c r="J13" s="1680"/>
      <c r="K13" s="151">
        <f>SUMIF($F4:$F11,J13,$Q4:$Q11)</f>
        <v>0</v>
      </c>
      <c r="L13" s="149"/>
      <c r="M13" s="149"/>
      <c r="N13" s="150" t="s">
        <v>1018</v>
      </c>
      <c r="O13" s="145" t="e">
        <f>SUM(O4:O12)</f>
        <v>#N/A</v>
      </c>
      <c r="P13" s="152" t="s">
        <v>1019</v>
      </c>
      <c r="Q13" s="1119" t="e">
        <f>SUM(Q4:Q12)</f>
        <v>#N/A</v>
      </c>
      <c r="R13" s="1116" t="e">
        <f>SUM(R4:R12)</f>
        <v>#N/A</v>
      </c>
    </row>
    <row r="14" spans="1:26">
      <c r="G14" s="636"/>
    </row>
    <row r="15" spans="1:26">
      <c r="G15" s="636"/>
    </row>
    <row r="16" spans="1:26">
      <c r="G16" s="636"/>
    </row>
    <row r="17" spans="1:24">
      <c r="G17" s="636"/>
    </row>
    <row r="18" spans="1:24">
      <c r="G18" s="636"/>
    </row>
    <row r="19" spans="1:24">
      <c r="G19" s="636"/>
    </row>
    <row r="20" spans="1:24">
      <c r="G20" s="636"/>
    </row>
    <row r="21" spans="1:24">
      <c r="G21" s="636"/>
    </row>
    <row r="22" spans="1:24" ht="15.75" thickBot="1">
      <c r="G22" s="636"/>
    </row>
    <row r="23" spans="1:24" ht="15.75" thickBot="1">
      <c r="A23" s="356" t="e" cm="1">
        <f t="array" ref="A23">_xlfn.XLOOKUP(Belt_W,RET_IDL[[#All],[WIDTH]],RET_IDL[[#All],[RIA_DESC]])</f>
        <v>#N/A</v>
      </c>
      <c r="B23" s="357"/>
      <c r="C23" s="357"/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357"/>
      <c r="O23" s="357"/>
      <c r="P23" s="357"/>
      <c r="Q23" s="357"/>
      <c r="R23" s="357"/>
      <c r="S23" s="97" cm="1">
        <f t="array" ref="S23">SUM(ROUNDUP(Design!AL90:AM92/10,0))</f>
        <v>0</v>
      </c>
      <c r="T23" s="153">
        <f>H29*S23</f>
        <v>0</v>
      </c>
      <c r="U23" s="154">
        <f>G28*S23</f>
        <v>0</v>
      </c>
      <c r="V23" s="153" t="e">
        <f>F29*S23</f>
        <v>#N/A</v>
      </c>
      <c r="W23" s="153">
        <f>K29*S23</f>
        <v>0</v>
      </c>
    </row>
    <row r="24" spans="1:24">
      <c r="A24" s="155">
        <v>2</v>
      </c>
      <c r="B24" s="155" cm="1">
        <f t="array" ref="B24">_xlfn.XLOOKUP(G24,SM_TBL[[#All],[Thickness]],SM_TBL[[#All],[MoC_PN]])</f>
        <v>101869</v>
      </c>
      <c r="C24" s="1691" t="s">
        <v>1083</v>
      </c>
      <c r="D24" s="1691"/>
      <c r="E24" s="1691"/>
      <c r="F24" s="156" t="s">
        <v>1005</v>
      </c>
      <c r="G24" s="155">
        <v>0.12</v>
      </c>
      <c r="H24" s="155">
        <v>6.125</v>
      </c>
      <c r="I24" s="155">
        <v>9</v>
      </c>
      <c r="J24" s="155">
        <v>0.28899999999999998</v>
      </c>
      <c r="K24" s="157">
        <f>G24*H24*I24*J24</f>
        <v>1.911735</v>
      </c>
      <c r="L24" s="1120" t="s">
        <v>92</v>
      </c>
      <c r="M24" s="157">
        <f>A24*K24</f>
        <v>3.8234699999999999</v>
      </c>
      <c r="N24" s="157">
        <f>$S$23*M24</f>
        <v>0</v>
      </c>
      <c r="O24" s="158">
        <f t="shared" ref="O24:O25" si="5">A24*K24</f>
        <v>3.8234699999999999</v>
      </c>
      <c r="P24" s="1121" cm="1">
        <f t="array" ref="P24">_xlfn.XLOOKUP(B24,MET_PRICE[[#All],[Part Number]],MET_PRICE[[#All],[Price ($/lb) Domestic]])</f>
        <v>2.89</v>
      </c>
      <c r="Q24" s="1121">
        <f t="shared" ref="Q24:Q27" si="6">M24*P24</f>
        <v>11.0498283</v>
      </c>
      <c r="R24" s="1121">
        <f t="shared" ref="R24:R27" si="7">N24*P24</f>
        <v>0</v>
      </c>
    </row>
    <row r="25" spans="1:24">
      <c r="A25" s="159">
        <v>2</v>
      </c>
      <c r="B25" s="159" cm="1">
        <f t="array" ref="B25">_xlfn.XLOOKUP(G25,SM_TBL[[#All],[Thickness]],SM_TBL[[#All],[MoC_PN]])</f>
        <v>101872</v>
      </c>
      <c r="C25" s="1692" t="s">
        <v>1074</v>
      </c>
      <c r="D25" s="1692"/>
      <c r="E25" s="1692"/>
      <c r="F25" s="160" t="s">
        <v>1005</v>
      </c>
      <c r="G25" s="159">
        <v>5.9499999999999997E-2</v>
      </c>
      <c r="H25" s="159">
        <v>1.25</v>
      </c>
      <c r="I25" s="159">
        <v>1.75</v>
      </c>
      <c r="J25" s="159">
        <v>0.28899999999999998</v>
      </c>
      <c r="K25" s="161">
        <f>G25*H25*I25*J25</f>
        <v>3.7615156249999997E-2</v>
      </c>
      <c r="L25" s="1122" t="s">
        <v>92</v>
      </c>
      <c r="M25" s="161">
        <f t="shared" ref="M25:M27" si="8">A25*K25</f>
        <v>7.5230312499999993E-2</v>
      </c>
      <c r="N25" s="161">
        <f t="shared" ref="N25:N27" si="9">$S$23*M25</f>
        <v>0</v>
      </c>
      <c r="O25" s="162">
        <f t="shared" si="5"/>
        <v>7.5230312499999993E-2</v>
      </c>
      <c r="P25" s="1123" cm="1">
        <f t="array" ref="P25">_xlfn.XLOOKUP(B25,MET_PRICE[[#All],[Part Number]],MET_PRICE[[#All],[Price ($/lb) Domestic]])</f>
        <v>2.9</v>
      </c>
      <c r="Q25" s="1123">
        <f t="shared" si="6"/>
        <v>0.21816790624999999</v>
      </c>
      <c r="R25" s="1123">
        <f t="shared" si="7"/>
        <v>0</v>
      </c>
      <c r="T25" s="274" t="s">
        <v>1061</v>
      </c>
      <c r="U25" s="1109" t="s">
        <v>1084</v>
      </c>
      <c r="V25" s="1109" t="s">
        <v>1085</v>
      </c>
      <c r="W25" s="1109" t="s">
        <v>1086</v>
      </c>
      <c r="X25" s="1109" t="s">
        <v>1087</v>
      </c>
    </row>
    <row r="26" spans="1:24">
      <c r="A26" s="155">
        <v>1</v>
      </c>
      <c r="B26" s="155" t="e" cm="1">
        <f t="array" ref="B26">_xlfn.XLOOKUP(Belt_W,RET_IDL[[#All],[WIDTH]],RET_IDL[[#All],[RI_PN]])</f>
        <v>#N/A</v>
      </c>
      <c r="C26" s="1686" t="e" cm="1">
        <f t="array" ref="C26">_xlfn.XLOOKUP(Belt_W,RET_IDL[[#All],[WIDTH]],RET_IDL[[#All],[RI_DESC]])</f>
        <v>#N/A</v>
      </c>
      <c r="D26" s="1687" t="e" cm="1">
        <f t="array" ref="D26">_xlfn.XLOOKUP(Belt_W,RET_IDL[[#All],[WIDTH]],RET_IDL[[#All],[RI_PN]])</f>
        <v>#N/A</v>
      </c>
      <c r="E26" s="1687" t="e" cm="1">
        <f t="array" ref="E26">_xlfn.XLOOKUP(Belt_W,RET_IDL[[#All],[WIDTH]],RET_IDL[[#All],[RI_PN]])</f>
        <v>#N/A</v>
      </c>
      <c r="F26" s="155" t="s">
        <v>911</v>
      </c>
      <c r="G26" s="155"/>
      <c r="H26" s="155"/>
      <c r="I26" s="155"/>
      <c r="J26" s="155"/>
      <c r="K26" s="155">
        <v>1</v>
      </c>
      <c r="L26" s="1124" t="s">
        <v>1014</v>
      </c>
      <c r="M26" s="155">
        <f t="shared" si="8"/>
        <v>1</v>
      </c>
      <c r="N26" s="155">
        <f t="shared" si="9"/>
        <v>0</v>
      </c>
      <c r="O26" s="158">
        <v>10.14</v>
      </c>
      <c r="P26" s="1121" t="e" cm="1">
        <f t="array" ref="P26">_xlfn.XLOOKUP(B26,PP_COST[[#All],[PART NUMBER]],PP_COST[[#All],[UNIT COST]])</f>
        <v>#N/A</v>
      </c>
      <c r="Q26" s="1121" t="e">
        <f t="shared" si="6"/>
        <v>#N/A</v>
      </c>
      <c r="R26" s="1121" t="e">
        <f t="shared" si="7"/>
        <v>#N/A</v>
      </c>
      <c r="T26" s="274">
        <v>18</v>
      </c>
      <c r="U26" s="1117">
        <v>501497</v>
      </c>
      <c r="V26" s="56" cm="1">
        <f t="array" ref="V26">_xlfn.XLOOKUP(RET_IDL[[#This Row],[RI_PN]],PC_500[[#All],[Part_PartNum]],PC_500[[#All],[Unit_Cost]])</f>
        <v>205.49</v>
      </c>
      <c r="W26" s="56" t="s">
        <v>1088</v>
      </c>
      <c r="X26" s="56" t="s">
        <v>1089</v>
      </c>
    </row>
    <row r="27" spans="1:24">
      <c r="A27" s="159">
        <v>2</v>
      </c>
      <c r="B27" s="159" t="s">
        <v>828</v>
      </c>
      <c r="C27" s="1688" t="s">
        <v>1082</v>
      </c>
      <c r="D27" s="1688"/>
      <c r="E27" s="1688"/>
      <c r="F27" s="159" t="s">
        <v>911</v>
      </c>
      <c r="G27" s="159" t="s">
        <v>824</v>
      </c>
      <c r="H27" s="159"/>
      <c r="I27" s="159"/>
      <c r="J27" s="159"/>
      <c r="K27" s="159">
        <v>1</v>
      </c>
      <c r="L27" s="1125" t="s">
        <v>1014</v>
      </c>
      <c r="M27" s="159">
        <f t="shared" si="8"/>
        <v>2</v>
      </c>
      <c r="N27" s="159">
        <f t="shared" si="9"/>
        <v>0</v>
      </c>
      <c r="O27" s="159"/>
      <c r="P27" s="1123" cm="1">
        <f t="array" ref="P27">_xlfn.XLOOKUP(B27,HW_COST[[#All],[PART NUMBER]],HW_COST[[#All],[UNIT COST]])</f>
        <v>0.29759999999999998</v>
      </c>
      <c r="Q27" s="1123">
        <f t="shared" si="6"/>
        <v>0.59519999999999995</v>
      </c>
      <c r="R27" s="1123">
        <f t="shared" si="7"/>
        <v>0</v>
      </c>
      <c r="T27" s="274">
        <v>24</v>
      </c>
      <c r="U27" s="1117">
        <v>501498</v>
      </c>
      <c r="V27" s="56" cm="1">
        <f t="array" ref="V27">_xlfn.XLOOKUP(RET_IDL[[#This Row],[RI_PN]],PC_500[[#All],[Part_PartNum]],PC_500[[#All],[Unit_Cost]])</f>
        <v>153.81</v>
      </c>
      <c r="W27" s="56" t="s">
        <v>1090</v>
      </c>
      <c r="X27" s="56" t="s">
        <v>1091</v>
      </c>
    </row>
    <row r="28" spans="1:24">
      <c r="A28" s="155"/>
      <c r="B28" s="155"/>
      <c r="C28" s="1689" t="s">
        <v>920</v>
      </c>
      <c r="D28" s="1689"/>
      <c r="E28" s="1689"/>
      <c r="F28" s="155"/>
      <c r="G28" s="155">
        <v>1</v>
      </c>
      <c r="H28" s="155" t="s">
        <v>1017</v>
      </c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T28" s="274">
        <v>30</v>
      </c>
      <c r="U28" s="1117">
        <v>501499</v>
      </c>
      <c r="V28" s="56" cm="1">
        <f t="array" ref="V28">_xlfn.XLOOKUP(RET_IDL[[#This Row],[RI_PN]],PC_500[[#All],[Part_PartNum]],PC_500[[#All],[Unit_Cost]])</f>
        <v>164.57</v>
      </c>
      <c r="W28" s="56" t="s">
        <v>1092</v>
      </c>
    </row>
    <row r="29" spans="1:24">
      <c r="A29" s="163"/>
      <c r="B29" s="163"/>
      <c r="C29" s="163"/>
      <c r="D29" s="163"/>
      <c r="E29" s="164" t="s">
        <v>911</v>
      </c>
      <c r="F29" s="165" t="e">
        <f>SUMIF($F24:$F27,E29,$Q24:$Q27)</f>
        <v>#N/A</v>
      </c>
      <c r="G29" s="164" t="s">
        <v>1005</v>
      </c>
      <c r="H29" s="165">
        <f>SUMIF($F24:$F27,G29,$Q24:$Q27)</f>
        <v>11.26799620625</v>
      </c>
      <c r="I29" s="1690" t="s">
        <v>914</v>
      </c>
      <c r="J29" s="1690"/>
      <c r="K29" s="165">
        <f>SUMIF($F24:$F27,I29,$Q24:$Q27)</f>
        <v>0</v>
      </c>
      <c r="L29" s="163"/>
      <c r="M29" s="163"/>
      <c r="N29" s="164" t="s">
        <v>1018</v>
      </c>
      <c r="O29" s="162">
        <f>SUM(O24:O28)</f>
        <v>14.038700312500001</v>
      </c>
      <c r="P29" s="166" t="s">
        <v>1019</v>
      </c>
      <c r="Q29" s="1126" t="e">
        <f>SUM(Q24:Q28)</f>
        <v>#N/A</v>
      </c>
      <c r="R29" s="1123" t="e">
        <f>SUM(R24:R28)</f>
        <v>#N/A</v>
      </c>
      <c r="T29" s="274">
        <v>36</v>
      </c>
      <c r="U29" s="1117">
        <v>501500</v>
      </c>
      <c r="V29" s="56" cm="1">
        <f t="array" ref="V29">_xlfn.XLOOKUP(RET_IDL[[#This Row],[RI_PN]],PC_500[[#All],[Part_PartNum]],PC_500[[#All],[Unit_Cost]])</f>
        <v>208</v>
      </c>
      <c r="W29" s="56" t="s">
        <v>1093</v>
      </c>
      <c r="X29" s="56" t="s">
        <v>1094</v>
      </c>
    </row>
    <row r="30" spans="1:24">
      <c r="G30" s="636"/>
      <c r="T30" s="274">
        <v>48</v>
      </c>
      <c r="U30" s="1117">
        <v>501502</v>
      </c>
      <c r="V30" s="56" cm="1">
        <f t="array" ref="V30">_xlfn.XLOOKUP(RET_IDL[[#This Row],[RI_PN]],PC_500[[#All],[Part_PartNum]],PC_500[[#All],[Unit_Cost]])</f>
        <v>464.4</v>
      </c>
      <c r="W30" s="1093" t="s">
        <v>1095</v>
      </c>
      <c r="X30" s="56" t="s">
        <v>1096</v>
      </c>
    </row>
    <row r="31" spans="1:24">
      <c r="G31" s="636"/>
    </row>
    <row r="32" spans="1:24">
      <c r="G32" s="636"/>
    </row>
    <row r="33" spans="1:25">
      <c r="G33" s="636"/>
    </row>
    <row r="34" spans="1:25">
      <c r="G34" s="636"/>
    </row>
    <row r="35" spans="1:25">
      <c r="G35" s="636"/>
    </row>
    <row r="36" spans="1:25">
      <c r="G36" s="636"/>
    </row>
    <row r="37" spans="1:25">
      <c r="G37" s="636"/>
    </row>
    <row r="38" spans="1:25">
      <c r="G38" s="636"/>
    </row>
    <row r="39" spans="1:25">
      <c r="G39" s="636"/>
    </row>
    <row r="40" spans="1:25">
      <c r="G40" s="636"/>
    </row>
    <row r="41" spans="1:25">
      <c r="G41" s="636"/>
    </row>
    <row r="42" spans="1:25" ht="15.75" thickBot="1">
      <c r="G42" s="636"/>
    </row>
    <row r="43" spans="1:25" ht="15.75" thickBot="1">
      <c r="A43" s="379" t="e" cm="1">
        <f t="array" ref="A43">_xlfn.XLOOKUP(Belt_W,FLAT_I_TBL[[#All],[WIDTH]],FLAT_I_TBL[[#All],[FIA_DESC]])</f>
        <v>#N/A</v>
      </c>
      <c r="B43" s="380"/>
      <c r="C43" s="380"/>
      <c r="D43" s="380"/>
      <c r="E43" s="380"/>
      <c r="F43" s="380"/>
      <c r="G43" s="380"/>
      <c r="H43" s="380"/>
      <c r="I43" s="380"/>
      <c r="J43" s="380"/>
      <c r="K43" s="380"/>
      <c r="L43" s="380"/>
      <c r="M43" s="380"/>
      <c r="N43" s="380"/>
      <c r="O43" s="380"/>
      <c r="P43" s="291" t="s">
        <v>1097</v>
      </c>
      <c r="Q43" s="291"/>
      <c r="R43" s="291">
        <f>Belt_W</f>
        <v>0</v>
      </c>
      <c r="S43" s="97" cm="1">
        <f t="array" ref="S43">IdlerQty(Belt_W,I_TYPE,C_DIM_A,C_DIM_B,C_DIM_C,CI_SPACING,N_IMP_Z,L_IMP_Z,II_SPACING,P43,R43)</f>
        <v>0</v>
      </c>
      <c r="T43" s="153">
        <f>H49*S43</f>
        <v>0</v>
      </c>
      <c r="U43" s="154">
        <f>G48*S43</f>
        <v>0</v>
      </c>
      <c r="V43" s="153" t="e">
        <f>F49*S43</f>
        <v>#N/A</v>
      </c>
      <c r="W43" s="153">
        <f>K49</f>
        <v>0</v>
      </c>
    </row>
    <row r="44" spans="1:25">
      <c r="A44" s="167">
        <v>2</v>
      </c>
      <c r="B44" s="167" cm="1">
        <f t="array" ref="B44">_xlfn.XLOOKUP(G44,SM_TBL[[#All],[Thickness]],SM_TBL[[#All],[MoC_PN]])</f>
        <v>101869</v>
      </c>
      <c r="C44" s="1698" t="s">
        <v>1098</v>
      </c>
      <c r="D44" s="1698"/>
      <c r="E44" s="1698"/>
      <c r="F44" s="168" t="s">
        <v>1005</v>
      </c>
      <c r="G44" s="167">
        <v>0.12</v>
      </c>
      <c r="H44" s="167">
        <v>8.5</v>
      </c>
      <c r="I44" s="167">
        <v>9</v>
      </c>
      <c r="J44" s="167">
        <v>0.28899999999999998</v>
      </c>
      <c r="K44" s="169">
        <f>G44*H44*I44*J44</f>
        <v>2.6530199999999997</v>
      </c>
      <c r="L44" s="169" t="s">
        <v>92</v>
      </c>
      <c r="M44" s="169">
        <f>A44*K44</f>
        <v>5.3060399999999994</v>
      </c>
      <c r="N44" s="169">
        <f>$S$43*M44</f>
        <v>0</v>
      </c>
      <c r="O44" s="170">
        <f t="shared" ref="O44:O45" si="10">A44*K44</f>
        <v>5.3060399999999994</v>
      </c>
      <c r="P44" s="1127" cm="1">
        <f t="array" ref="P44">_xlfn.XLOOKUP(B44,MET_PRICE[[#All],[Part Number]],MET_PRICE[[#All],[Price ($/lb) Domestic]])</f>
        <v>2.89</v>
      </c>
      <c r="Q44" s="1127">
        <f t="shared" ref="Q44:Q47" si="11">M44*P44</f>
        <v>15.334455599999998</v>
      </c>
      <c r="R44" s="1127">
        <f t="shared" ref="R44:R47" si="12">N44*P44</f>
        <v>0</v>
      </c>
    </row>
    <row r="45" spans="1:25">
      <c r="A45" s="171">
        <v>2</v>
      </c>
      <c r="B45" s="171" cm="1">
        <f t="array" ref="B45">_xlfn.XLOOKUP(G45,SM_TBL[[#All],[Thickness]],SM_TBL[[#All],[MoC_PN]])</f>
        <v>101872</v>
      </c>
      <c r="C45" s="1699" t="s">
        <v>1074</v>
      </c>
      <c r="D45" s="1699"/>
      <c r="E45" s="1699"/>
      <c r="F45" s="172" t="s">
        <v>1005</v>
      </c>
      <c r="G45" s="171">
        <v>5.9499999999999997E-2</v>
      </c>
      <c r="H45" s="171">
        <v>1.25</v>
      </c>
      <c r="I45" s="171">
        <v>1.75</v>
      </c>
      <c r="J45" s="171">
        <v>0.28899999999999998</v>
      </c>
      <c r="K45" s="173">
        <f>G45*H45*I45*J45</f>
        <v>3.7615156249999997E-2</v>
      </c>
      <c r="L45" s="173" t="s">
        <v>92</v>
      </c>
      <c r="M45" s="173">
        <f t="shared" ref="M45:M47" si="13">A45*K45</f>
        <v>7.5230312499999993E-2</v>
      </c>
      <c r="N45" s="173">
        <f t="shared" ref="N45:N47" si="14">$S$43*M45</f>
        <v>0</v>
      </c>
      <c r="O45" s="174">
        <f t="shared" si="10"/>
        <v>7.5230312499999993E-2</v>
      </c>
      <c r="P45" s="1128" cm="1">
        <f t="array" ref="P45">_xlfn.XLOOKUP(B45,MET_PRICE[[#All],[Part Number]],MET_PRICE[[#All],[Price ($/lb) Domestic]])</f>
        <v>2.9</v>
      </c>
      <c r="Q45" s="1128">
        <f t="shared" si="11"/>
        <v>0.21816790624999999</v>
      </c>
      <c r="R45" s="1128">
        <f t="shared" si="12"/>
        <v>0</v>
      </c>
      <c r="T45" s="1109" t="s">
        <v>1061</v>
      </c>
      <c r="U45" s="274" t="s">
        <v>1099</v>
      </c>
      <c r="V45" s="1109" t="s">
        <v>1100</v>
      </c>
      <c r="W45" s="274" t="s">
        <v>1101</v>
      </c>
      <c r="X45" s="274" t="s">
        <v>1102</v>
      </c>
      <c r="Y45" s="274" t="s">
        <v>1103</v>
      </c>
    </row>
    <row r="46" spans="1:25">
      <c r="A46" s="167">
        <v>1</v>
      </c>
      <c r="B46" s="167" t="e" cm="1">
        <f t="array" ref="B46">_xlfn.XLOOKUP(Belt_W,FLAT_I_TBL[[#All],[WIDTH]],FLAT_I_TBL[[#All],[FI_PN]])</f>
        <v>#N/A</v>
      </c>
      <c r="C46" s="1700" t="e" cm="1">
        <f t="array" ref="C46">_xlfn.XLOOKUP(Belt_W,FLAT_I_TBL[[#All],[WIDTH]],FLAT_I_TBL[[#All],[FI_DESC]])</f>
        <v>#N/A</v>
      </c>
      <c r="D46" s="1700" t="e" cm="1">
        <f t="array" ref="D46">_xlfn.XLOOKUP(Belt_W,FLAT_I_TBL[[#All],[WIDTH]],FLAT_I_TBL[[#All],[FI_PN]])</f>
        <v>#N/A</v>
      </c>
      <c r="E46" s="1700" t="e" cm="1">
        <f t="array" ref="E46">_xlfn.XLOOKUP(Belt_W,FLAT_I_TBL[[#All],[WIDTH]],FLAT_I_TBL[[#All],[FI_PN]])</f>
        <v>#N/A</v>
      </c>
      <c r="F46" s="167" t="s">
        <v>911</v>
      </c>
      <c r="G46" s="167"/>
      <c r="H46" s="167"/>
      <c r="I46" s="167"/>
      <c r="J46" s="167"/>
      <c r="K46" s="167">
        <v>1</v>
      </c>
      <c r="L46" s="167" t="s">
        <v>1014</v>
      </c>
      <c r="M46" s="167">
        <f t="shared" si="13"/>
        <v>1</v>
      </c>
      <c r="N46" s="167">
        <f t="shared" si="14"/>
        <v>0</v>
      </c>
      <c r="O46" s="170" t="e" cm="1">
        <f t="array" ref="O46">_xlfn.XLOOKUP(Belt_W,FLAT_I_TBL[[#All],[WIDTH]],FLAT_I_TBL[[#All],[FI_WT]])</f>
        <v>#N/A</v>
      </c>
      <c r="P46" s="1127" t="e" cm="1">
        <f t="array" ref="P46">_xlfn.XLOOKUP(B46,PP_COST[[#All],[PART NUMBER]],PP_COST[[#All],[UNIT COST]])</f>
        <v>#N/A</v>
      </c>
      <c r="Q46" s="1127" t="e">
        <f t="shared" si="11"/>
        <v>#N/A</v>
      </c>
      <c r="R46" s="1127" t="e">
        <f t="shared" si="12"/>
        <v>#N/A</v>
      </c>
      <c r="T46" s="274">
        <v>18</v>
      </c>
      <c r="U46" s="1117">
        <v>501497</v>
      </c>
      <c r="V46" s="56">
        <v>10</v>
      </c>
      <c r="W46" s="56">
        <f>V26</f>
        <v>205.49</v>
      </c>
      <c r="X46" s="1093" t="s">
        <v>1088</v>
      </c>
      <c r="Y46" s="56" t="s">
        <v>1104</v>
      </c>
    </row>
    <row r="47" spans="1:25">
      <c r="A47" s="171">
        <v>2</v>
      </c>
      <c r="B47" s="171" t="s">
        <v>828</v>
      </c>
      <c r="C47" s="1695" t="s">
        <v>1082</v>
      </c>
      <c r="D47" s="1695"/>
      <c r="E47" s="1695"/>
      <c r="F47" s="171" t="s">
        <v>911</v>
      </c>
      <c r="G47" s="171" t="s">
        <v>824</v>
      </c>
      <c r="H47" s="171"/>
      <c r="I47" s="171"/>
      <c r="J47" s="171"/>
      <c r="K47" s="171">
        <v>1</v>
      </c>
      <c r="L47" s="171" t="s">
        <v>1014</v>
      </c>
      <c r="M47" s="171">
        <f t="shared" si="13"/>
        <v>2</v>
      </c>
      <c r="N47" s="171">
        <f t="shared" si="14"/>
        <v>0</v>
      </c>
      <c r="O47" s="171"/>
      <c r="P47" s="1128" cm="1">
        <f t="array" ref="P47">_xlfn.XLOOKUP(B47,HW_COST[[#All],[PART NUMBER]],HW_COST[[#All],[UNIT COST]])</f>
        <v>0.29759999999999998</v>
      </c>
      <c r="Q47" s="1128">
        <f t="shared" si="11"/>
        <v>0.59519999999999995</v>
      </c>
      <c r="R47" s="1128">
        <f t="shared" si="12"/>
        <v>0</v>
      </c>
      <c r="T47" s="274">
        <v>24</v>
      </c>
      <c r="U47" s="1117">
        <v>501498</v>
      </c>
      <c r="V47" s="56">
        <v>10</v>
      </c>
      <c r="W47" s="56">
        <f t="shared" ref="W47:W50" si="15">V27</f>
        <v>153.81</v>
      </c>
      <c r="X47" s="56" t="s">
        <v>1090</v>
      </c>
      <c r="Y47" s="56" t="s">
        <v>1105</v>
      </c>
    </row>
    <row r="48" spans="1:25">
      <c r="A48" s="167"/>
      <c r="B48" s="167"/>
      <c r="C48" s="1696" t="s">
        <v>920</v>
      </c>
      <c r="D48" s="1696"/>
      <c r="E48" s="1696"/>
      <c r="F48" s="167"/>
      <c r="G48" s="167">
        <v>1</v>
      </c>
      <c r="H48" s="167" t="s">
        <v>1017</v>
      </c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T48" s="274">
        <v>30</v>
      </c>
      <c r="U48" s="1117">
        <v>501499</v>
      </c>
      <c r="V48" s="56">
        <v>10</v>
      </c>
      <c r="W48" s="56">
        <f t="shared" si="15"/>
        <v>164.57</v>
      </c>
      <c r="X48" s="56" t="s">
        <v>1092</v>
      </c>
      <c r="Y48" s="56" t="s">
        <v>1106</v>
      </c>
    </row>
    <row r="49" spans="1:26">
      <c r="A49" s="175"/>
      <c r="B49" s="175"/>
      <c r="C49" s="175"/>
      <c r="D49" s="175"/>
      <c r="E49" s="176" t="s">
        <v>911</v>
      </c>
      <c r="F49" s="177" t="e">
        <f>SUMIF($F44:$F47,E49,$Q44:$Q47)</f>
        <v>#N/A</v>
      </c>
      <c r="G49" s="176" t="s">
        <v>1005</v>
      </c>
      <c r="H49" s="177">
        <f>SUMIF($F44:$F47,G49,$Q44:$Q47)</f>
        <v>15.552623506249999</v>
      </c>
      <c r="I49" s="1697" t="s">
        <v>914</v>
      </c>
      <c r="J49" s="1697"/>
      <c r="K49" s="177">
        <f>SUMIF($F44:$F47,J49,$Q44:$Q47)</f>
        <v>0</v>
      </c>
      <c r="L49" s="175"/>
      <c r="M49" s="175"/>
      <c r="N49" s="176" t="s">
        <v>1018</v>
      </c>
      <c r="O49" s="174" t="e">
        <f>SUM(O44:O48)</f>
        <v>#N/A</v>
      </c>
      <c r="P49" s="178" t="s">
        <v>1019</v>
      </c>
      <c r="Q49" s="1129" t="e">
        <f>SUM(Q44:Q48)</f>
        <v>#N/A</v>
      </c>
      <c r="R49" s="1128" t="e">
        <f>SUM(R44:R48)</f>
        <v>#N/A</v>
      </c>
      <c r="T49" s="274">
        <v>36</v>
      </c>
      <c r="U49" s="1117">
        <v>501500</v>
      </c>
      <c r="V49" s="56">
        <v>10</v>
      </c>
      <c r="W49" s="56">
        <f t="shared" si="15"/>
        <v>208</v>
      </c>
      <c r="X49" s="56" t="s">
        <v>1093</v>
      </c>
      <c r="Y49" s="56" t="s">
        <v>1107</v>
      </c>
    </row>
    <row r="50" spans="1:26">
      <c r="G50" s="636"/>
      <c r="T50" s="274">
        <v>48</v>
      </c>
      <c r="U50" s="1117">
        <v>501502</v>
      </c>
      <c r="V50" s="56">
        <v>10</v>
      </c>
      <c r="W50" s="56">
        <f t="shared" si="15"/>
        <v>464.4</v>
      </c>
      <c r="X50" s="56" t="s">
        <v>1095</v>
      </c>
      <c r="Y50" s="56" t="s">
        <v>1108</v>
      </c>
    </row>
    <row r="51" spans="1:26">
      <c r="G51" s="636"/>
    </row>
    <row r="52" spans="1:26">
      <c r="G52" s="636"/>
      <c r="Z52" s="56">
        <v>205.5</v>
      </c>
    </row>
    <row r="53" spans="1:26">
      <c r="G53" s="636"/>
      <c r="Z53" s="56">
        <v>196.45</v>
      </c>
    </row>
    <row r="54" spans="1:26">
      <c r="G54" s="636"/>
      <c r="Z54" s="56">
        <v>203.83</v>
      </c>
    </row>
    <row r="55" spans="1:26">
      <c r="G55" s="636"/>
      <c r="Z55" s="56">
        <v>206.11</v>
      </c>
    </row>
    <row r="56" spans="1:26">
      <c r="G56" s="636"/>
      <c r="Z56" s="56">
        <v>337.77</v>
      </c>
    </row>
    <row r="57" spans="1:26">
      <c r="G57" s="636"/>
    </row>
    <row r="58" spans="1:26">
      <c r="G58" s="636"/>
    </row>
    <row r="59" spans="1:26">
      <c r="G59" s="636"/>
    </row>
    <row r="60" spans="1:26" ht="15.75" thickBot="1"/>
    <row r="61" spans="1:26" ht="15.75" thickBot="1">
      <c r="A61" s="381" t="str">
        <f>"J20M009 - "&amp;TU_LEN&amp;""" TAKEUP ASSY"</f>
        <v>J20M009 - 12" TAKEUP ASSY</v>
      </c>
      <c r="B61" s="382"/>
      <c r="C61" s="672"/>
      <c r="D61" s="672"/>
      <c r="E61" s="672"/>
      <c r="F61" s="382"/>
      <c r="G61" s="382"/>
      <c r="H61" s="382"/>
      <c r="I61" s="382"/>
      <c r="J61" s="382"/>
      <c r="K61" s="382"/>
      <c r="L61" s="382"/>
      <c r="M61" s="382"/>
      <c r="N61" s="382"/>
      <c r="O61" s="382"/>
      <c r="P61" s="382"/>
      <c r="Q61" s="382"/>
      <c r="R61" s="382"/>
      <c r="S61" s="97">
        <f>IF(TU_TYPE="Manual",2,0)</f>
        <v>0</v>
      </c>
      <c r="T61" s="153">
        <f>H72*S61</f>
        <v>0</v>
      </c>
      <c r="U61" s="154">
        <f>G71*S61</f>
        <v>0</v>
      </c>
      <c r="V61" s="153">
        <f>F72*S61</f>
        <v>0</v>
      </c>
      <c r="W61" s="153">
        <f>K72</f>
        <v>0</v>
      </c>
    </row>
    <row r="62" spans="1:26">
      <c r="A62" s="179">
        <v>1</v>
      </c>
      <c r="B62" s="1130" t="str">
        <f>LEFT(C62,13)</f>
        <v>74-019-904-02</v>
      </c>
      <c r="C62" s="1693" t="str" cm="1">
        <f t="array" ref="C62">_xlfn.XLOOKUP(TU_LEN,TU_TBL[[#All],[TU_LEN]],TU_TBL[[#All],[ATR_DESC]])</f>
        <v>74-019-904-02 ATR 3/4"-10 X 24" 316SS</v>
      </c>
      <c r="D62" s="1694"/>
      <c r="E62" s="1694"/>
      <c r="F62" s="180" t="s">
        <v>911</v>
      </c>
      <c r="G62" s="181">
        <v>0.75</v>
      </c>
      <c r="H62" s="181" t="s">
        <v>1011</v>
      </c>
      <c r="I62" s="181">
        <v>24</v>
      </c>
      <c r="J62" s="179" t="s">
        <v>1011</v>
      </c>
      <c r="K62" s="182">
        <v>1</v>
      </c>
      <c r="L62" s="1131" t="s">
        <v>1014</v>
      </c>
      <c r="M62" s="182">
        <f t="shared" ref="M62:M70" si="16">A62*K62</f>
        <v>1</v>
      </c>
      <c r="N62" s="182">
        <f>$S$61*M62</f>
        <v>0</v>
      </c>
      <c r="O62" s="183" cm="1">
        <f t="array" ref="O62">_xlfn.XLOOKUP(TU_LEN,TU_TBL[[#All],[TU_LEN]],TU_TBL[[#All],[ATR_WT]])</f>
        <v>3.06</v>
      </c>
      <c r="P62" s="1132" cm="1">
        <f t="array" ref="P62">_xlfn.XLOOKUP(TU_LEN,TU_TBL[[#All],[TU_LEN]],TU_TBL[[#All],[ATR_COST]])</f>
        <v>16.22</v>
      </c>
      <c r="Q62" s="1132">
        <f>M62*P62</f>
        <v>16.22</v>
      </c>
      <c r="R62" s="1132">
        <f>$S$61*Q62</f>
        <v>0</v>
      </c>
      <c r="S62" s="1093"/>
    </row>
    <row r="63" spans="1:26">
      <c r="A63" s="184">
        <v>2</v>
      </c>
      <c r="B63" s="184" cm="1">
        <f t="array" ref="B63">_xlfn.XLOOKUP(G63,SM_TBL[[#All],[Thickness]],SM_TBL[[#All],[MoC_PN]])</f>
        <v>101964</v>
      </c>
      <c r="C63" s="1701" t="s">
        <v>1109</v>
      </c>
      <c r="D63" s="1701"/>
      <c r="E63" s="1701"/>
      <c r="F63" s="185" t="s">
        <v>1005</v>
      </c>
      <c r="G63" s="184">
        <v>0.1875</v>
      </c>
      <c r="H63" s="184">
        <v>3.25</v>
      </c>
      <c r="I63" s="184">
        <v>5.75</v>
      </c>
      <c r="J63" s="184">
        <v>0.28899999999999998</v>
      </c>
      <c r="K63" s="186">
        <f>G63*H63*I63*J63</f>
        <v>1.01262890625</v>
      </c>
      <c r="L63" s="1133" t="s">
        <v>92</v>
      </c>
      <c r="M63" s="186">
        <f t="shared" si="16"/>
        <v>2.0252578125</v>
      </c>
      <c r="N63" s="186">
        <f t="shared" ref="N63:N70" si="17">$S$61*M63</f>
        <v>0</v>
      </c>
      <c r="O63" s="187">
        <f t="shared" ref="O63:O68" si="18">A63*K63</f>
        <v>2.0252578125</v>
      </c>
      <c r="P63" s="1134" cm="1">
        <f t="array" ref="P63">_xlfn.XLOOKUP(B63,MET_PRICE[[#All],[Part Number]],MET_PRICE[[#All],[Price ($/lb) Domestic]])</f>
        <v>2.59</v>
      </c>
      <c r="Q63" s="1134">
        <f t="shared" ref="Q63:Q70" si="19">M63*P63</f>
        <v>5.2454177343749997</v>
      </c>
      <c r="R63" s="1134">
        <f t="shared" ref="R63:R70" si="20">$S$61*Q63</f>
        <v>0</v>
      </c>
      <c r="S63" s="1093"/>
      <c r="T63" s="274" t="s">
        <v>1110</v>
      </c>
      <c r="U63" s="56" t="s">
        <v>1111</v>
      </c>
      <c r="V63" s="56" t="s">
        <v>1112</v>
      </c>
      <c r="W63" s="56" t="s">
        <v>1113</v>
      </c>
      <c r="X63" s="56" t="s">
        <v>1114</v>
      </c>
      <c r="Y63" s="56" t="s">
        <v>1115</v>
      </c>
    </row>
    <row r="64" spans="1:26">
      <c r="A64" s="179">
        <v>2</v>
      </c>
      <c r="B64" s="179" cm="1">
        <f t="array" ref="B64">_xlfn.XLOOKUP(G64,SM_TBL[[#All],[Thickness]],SM_TBL[[#All],[MoC_PN]])</f>
        <v>101963</v>
      </c>
      <c r="C64" s="1702" t="str">
        <f>IF(TU_LEN&lt;30,"J20P014 SLIDING ANGLE","J20P024 SLIDING ANGLE")</f>
        <v>J20P014 SLIDING ANGLE</v>
      </c>
      <c r="D64" s="1702"/>
      <c r="E64" s="1702"/>
      <c r="F64" s="188" t="s">
        <v>1005</v>
      </c>
      <c r="G64" s="179">
        <v>0.25</v>
      </c>
      <c r="H64" s="179">
        <v>3.25</v>
      </c>
      <c r="I64" s="179">
        <f>IF(TU_LEN&lt;30,4.75,5.25)</f>
        <v>4.75</v>
      </c>
      <c r="J64" s="179">
        <v>0.28899999999999998</v>
      </c>
      <c r="K64" s="182">
        <f t="shared" ref="K64:K68" si="21">G64*H64*I64*J64</f>
        <v>1.1153593749999999</v>
      </c>
      <c r="L64" s="1131" t="s">
        <v>92</v>
      </c>
      <c r="M64" s="182">
        <f t="shared" si="16"/>
        <v>2.2307187499999999</v>
      </c>
      <c r="N64" s="182">
        <f t="shared" si="17"/>
        <v>0</v>
      </c>
      <c r="O64" s="183">
        <f t="shared" si="18"/>
        <v>2.2307187499999999</v>
      </c>
      <c r="P64" s="1132" cm="1">
        <f t="array" ref="P64">_xlfn.XLOOKUP(B64,MET_PRICE[[#All],[Part Number]],MET_PRICE[[#All],[Price ($/lb) Domestic]])</f>
        <v>2.65</v>
      </c>
      <c r="Q64" s="1132">
        <f t="shared" si="19"/>
        <v>5.9114046874999993</v>
      </c>
      <c r="R64" s="1132">
        <f t="shared" si="20"/>
        <v>0</v>
      </c>
      <c r="S64" s="1093"/>
      <c r="T64" s="274">
        <v>12</v>
      </c>
      <c r="U64" s="56" t="s">
        <v>1116</v>
      </c>
      <c r="V64" s="56">
        <v>3.06</v>
      </c>
      <c r="W64" s="56">
        <v>16.22</v>
      </c>
      <c r="X64" s="56" t="s">
        <v>1117</v>
      </c>
      <c r="Y64" s="56">
        <v>22.5</v>
      </c>
    </row>
    <row r="65" spans="1:25">
      <c r="A65" s="184">
        <v>2</v>
      </c>
      <c r="B65" s="184" cm="1">
        <f t="array" ref="B65">_xlfn.XLOOKUP(G65,SM_TBL[[#All],[Thickness]],SM_TBL[[#All],[MoC_PN]])</f>
        <v>101869</v>
      </c>
      <c r="C65" s="1701" t="str">
        <f>IF(TU_LEN&lt;30,"J20P015 BOTTOM PLATE (11GA)","J20P025 BOTTOM PLATE (11GA)")</f>
        <v>J20P015 BOTTOM PLATE (11GA)</v>
      </c>
      <c r="D65" s="1701"/>
      <c r="E65" s="1701"/>
      <c r="F65" s="185" t="s">
        <v>1005</v>
      </c>
      <c r="G65" s="184">
        <v>0.12</v>
      </c>
      <c r="H65" s="184">
        <v>3.25</v>
      </c>
      <c r="I65" s="184">
        <f>IF(TU_LEN&lt;30,3.25,3.5)</f>
        <v>3.25</v>
      </c>
      <c r="J65" s="184">
        <v>0.28899999999999998</v>
      </c>
      <c r="K65" s="186">
        <f t="shared" si="21"/>
        <v>0.36630750000000001</v>
      </c>
      <c r="L65" s="186" t="s">
        <v>92</v>
      </c>
      <c r="M65" s="186">
        <f t="shared" si="16"/>
        <v>0.73261500000000002</v>
      </c>
      <c r="N65" s="186">
        <f t="shared" si="17"/>
        <v>0</v>
      </c>
      <c r="O65" s="187">
        <f t="shared" si="18"/>
        <v>0.73261500000000002</v>
      </c>
      <c r="P65" s="1134" cm="1">
        <f t="array" ref="P65">_xlfn.XLOOKUP(B65,MET_PRICE[[#All],[Part Number]],MET_PRICE[[#All],[Price ($/lb) Domestic]])</f>
        <v>2.89</v>
      </c>
      <c r="Q65" s="1134">
        <f t="shared" si="19"/>
        <v>2.11725735</v>
      </c>
      <c r="R65" s="1134">
        <f t="shared" si="20"/>
        <v>0</v>
      </c>
      <c r="S65" s="1093"/>
      <c r="T65" s="274">
        <v>18</v>
      </c>
      <c r="U65" s="56" t="s">
        <v>1118</v>
      </c>
      <c r="V65" s="56">
        <v>3.82</v>
      </c>
      <c r="W65" s="56">
        <v>20.28</v>
      </c>
      <c r="X65" s="56" t="s">
        <v>1119</v>
      </c>
      <c r="Y65" s="56">
        <v>28.5</v>
      </c>
    </row>
    <row r="66" spans="1:25">
      <c r="A66" s="179">
        <v>1</v>
      </c>
      <c r="B66" s="179" cm="1">
        <f t="array" ref="B66">_xlfn.XLOOKUP(G66,SM_TBL[[#All],[Thickness]],SM_TBL[[#All],[MoC_PN]])</f>
        <v>101963</v>
      </c>
      <c r="C66" s="1702" t="str" cm="1">
        <f t="array" ref="C66">_xlfn.XLOOKUP(TU_LEN,TU_TBL[[#All],[TU_LEN]],TU_TBL[[#All],[SA_DESC]])</f>
        <v>J20P017 SUPPORT ANGLE 12"</v>
      </c>
      <c r="D66" s="1702"/>
      <c r="E66" s="1702"/>
      <c r="F66" s="188" t="s">
        <v>1005</v>
      </c>
      <c r="G66" s="179">
        <f>IF(TU_LEN&lt;30,0.25,0.375)</f>
        <v>0.25</v>
      </c>
      <c r="H66" s="179">
        <f>IF(TU_LEN&lt;30,3.52,3.28)</f>
        <v>3.52</v>
      </c>
      <c r="I66" s="179" cm="1">
        <f t="array" ref="I66">_xlfn.XLOOKUP(TU_LEN,TU_TBL[[#All],[TU_LEN]],TU_TBL[[#All],[SA_LENGTH]])</f>
        <v>22.5</v>
      </c>
      <c r="J66" s="179">
        <v>0.28899999999999998</v>
      </c>
      <c r="K66" s="182">
        <f t="shared" si="21"/>
        <v>5.7222</v>
      </c>
      <c r="L66" s="182" t="s">
        <v>92</v>
      </c>
      <c r="M66" s="182">
        <f t="shared" si="16"/>
        <v>5.7222</v>
      </c>
      <c r="N66" s="182">
        <f t="shared" si="17"/>
        <v>0</v>
      </c>
      <c r="O66" s="183">
        <f t="shared" si="18"/>
        <v>5.7222</v>
      </c>
      <c r="P66" s="1132" cm="1">
        <f t="array" ref="P66">_xlfn.XLOOKUP(B66,MET_PRICE[[#All],[Part Number]],MET_PRICE[[#All],[Price ($/lb) Domestic]])</f>
        <v>2.65</v>
      </c>
      <c r="Q66" s="1132">
        <f t="shared" si="19"/>
        <v>15.163829999999999</v>
      </c>
      <c r="R66" s="1132">
        <f t="shared" si="20"/>
        <v>0</v>
      </c>
      <c r="S66" s="1093"/>
      <c r="T66" s="274">
        <v>24</v>
      </c>
      <c r="U66" s="56" t="s">
        <v>1120</v>
      </c>
      <c r="V66" s="56">
        <v>4.5999999999999996</v>
      </c>
      <c r="W66" s="56">
        <v>27.88</v>
      </c>
      <c r="X66" s="56" t="s">
        <v>1121</v>
      </c>
      <c r="Y66" s="56">
        <v>34.625</v>
      </c>
    </row>
    <row r="67" spans="1:25">
      <c r="A67" s="184">
        <v>2</v>
      </c>
      <c r="B67" s="184" cm="1">
        <f t="array" ref="B67">_xlfn.XLOOKUP(G67,SM_TBL[[#All],[Thickness]],SM_TBL[[#All],[MoC_PN]])</f>
        <v>101963</v>
      </c>
      <c r="C67" s="1701" t="s">
        <v>1122</v>
      </c>
      <c r="D67" s="1701"/>
      <c r="E67" s="1701"/>
      <c r="F67" s="185" t="s">
        <v>1005</v>
      </c>
      <c r="G67" s="184">
        <v>0.25</v>
      </c>
      <c r="H67" s="184">
        <v>3</v>
      </c>
      <c r="I67" s="184">
        <v>5.5</v>
      </c>
      <c r="J67" s="184">
        <v>0.28899999999999998</v>
      </c>
      <c r="K67" s="186">
        <f t="shared" si="21"/>
        <v>1.1921249999999999</v>
      </c>
      <c r="L67" s="186" t="s">
        <v>92</v>
      </c>
      <c r="M67" s="186">
        <f t="shared" si="16"/>
        <v>2.3842499999999998</v>
      </c>
      <c r="N67" s="186">
        <f t="shared" si="17"/>
        <v>0</v>
      </c>
      <c r="O67" s="187">
        <f t="shared" si="18"/>
        <v>2.3842499999999998</v>
      </c>
      <c r="P67" s="1134" cm="1">
        <f t="array" ref="P67">_xlfn.XLOOKUP(B67,MET_PRICE[[#All],[Part Number]],MET_PRICE[[#All],[Price ($/lb) Domestic]])</f>
        <v>2.65</v>
      </c>
      <c r="Q67" s="1134">
        <f t="shared" si="19"/>
        <v>6.3182624999999994</v>
      </c>
      <c r="R67" s="1134">
        <f t="shared" si="20"/>
        <v>0</v>
      </c>
      <c r="S67" s="1093"/>
      <c r="T67" s="274">
        <v>30</v>
      </c>
      <c r="U67" s="56" t="s">
        <v>1123</v>
      </c>
      <c r="V67" s="56">
        <v>5</v>
      </c>
      <c r="W67" s="56">
        <v>32.520000000000003</v>
      </c>
      <c r="X67" s="56" t="s">
        <v>1124</v>
      </c>
      <c r="Y67" s="56">
        <v>40.625</v>
      </c>
    </row>
    <row r="68" spans="1:25">
      <c r="A68" s="179">
        <f>IF(TU_LEN&lt;24,0,4)</f>
        <v>0</v>
      </c>
      <c r="B68" s="179" cm="1">
        <f t="array" ref="B68">_xlfn.XLOOKUP(G68,SM_TBL[[#All],[Thickness]],SM_TBL[[#All],[MoC_PN]])</f>
        <v>101963</v>
      </c>
      <c r="C68" s="1702" t="s">
        <v>1125</v>
      </c>
      <c r="D68" s="1702"/>
      <c r="E68" s="1702"/>
      <c r="F68" s="188" t="s">
        <v>1005</v>
      </c>
      <c r="G68" s="179">
        <v>0.25</v>
      </c>
      <c r="H68" s="179">
        <v>1.25</v>
      </c>
      <c r="I68" s="179">
        <v>3.25</v>
      </c>
      <c r="J68" s="179">
        <v>0.28899999999999998</v>
      </c>
      <c r="K68" s="182">
        <f t="shared" si="21"/>
        <v>0.293515625</v>
      </c>
      <c r="L68" s="182" t="s">
        <v>92</v>
      </c>
      <c r="M68" s="182">
        <f t="shared" si="16"/>
        <v>0</v>
      </c>
      <c r="N68" s="182">
        <f t="shared" si="17"/>
        <v>0</v>
      </c>
      <c r="O68" s="183">
        <f t="shared" si="18"/>
        <v>0</v>
      </c>
      <c r="P68" s="1132" cm="1">
        <f t="array" ref="P68">_xlfn.XLOOKUP(B68,MET_PRICE[[#All],[Part Number]],MET_PRICE[[#All],[Price ($/lb) Domestic]])</f>
        <v>2.65</v>
      </c>
      <c r="Q68" s="1132">
        <f t="shared" si="19"/>
        <v>0</v>
      </c>
      <c r="R68" s="1132">
        <f t="shared" si="20"/>
        <v>0</v>
      </c>
      <c r="S68" s="1093"/>
      <c r="T68" s="274">
        <v>36</v>
      </c>
      <c r="U68" s="56" t="s">
        <v>1126</v>
      </c>
      <c r="V68" s="56">
        <v>6.12</v>
      </c>
      <c r="W68" s="56">
        <v>37.159999999999997</v>
      </c>
      <c r="X68" s="56" t="s">
        <v>1127</v>
      </c>
      <c r="Y68" s="56">
        <v>46.625</v>
      </c>
    </row>
    <row r="69" spans="1:25">
      <c r="A69" s="184">
        <v>1</v>
      </c>
      <c r="B69" s="184">
        <v>501494</v>
      </c>
      <c r="C69" s="1703" t="s">
        <v>1128</v>
      </c>
      <c r="D69" s="1703"/>
      <c r="E69" s="1703"/>
      <c r="F69" s="184" t="s">
        <v>911</v>
      </c>
      <c r="G69" s="184"/>
      <c r="H69" s="184"/>
      <c r="I69" s="184"/>
      <c r="J69" s="184"/>
      <c r="K69" s="184">
        <v>1</v>
      </c>
      <c r="L69" s="1135" t="s">
        <v>1014</v>
      </c>
      <c r="M69" s="184">
        <f t="shared" si="16"/>
        <v>1</v>
      </c>
      <c r="N69" s="184">
        <f t="shared" si="17"/>
        <v>0</v>
      </c>
      <c r="O69" s="187">
        <v>0.12</v>
      </c>
      <c r="P69" s="1100" cm="1">
        <f t="array" ref="P69">_xlfn.XLOOKUP(B69,PP_COST[[#All],[PART NUMBER]],PP_COST[[#All],[UNIT COST]])</f>
        <v>11</v>
      </c>
      <c r="Q69" s="1136">
        <f t="shared" si="19"/>
        <v>11</v>
      </c>
      <c r="R69" s="1134">
        <f t="shared" si="20"/>
        <v>0</v>
      </c>
      <c r="S69" s="1093"/>
      <c r="T69" s="274">
        <v>42</v>
      </c>
      <c r="U69" s="56" t="s">
        <v>1129</v>
      </c>
      <c r="V69" s="56">
        <v>7</v>
      </c>
      <c r="W69" s="56">
        <v>41.81</v>
      </c>
      <c r="X69" s="56" t="s">
        <v>1127</v>
      </c>
      <c r="Y69" s="56">
        <v>52.625</v>
      </c>
    </row>
    <row r="70" spans="1:25">
      <c r="A70" s="179">
        <v>2</v>
      </c>
      <c r="B70" s="1130" t="s">
        <v>830</v>
      </c>
      <c r="C70" s="1704" t="s">
        <v>1130</v>
      </c>
      <c r="D70" s="1704"/>
      <c r="E70" s="1704"/>
      <c r="F70" s="179" t="s">
        <v>911</v>
      </c>
      <c r="G70" s="1130" t="s">
        <v>824</v>
      </c>
      <c r="H70" s="179"/>
      <c r="I70" s="179"/>
      <c r="J70" s="179"/>
      <c r="K70" s="179">
        <v>1</v>
      </c>
      <c r="L70" s="1130" t="s">
        <v>1014</v>
      </c>
      <c r="M70" s="179">
        <f t="shared" si="16"/>
        <v>2</v>
      </c>
      <c r="N70" s="179">
        <f t="shared" si="17"/>
        <v>0</v>
      </c>
      <c r="O70" s="179"/>
      <c r="P70" s="1132" cm="1">
        <f t="array" ref="P70">_xlfn.XLOOKUP(B70,HW_COST[[#All],[PART NUMBER]],HW_COST[[#All],[UNIT COST]])</f>
        <v>1.3707</v>
      </c>
      <c r="Q70" s="1132">
        <f t="shared" si="19"/>
        <v>2.7414000000000001</v>
      </c>
      <c r="R70" s="1132">
        <f t="shared" si="20"/>
        <v>0</v>
      </c>
      <c r="S70" s="1093"/>
      <c r="T70" s="274">
        <v>48</v>
      </c>
      <c r="U70" s="1093" t="s">
        <v>1131</v>
      </c>
      <c r="V70" s="56">
        <v>7.8</v>
      </c>
      <c r="W70" s="56">
        <v>46.45</v>
      </c>
      <c r="Y70" s="56">
        <v>58.625</v>
      </c>
    </row>
    <row r="71" spans="1:25">
      <c r="A71" s="184"/>
      <c r="B71" s="184"/>
      <c r="C71" s="1705" t="s">
        <v>920</v>
      </c>
      <c r="D71" s="1705"/>
      <c r="E71" s="1705"/>
      <c r="F71" s="184"/>
      <c r="G71" s="184">
        <v>10</v>
      </c>
      <c r="H71" s="184" t="s">
        <v>1017</v>
      </c>
      <c r="I71" s="184"/>
      <c r="J71" s="184"/>
      <c r="K71" s="184"/>
      <c r="L71" s="184"/>
      <c r="M71" s="184"/>
      <c r="N71" s="184"/>
      <c r="O71" s="184"/>
      <c r="P71" s="184"/>
      <c r="Q71" s="184"/>
      <c r="R71" s="184"/>
    </row>
    <row r="72" spans="1:25">
      <c r="A72" s="189"/>
      <c r="B72" s="189"/>
      <c r="C72" s="189"/>
      <c r="D72" s="189"/>
      <c r="E72" s="190" t="s">
        <v>911</v>
      </c>
      <c r="F72" s="191">
        <f>SUMIF($F62:$F70,E72,$Q62:$Q70)</f>
        <v>29.961399999999998</v>
      </c>
      <c r="G72" s="190" t="s">
        <v>1005</v>
      </c>
      <c r="H72" s="191">
        <f>SUMIF($F62:$F70,G72,$Q62:$Q70)</f>
        <v>34.756172271875002</v>
      </c>
      <c r="I72" s="1706" t="s">
        <v>914</v>
      </c>
      <c r="J72" s="1706"/>
      <c r="K72" s="191">
        <f>SUMIF($F62:$F70,J72,$Q62:$Q70)</f>
        <v>0</v>
      </c>
      <c r="L72" s="189" t="s">
        <v>1018</v>
      </c>
      <c r="M72" s="189"/>
      <c r="N72" s="189"/>
      <c r="O72" s="183">
        <f>SUM(O62:O71)</f>
        <v>16.275041562500004</v>
      </c>
      <c r="P72" s="192" t="s">
        <v>1019</v>
      </c>
      <c r="Q72" s="1137">
        <f>SUM(Q62:Q71)</f>
        <v>64.717572271875</v>
      </c>
      <c r="R72" s="1132">
        <f>SUM(R62:R71)</f>
        <v>0</v>
      </c>
    </row>
    <row r="73" spans="1:25">
      <c r="G73" s="636"/>
    </row>
    <row r="74" spans="1:25">
      <c r="G74" s="636"/>
    </row>
    <row r="75" spans="1:25">
      <c r="G75" s="636"/>
    </row>
    <row r="76" spans="1:25">
      <c r="G76" s="636"/>
    </row>
    <row r="77" spans="1:25">
      <c r="G77" s="636"/>
    </row>
    <row r="78" spans="1:25">
      <c r="G78" s="636"/>
    </row>
    <row r="79" spans="1:25">
      <c r="G79" s="636"/>
    </row>
    <row r="80" spans="1:25">
      <c r="G80" s="636"/>
    </row>
    <row r="81" spans="1:25" ht="15.75" thickBot="1">
      <c r="G81" s="636"/>
    </row>
    <row r="82" spans="1:25" ht="15.75" thickBot="1">
      <c r="A82" s="383" t="e" cm="1">
        <f t="array" ref="A82">_xlfn.XLOOKUP(Belt_W,BSA_TBL[[#All],[WIDTH]],BSA_TBL[[#All],[BSA_DESC]])</f>
        <v>#N/A</v>
      </c>
      <c r="B82" s="384"/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97">
        <f>IF(SCRAPER_TYPE="JMS",1,0)</f>
        <v>0</v>
      </c>
      <c r="T82" s="153" t="e">
        <f>H97*S82</f>
        <v>#N/A</v>
      </c>
      <c r="U82" s="154">
        <f>G96*S82</f>
        <v>0</v>
      </c>
      <c r="V82" s="153">
        <f>F97*S82</f>
        <v>0</v>
      </c>
      <c r="W82" s="153">
        <f>K97*S82</f>
        <v>0</v>
      </c>
    </row>
    <row r="83" spans="1:25">
      <c r="A83" s="193">
        <v>1</v>
      </c>
      <c r="B83" s="193" cm="1">
        <f t="array" ref="B83">_xlfn.XLOOKUP(G83,SM_TBL[[#All],[Thickness]],SM_TBL[[#All],[MoC_PN]])</f>
        <v>101963</v>
      </c>
      <c r="C83" s="1711" t="e" cm="1">
        <f t="array" ref="C83">_xlfn.XLOOKUP(Belt_W,BSA_TBL[[#All],[WIDTH]],BSA_TBL[[#All],[BM_DESC]])</f>
        <v>#N/A</v>
      </c>
      <c r="D83" s="1711"/>
      <c r="E83" s="1711"/>
      <c r="F83" s="194" t="s">
        <v>1005</v>
      </c>
      <c r="G83" s="195">
        <v>0.25</v>
      </c>
      <c r="H83" s="195">
        <v>4.125</v>
      </c>
      <c r="I83" s="195" t="e" cm="1">
        <f t="array" ref="I83">_xlfn.XLOOKUP(Belt_W,BSA_TBL[[#All],[WIDTH]],BSA_TBL[[#All],[BM_LEN]])</f>
        <v>#N/A</v>
      </c>
      <c r="J83" s="193">
        <v>0.28899999999999998</v>
      </c>
      <c r="K83" s="196" t="e">
        <f>G83*H83*I83*J83</f>
        <v>#N/A</v>
      </c>
      <c r="L83" s="1138" t="s">
        <v>92</v>
      </c>
      <c r="M83" s="196" t="e">
        <f>K83*A83</f>
        <v>#N/A</v>
      </c>
      <c r="N83" s="196" t="e">
        <f>$S$82*M83</f>
        <v>#N/A</v>
      </c>
      <c r="O83" s="197" t="e">
        <f>A83*K83</f>
        <v>#N/A</v>
      </c>
      <c r="P83" s="1139" cm="1">
        <f t="array" ref="P83">_xlfn.XLOOKUP(B83,MET_PRICE[[#All],[Part Number]],MET_PRICE[[#All],[Price ($/lb) Domestic]])</f>
        <v>2.65</v>
      </c>
      <c r="Q83" s="1139" t="e">
        <f>P83*M83</f>
        <v>#N/A</v>
      </c>
      <c r="R83" s="1139" t="e">
        <f>P83*N83</f>
        <v>#N/A</v>
      </c>
    </row>
    <row r="84" spans="1:25">
      <c r="A84" s="199">
        <v>1</v>
      </c>
      <c r="B84" s="1140">
        <v>131861</v>
      </c>
      <c r="C84" s="1712" t="e" cm="1">
        <f t="array" ref="C84">_xlfn.XLOOKUP(Belt_W,BSA_TBL[[#All],[WIDTH]],BSA_TBL[[#All],[BB_DESC]])</f>
        <v>#N/A</v>
      </c>
      <c r="D84" s="1712"/>
      <c r="E84" s="1712"/>
      <c r="F84" s="200" t="s">
        <v>914</v>
      </c>
      <c r="G84" s="199">
        <v>0.5</v>
      </c>
      <c r="H84" s="199">
        <v>5</v>
      </c>
      <c r="I84" s="199">
        <f>Belt_W+2</f>
        <v>2</v>
      </c>
      <c r="J84" s="199" t="s">
        <v>1011</v>
      </c>
      <c r="K84" s="201">
        <f>(H84*I84)/144</f>
        <v>6.9444444444444448E-2</v>
      </c>
      <c r="L84" s="1141" t="s">
        <v>184</v>
      </c>
      <c r="M84" s="201">
        <f t="shared" ref="M84:M95" si="22">K84*A84</f>
        <v>6.9444444444444448E-2</v>
      </c>
      <c r="N84" s="201">
        <f t="shared" ref="N84:N95" si="23">$S$82*M84</f>
        <v>0</v>
      </c>
      <c r="O84" s="202">
        <v>2.6</v>
      </c>
      <c r="P84" s="1142" cm="1">
        <f t="array" ref="P84">_xlfn.XLOOKUP(B84,RAW_100[[#All],[PartNum]],RAW_100[[#All],[UnitCost]])</f>
        <v>8.5350000000000001</v>
      </c>
      <c r="Q84" s="1142">
        <f t="shared" ref="Q84:Q95" si="24">P84*M84</f>
        <v>0.59270833333333339</v>
      </c>
      <c r="R84" s="1142">
        <f t="shared" ref="R84:R95" si="25">P84*N84</f>
        <v>0</v>
      </c>
      <c r="T84" s="56" t="s">
        <v>1061</v>
      </c>
      <c r="U84" s="1093" t="s">
        <v>1132</v>
      </c>
      <c r="V84" s="56" t="s">
        <v>1133</v>
      </c>
      <c r="W84" s="56" t="s">
        <v>1134</v>
      </c>
      <c r="X84" s="56" t="s">
        <v>1135</v>
      </c>
      <c r="Y84" s="56" t="s">
        <v>1136</v>
      </c>
    </row>
    <row r="85" spans="1:25">
      <c r="A85" s="193">
        <v>1</v>
      </c>
      <c r="B85" s="1143">
        <v>131905</v>
      </c>
      <c r="C85" s="1713" t="e" cm="1">
        <f t="array" ref="C85">_xlfn.XLOOKUP(Belt_W,BSA_TBL[[#All],[WIDTH]],BSA_TBL[[#All],[SCRAPER_DESC]])</f>
        <v>#N/A</v>
      </c>
      <c r="D85" s="1714"/>
      <c r="E85" s="1714"/>
      <c r="F85" s="203" t="s">
        <v>914</v>
      </c>
      <c r="G85" s="193">
        <v>0.5</v>
      </c>
      <c r="H85" s="193">
        <v>6</v>
      </c>
      <c r="I85" s="193">
        <f>Belt_W+2</f>
        <v>2</v>
      </c>
      <c r="J85" s="193" t="s">
        <v>1011</v>
      </c>
      <c r="K85" s="196">
        <f>(H85*I85)/144</f>
        <v>8.3333333333333329E-2</v>
      </c>
      <c r="L85" s="1138" t="s">
        <v>184</v>
      </c>
      <c r="M85" s="196">
        <f t="shared" si="22"/>
        <v>8.3333333333333329E-2</v>
      </c>
      <c r="N85" s="196">
        <f t="shared" si="23"/>
        <v>0</v>
      </c>
      <c r="O85" s="197">
        <v>2.74</v>
      </c>
      <c r="P85" s="1139" cm="1">
        <f t="array" ref="P85">_xlfn.XLOOKUP(B85,RAW_100[[#All],[PartNum]],RAW_100[[#All],[UnitCost]])</f>
        <v>13.92</v>
      </c>
      <c r="Q85" s="1139">
        <f t="shared" si="24"/>
        <v>1.1599999999999999</v>
      </c>
      <c r="R85" s="1139">
        <f t="shared" si="25"/>
        <v>0</v>
      </c>
      <c r="T85" s="56">
        <v>18</v>
      </c>
      <c r="U85" s="56" t="s">
        <v>1137</v>
      </c>
      <c r="V85" s="56" t="s">
        <v>1138</v>
      </c>
      <c r="W85" s="56">
        <v>33.290999999999997</v>
      </c>
      <c r="X85" s="56" t="s">
        <v>1139</v>
      </c>
      <c r="Y85" s="56" t="s">
        <v>1140</v>
      </c>
    </row>
    <row r="86" spans="1:25">
      <c r="A86" s="199">
        <v>2</v>
      </c>
      <c r="B86" s="199" cm="1">
        <f t="array" ref="B86">_xlfn.XLOOKUP(G86,SM_TBL[[#All],[Thickness]],SM_TBL[[#All],[MoC_PN]])</f>
        <v>101961</v>
      </c>
      <c r="C86" s="1712" t="s">
        <v>1141</v>
      </c>
      <c r="D86" s="1712"/>
      <c r="E86" s="1712"/>
      <c r="F86" s="200" t="s">
        <v>1005</v>
      </c>
      <c r="G86" s="199">
        <v>0.375</v>
      </c>
      <c r="H86" s="199">
        <v>2</v>
      </c>
      <c r="I86" s="199">
        <v>10</v>
      </c>
      <c r="J86" s="199">
        <v>0.28899999999999998</v>
      </c>
      <c r="K86" s="201">
        <f t="shared" ref="K86:K88" si="26">G86*H86*I86*J86</f>
        <v>2.1675</v>
      </c>
      <c r="L86" s="201" t="s">
        <v>92</v>
      </c>
      <c r="M86" s="201">
        <f t="shared" si="22"/>
        <v>4.335</v>
      </c>
      <c r="N86" s="201">
        <f t="shared" si="23"/>
        <v>0</v>
      </c>
      <c r="O86" s="202">
        <f t="shared" ref="O86:O88" si="27">A86*K86</f>
        <v>4.335</v>
      </c>
      <c r="P86" s="1142" cm="1">
        <f t="array" ref="P86">_xlfn.XLOOKUP(B86,MET_PRICE[[#All],[Part Number]],MET_PRICE[[#All],[Price ($/lb) Domestic]])</f>
        <v>2.7</v>
      </c>
      <c r="Q86" s="1142">
        <f t="shared" si="24"/>
        <v>11.704500000000001</v>
      </c>
      <c r="R86" s="1142">
        <f t="shared" si="25"/>
        <v>0</v>
      </c>
      <c r="T86" s="56">
        <v>24</v>
      </c>
      <c r="U86" s="56" t="s">
        <v>1142</v>
      </c>
      <c r="V86" s="56" t="s">
        <v>1143</v>
      </c>
      <c r="W86" s="56">
        <v>39.040999999999997</v>
      </c>
      <c r="X86" s="56" t="s">
        <v>1144</v>
      </c>
      <c r="Y86" s="56" t="s">
        <v>1145</v>
      </c>
    </row>
    <row r="87" spans="1:25">
      <c r="A87" s="193">
        <v>1</v>
      </c>
      <c r="B87" s="193" cm="1">
        <f t="array" ref="B87">_xlfn.XLOOKUP(G87,SM_TBL[[#All],[Thickness]],SM_TBL[[#All],[MoC_PN]])</f>
        <v>101963</v>
      </c>
      <c r="C87" s="1714" t="s">
        <v>1146</v>
      </c>
      <c r="D87" s="1714"/>
      <c r="E87" s="1714"/>
      <c r="F87" s="203" t="s">
        <v>1005</v>
      </c>
      <c r="G87" s="193">
        <v>0.25</v>
      </c>
      <c r="H87" s="193">
        <v>3.5</v>
      </c>
      <c r="I87" s="193">
        <v>18.25</v>
      </c>
      <c r="J87" s="193">
        <v>0.28899999999999998</v>
      </c>
      <c r="K87" s="196">
        <f t="shared" si="26"/>
        <v>4.6149687500000001</v>
      </c>
      <c r="L87" s="196" t="s">
        <v>92</v>
      </c>
      <c r="M87" s="196">
        <f t="shared" si="22"/>
        <v>4.6149687500000001</v>
      </c>
      <c r="N87" s="196">
        <f t="shared" si="23"/>
        <v>0</v>
      </c>
      <c r="O87" s="197">
        <f t="shared" si="27"/>
        <v>4.6149687500000001</v>
      </c>
      <c r="P87" s="1139" cm="1">
        <f t="array" ref="P87">_xlfn.XLOOKUP(B87,MET_PRICE[[#All],[Part Number]],MET_PRICE[[#All],[Price ($/lb) Domestic]])</f>
        <v>2.65</v>
      </c>
      <c r="Q87" s="1139">
        <f t="shared" si="24"/>
        <v>12.2296671875</v>
      </c>
      <c r="R87" s="1139">
        <f t="shared" si="25"/>
        <v>0</v>
      </c>
      <c r="T87" s="56">
        <v>30</v>
      </c>
      <c r="U87" s="56" t="s">
        <v>1147</v>
      </c>
      <c r="V87" s="56" t="s">
        <v>1148</v>
      </c>
      <c r="W87" s="56">
        <v>45.040999999999997</v>
      </c>
      <c r="X87" s="56" t="s">
        <v>1149</v>
      </c>
      <c r="Y87" s="56" t="s">
        <v>1150</v>
      </c>
    </row>
    <row r="88" spans="1:25">
      <c r="A88" s="199">
        <v>1</v>
      </c>
      <c r="B88" s="199" cm="1">
        <f t="array" ref="B88">_xlfn.XLOOKUP(G88,SM_TBL[[#All],[Thickness]],SM_TBL[[#All],[MoC_PN]])</f>
        <v>101963</v>
      </c>
      <c r="C88" s="1712" t="s">
        <v>1151</v>
      </c>
      <c r="D88" s="1712"/>
      <c r="E88" s="1712"/>
      <c r="F88" s="200" t="s">
        <v>1005</v>
      </c>
      <c r="G88" s="199">
        <v>0.25</v>
      </c>
      <c r="H88" s="199">
        <v>3.5</v>
      </c>
      <c r="I88" s="199">
        <v>18.25</v>
      </c>
      <c r="J88" s="199">
        <v>0.28899999999999998</v>
      </c>
      <c r="K88" s="201">
        <f t="shared" si="26"/>
        <v>4.6149687500000001</v>
      </c>
      <c r="L88" s="201" t="s">
        <v>92</v>
      </c>
      <c r="M88" s="201">
        <f t="shared" si="22"/>
        <v>4.6149687500000001</v>
      </c>
      <c r="N88" s="201">
        <f t="shared" si="23"/>
        <v>0</v>
      </c>
      <c r="O88" s="202">
        <f t="shared" si="27"/>
        <v>4.6149687500000001</v>
      </c>
      <c r="P88" s="1142" cm="1">
        <f t="array" ref="P88">_xlfn.XLOOKUP(B88,MET_PRICE[[#All],[Part Number]],MET_PRICE[[#All],[Price ($/lb) Domestic]])</f>
        <v>2.65</v>
      </c>
      <c r="Q88" s="1142">
        <f t="shared" si="24"/>
        <v>12.2296671875</v>
      </c>
      <c r="R88" s="1142">
        <f t="shared" si="25"/>
        <v>0</v>
      </c>
      <c r="T88" s="56">
        <v>36</v>
      </c>
      <c r="U88" s="56" t="s">
        <v>1152</v>
      </c>
      <c r="V88" s="56" t="s">
        <v>1153</v>
      </c>
      <c r="W88" s="56">
        <v>51.040999999999997</v>
      </c>
      <c r="X88" s="56" t="s">
        <v>1154</v>
      </c>
      <c r="Y88" s="56" t="s">
        <v>1155</v>
      </c>
    </row>
    <row r="89" spans="1:25">
      <c r="A89" s="193">
        <v>2</v>
      </c>
      <c r="B89" s="193">
        <v>501423</v>
      </c>
      <c r="C89" s="1707" t="s">
        <v>1156</v>
      </c>
      <c r="D89" s="1707"/>
      <c r="E89" s="1707"/>
      <c r="F89" s="193" t="s">
        <v>911</v>
      </c>
      <c r="G89" s="193"/>
      <c r="H89" s="193"/>
      <c r="I89" s="193"/>
      <c r="J89" s="193"/>
      <c r="K89" s="193">
        <v>1</v>
      </c>
      <c r="L89" s="1143" t="s">
        <v>1014</v>
      </c>
      <c r="M89" s="193">
        <f t="shared" si="22"/>
        <v>2</v>
      </c>
      <c r="N89" s="193">
        <f t="shared" si="23"/>
        <v>0</v>
      </c>
      <c r="O89" s="198">
        <v>0.01</v>
      </c>
      <c r="P89" s="1139" cm="1">
        <f t="array" ref="P89">_xlfn.XLOOKUP(B89,PP_COST[[#All],[PART NUMBER]],PP_COST[[#All],[UNIT COST]])</f>
        <v>4.5</v>
      </c>
      <c r="Q89" s="1139">
        <f t="shared" si="24"/>
        <v>9</v>
      </c>
      <c r="R89" s="1139">
        <f t="shared" si="25"/>
        <v>0</v>
      </c>
      <c r="T89" s="56">
        <v>42</v>
      </c>
      <c r="U89" s="56" t="s">
        <v>1157</v>
      </c>
      <c r="V89" s="56" t="s">
        <v>1158</v>
      </c>
      <c r="W89" s="56">
        <v>57.040999999999997</v>
      </c>
      <c r="X89" s="56" t="s">
        <v>1159</v>
      </c>
      <c r="Y89" s="56" t="s">
        <v>1160</v>
      </c>
    </row>
    <row r="90" spans="1:25">
      <c r="A90" s="199">
        <v>4</v>
      </c>
      <c r="B90" s="1140" t="s">
        <v>842</v>
      </c>
      <c r="C90" s="1708" t="s">
        <v>1161</v>
      </c>
      <c r="D90" s="1709"/>
      <c r="E90" s="1709"/>
      <c r="F90" s="199" t="s">
        <v>911</v>
      </c>
      <c r="G90" s="199"/>
      <c r="H90" s="199"/>
      <c r="I90" s="199"/>
      <c r="J90" s="199"/>
      <c r="K90" s="199">
        <v>1</v>
      </c>
      <c r="L90" s="199" t="s">
        <v>1014</v>
      </c>
      <c r="M90" s="199">
        <f t="shared" si="22"/>
        <v>4</v>
      </c>
      <c r="N90" s="199">
        <f t="shared" si="23"/>
        <v>0</v>
      </c>
      <c r="O90" s="202"/>
      <c r="P90" s="1142" cm="1">
        <f t="array" ref="P90">_xlfn.XLOOKUP(B90,HW_COST[[#All],[PART NUMBER]],HW_COST[[#All],[UNIT COST]])</f>
        <v>0.85319999999999996</v>
      </c>
      <c r="Q90" s="1142">
        <f t="shared" si="24"/>
        <v>3.4127999999999998</v>
      </c>
      <c r="R90" s="1142">
        <f t="shared" si="25"/>
        <v>0</v>
      </c>
      <c r="T90" s="56">
        <v>48</v>
      </c>
      <c r="U90" s="56" t="s">
        <v>1162</v>
      </c>
      <c r="V90" s="56" t="s">
        <v>1163</v>
      </c>
      <c r="W90" s="56">
        <v>63.040999999999997</v>
      </c>
      <c r="X90" s="56" t="s">
        <v>1164</v>
      </c>
      <c r="Y90" s="56" t="s">
        <v>1165</v>
      </c>
    </row>
    <row r="91" spans="1:25">
      <c r="A91" s="193">
        <v>6</v>
      </c>
      <c r="B91" s="1143" t="s">
        <v>850</v>
      </c>
      <c r="C91" s="1710" t="s">
        <v>1166</v>
      </c>
      <c r="D91" s="1707"/>
      <c r="E91" s="1707"/>
      <c r="F91" s="193" t="s">
        <v>911</v>
      </c>
      <c r="G91" s="193"/>
      <c r="H91" s="193"/>
      <c r="I91" s="193"/>
      <c r="J91" s="193"/>
      <c r="K91" s="193">
        <v>1</v>
      </c>
      <c r="L91" s="193" t="s">
        <v>1014</v>
      </c>
      <c r="M91" s="193">
        <f t="shared" si="22"/>
        <v>6</v>
      </c>
      <c r="N91" s="193">
        <f t="shared" si="23"/>
        <v>0</v>
      </c>
      <c r="O91" s="193"/>
      <c r="P91" s="1139" cm="1">
        <f t="array" ref="P91">_xlfn.XLOOKUP(B91,HW_COST[[#All],[PART NUMBER]],HW_COST[[#All],[UNIT COST]])</f>
        <v>1.46</v>
      </c>
      <c r="Q91" s="1139">
        <f t="shared" si="24"/>
        <v>8.76</v>
      </c>
      <c r="R91" s="1139">
        <f t="shared" si="25"/>
        <v>0</v>
      </c>
    </row>
    <row r="92" spans="1:25">
      <c r="A92" s="199">
        <v>1</v>
      </c>
      <c r="B92" s="1140" t="s">
        <v>864</v>
      </c>
      <c r="C92" s="1708" t="s">
        <v>1167</v>
      </c>
      <c r="D92" s="1709"/>
      <c r="E92" s="1709"/>
      <c r="F92" s="199" t="s">
        <v>911</v>
      </c>
      <c r="G92" s="199"/>
      <c r="H92" s="199"/>
      <c r="I92" s="199"/>
      <c r="J92" s="199"/>
      <c r="K92" s="199">
        <v>1</v>
      </c>
      <c r="L92" s="199" t="s">
        <v>1014</v>
      </c>
      <c r="M92" s="199">
        <f t="shared" si="22"/>
        <v>1</v>
      </c>
      <c r="N92" s="199">
        <f t="shared" si="23"/>
        <v>0</v>
      </c>
      <c r="O92" s="202"/>
      <c r="P92" s="1142" cm="1">
        <f t="array" ref="P92">_xlfn.XLOOKUP(B92,HW_COST[[#All],[PART NUMBER]],HW_COST[[#All],[UNIT COST]])</f>
        <v>0.39290000000000003</v>
      </c>
      <c r="Q92" s="1142">
        <f t="shared" si="24"/>
        <v>0.39290000000000003</v>
      </c>
      <c r="R92" s="1142">
        <f t="shared" si="25"/>
        <v>0</v>
      </c>
    </row>
    <row r="93" spans="1:25">
      <c r="A93" s="193">
        <v>2</v>
      </c>
      <c r="B93" s="1143" t="s">
        <v>870</v>
      </c>
      <c r="C93" s="1710" t="s">
        <v>1168</v>
      </c>
      <c r="D93" s="1707"/>
      <c r="E93" s="1707"/>
      <c r="F93" s="193" t="s">
        <v>911</v>
      </c>
      <c r="G93" s="193"/>
      <c r="H93" s="193"/>
      <c r="I93" s="193"/>
      <c r="J93" s="193"/>
      <c r="K93" s="193">
        <v>1</v>
      </c>
      <c r="L93" s="193" t="s">
        <v>1014</v>
      </c>
      <c r="M93" s="193">
        <f t="shared" si="22"/>
        <v>2</v>
      </c>
      <c r="N93" s="193">
        <f t="shared" si="23"/>
        <v>0</v>
      </c>
      <c r="O93" s="198">
        <v>0.17</v>
      </c>
      <c r="P93" s="1139" cm="1">
        <f t="array" ref="P93">_xlfn.XLOOKUP(B93,HW_COST[[#All],[PART NUMBER]],HW_COST[[#All],[UNIT COST]])</f>
        <v>4.2103000000000002</v>
      </c>
      <c r="Q93" s="1139">
        <f t="shared" si="24"/>
        <v>8.4206000000000003</v>
      </c>
      <c r="R93" s="1139">
        <f t="shared" si="25"/>
        <v>0</v>
      </c>
    </row>
    <row r="94" spans="1:25">
      <c r="A94" s="199">
        <v>5</v>
      </c>
      <c r="B94" s="1140" t="s">
        <v>829</v>
      </c>
      <c r="C94" s="1708" t="s">
        <v>1169</v>
      </c>
      <c r="D94" s="1709"/>
      <c r="E94" s="1709"/>
      <c r="F94" s="199" t="s">
        <v>911</v>
      </c>
      <c r="G94" s="199"/>
      <c r="H94" s="199"/>
      <c r="I94" s="199"/>
      <c r="J94" s="199"/>
      <c r="K94" s="199">
        <v>1</v>
      </c>
      <c r="L94" s="199" t="s">
        <v>1014</v>
      </c>
      <c r="M94" s="199">
        <f t="shared" si="22"/>
        <v>5</v>
      </c>
      <c r="N94" s="199">
        <f t="shared" si="23"/>
        <v>0</v>
      </c>
      <c r="O94" s="202">
        <v>0.02</v>
      </c>
      <c r="P94" s="1142" cm="1">
        <f t="array" ref="P94">_xlfn.XLOOKUP(B94,HW_COST[[#All],[PART NUMBER]],HW_COST[[#All],[UNIT COST]])</f>
        <v>0.22439999999999999</v>
      </c>
      <c r="Q94" s="1142">
        <f t="shared" si="24"/>
        <v>1.1219999999999999</v>
      </c>
      <c r="R94" s="1142">
        <f t="shared" si="25"/>
        <v>0</v>
      </c>
    </row>
    <row r="95" spans="1:25">
      <c r="A95" s="193">
        <v>5</v>
      </c>
      <c r="B95" s="1143" t="s">
        <v>836</v>
      </c>
      <c r="C95" s="1710" t="s">
        <v>1170</v>
      </c>
      <c r="D95" s="1707"/>
      <c r="E95" s="1707"/>
      <c r="F95" s="193" t="s">
        <v>911</v>
      </c>
      <c r="G95" s="193"/>
      <c r="H95" s="193"/>
      <c r="I95" s="193"/>
      <c r="J95" s="193"/>
      <c r="K95" s="193">
        <v>1</v>
      </c>
      <c r="L95" s="193" t="s">
        <v>1014</v>
      </c>
      <c r="M95" s="193">
        <f t="shared" si="22"/>
        <v>5</v>
      </c>
      <c r="N95" s="193">
        <f t="shared" si="23"/>
        <v>0</v>
      </c>
      <c r="O95" s="193"/>
      <c r="P95" s="1139" cm="1">
        <f t="array" ref="P95">_xlfn.XLOOKUP(B95,HW_COST[[#All],[PART NUMBER]],HW_COST[[#All],[UNIT COST]])</f>
        <v>0.57999999999999996</v>
      </c>
      <c r="Q95" s="1139">
        <f t="shared" si="24"/>
        <v>2.9</v>
      </c>
      <c r="R95" s="1139">
        <f t="shared" si="25"/>
        <v>0</v>
      </c>
    </row>
    <row r="96" spans="1:25">
      <c r="A96" s="199"/>
      <c r="B96" s="199"/>
      <c r="C96" s="1715" t="s">
        <v>920</v>
      </c>
      <c r="D96" s="1715"/>
      <c r="E96" s="1715"/>
      <c r="F96" s="199"/>
      <c r="G96" s="199">
        <v>4</v>
      </c>
      <c r="H96" s="199" t="s">
        <v>1017</v>
      </c>
      <c r="I96" s="199"/>
      <c r="J96" s="199"/>
      <c r="K96" s="199"/>
      <c r="L96" s="199"/>
      <c r="M96" s="199"/>
      <c r="N96" s="199"/>
      <c r="O96" s="199"/>
      <c r="P96" s="199"/>
      <c r="Q96" s="199"/>
      <c r="R96" s="199"/>
    </row>
    <row r="97" spans="1:23">
      <c r="A97" s="204"/>
      <c r="B97" s="204"/>
      <c r="C97" s="204"/>
      <c r="D97" s="204"/>
      <c r="E97" s="205" t="s">
        <v>911</v>
      </c>
      <c r="F97" s="206">
        <f>SUMIF($F83:$F95,E97,$Q83:$Q95)</f>
        <v>34.008300000000006</v>
      </c>
      <c r="G97" s="205" t="s">
        <v>1005</v>
      </c>
      <c r="H97" s="206" t="e">
        <f>SUMIF($F83:$F95,G97,$Q83:$Q95)</f>
        <v>#N/A</v>
      </c>
      <c r="I97" s="204"/>
      <c r="J97" s="205" t="s">
        <v>914</v>
      </c>
      <c r="K97" s="206">
        <f>SUMIF($F83:$F95,J97,$Q83:$Q95)</f>
        <v>1.7527083333333333</v>
      </c>
      <c r="L97" s="204"/>
      <c r="M97" s="204"/>
      <c r="N97" s="204" t="s">
        <v>1018</v>
      </c>
      <c r="O97" s="197" t="e">
        <f>SUM(O83:O96)</f>
        <v>#N/A</v>
      </c>
      <c r="P97" s="207" t="s">
        <v>1019</v>
      </c>
      <c r="Q97" s="1144" t="e">
        <f>SUM(Q83:Q96)</f>
        <v>#N/A</v>
      </c>
      <c r="R97" s="1139" t="e">
        <f>SUM(R83:R96)</f>
        <v>#N/A</v>
      </c>
    </row>
    <row r="98" spans="1:23">
      <c r="G98" s="636"/>
    </row>
    <row r="99" spans="1:23">
      <c r="G99" s="636"/>
    </row>
    <row r="100" spans="1:23">
      <c r="G100" s="636"/>
    </row>
    <row r="101" spans="1:23">
      <c r="G101" s="636"/>
    </row>
    <row r="102" spans="1:23">
      <c r="G102" s="636"/>
    </row>
    <row r="103" spans="1:23">
      <c r="G103" s="636"/>
    </row>
    <row r="104" spans="1:23">
      <c r="G104" s="636"/>
    </row>
    <row r="105" spans="1:23">
      <c r="G105" s="636"/>
    </row>
    <row r="106" spans="1:23">
      <c r="G106" s="636"/>
    </row>
    <row r="107" spans="1:23" ht="15.75" thickBot="1">
      <c r="G107" s="636"/>
    </row>
    <row r="108" spans="1:23" ht="15.75" thickBot="1">
      <c r="A108" s="385" t="s">
        <v>1171</v>
      </c>
      <c r="B108" s="386"/>
      <c r="C108" s="386"/>
      <c r="D108" s="386"/>
      <c r="E108" s="386"/>
      <c r="F108" s="386"/>
      <c r="G108" s="386"/>
      <c r="H108" s="386"/>
      <c r="I108" s="386"/>
      <c r="J108" s="386"/>
      <c r="K108" s="386"/>
      <c r="L108" s="386"/>
      <c r="M108" s="386"/>
      <c r="N108" s="386"/>
      <c r="O108" s="386"/>
      <c r="P108" s="386"/>
      <c r="Q108" s="386"/>
      <c r="R108" s="386"/>
      <c r="S108" s="97">
        <f>IF(GUIDELERS="No",0,IF(AND(GUIDELERS="Yes",I_TYPE="Flat"),4*GUID_QTY,2*GUID_QTY))</f>
        <v>0</v>
      </c>
      <c r="T108" s="153">
        <f>H118*S108</f>
        <v>0</v>
      </c>
      <c r="U108" s="154">
        <f>G117*S108</f>
        <v>0</v>
      </c>
      <c r="V108" s="153">
        <f>F118*S108</f>
        <v>0</v>
      </c>
      <c r="W108" s="153">
        <f>K118*S108</f>
        <v>0</v>
      </c>
    </row>
    <row r="109" spans="1:23">
      <c r="A109" s="208">
        <v>1</v>
      </c>
      <c r="B109" s="208" cm="1">
        <f t="array" ref="B109">_xlfn.XLOOKUP(G109,SM_TBL[[#All],[Thickness]],SM_TBL[[#All],[MoC_PN]])</f>
        <v>101963</v>
      </c>
      <c r="C109" s="1721" t="s">
        <v>1172</v>
      </c>
      <c r="D109" s="1721"/>
      <c r="E109" s="1721"/>
      <c r="F109" s="209" t="s">
        <v>1005</v>
      </c>
      <c r="G109" s="210">
        <v>0.25</v>
      </c>
      <c r="H109" s="210">
        <v>8</v>
      </c>
      <c r="I109" s="210">
        <v>8.6875</v>
      </c>
      <c r="J109" s="208">
        <v>0.28899999999999998</v>
      </c>
      <c r="K109" s="211">
        <f>G109*H109*I109</f>
        <v>17.375</v>
      </c>
      <c r="L109" s="1145" t="s">
        <v>92</v>
      </c>
      <c r="M109" s="211">
        <f>A109*K109</f>
        <v>17.375</v>
      </c>
      <c r="N109" s="211">
        <f>S$108*M109</f>
        <v>0</v>
      </c>
      <c r="O109" s="212">
        <f>M109</f>
        <v>17.375</v>
      </c>
      <c r="P109" s="1146" cm="1">
        <f t="array" ref="P109">_xlfn.XLOOKUP(B109,MET_PRICE[[#All],[Part Number]],MET_PRICE[[#All],[Price ($/lb) Domestic]])</f>
        <v>2.65</v>
      </c>
      <c r="Q109" s="1146">
        <f>M109*P109</f>
        <v>46.043749999999996</v>
      </c>
      <c r="R109" s="1146">
        <f>P109*N109</f>
        <v>0</v>
      </c>
    </row>
    <row r="110" spans="1:23">
      <c r="A110" s="213">
        <v>1</v>
      </c>
      <c r="B110" s="1147">
        <f>'MATERIAL COST'!F75</f>
        <v>105787</v>
      </c>
      <c r="C110" s="1722" t="s">
        <v>1173</v>
      </c>
      <c r="D110" s="1723"/>
      <c r="E110" s="1723"/>
      <c r="F110" s="214" t="s">
        <v>1005</v>
      </c>
      <c r="G110" s="213">
        <v>0.75</v>
      </c>
      <c r="H110" s="213" t="s">
        <v>1011</v>
      </c>
      <c r="I110" s="213">
        <v>2.25</v>
      </c>
      <c r="J110" s="213" t="s">
        <v>1011</v>
      </c>
      <c r="K110" s="215">
        <f>I110/12</f>
        <v>0.1875</v>
      </c>
      <c r="L110" s="1148" t="s">
        <v>28</v>
      </c>
      <c r="M110" s="215">
        <f t="shared" ref="M110:M116" si="28">A110*K110</f>
        <v>0.1875</v>
      </c>
      <c r="N110" s="215">
        <f t="shared" ref="N110:N116" si="29">S$108*M110</f>
        <v>0</v>
      </c>
      <c r="O110" s="216">
        <v>0.22</v>
      </c>
      <c r="P110" s="1100">
        <v>30</v>
      </c>
      <c r="Q110" s="1149">
        <f t="shared" ref="Q110:Q116" si="30">M110*P110</f>
        <v>5.625</v>
      </c>
      <c r="R110" s="1149">
        <f t="shared" ref="R110:R116" si="31">P110*N110</f>
        <v>0</v>
      </c>
    </row>
    <row r="111" spans="1:23">
      <c r="A111" s="208">
        <v>1</v>
      </c>
      <c r="B111" s="1150">
        <f>'MATERIAL COST'!F84</f>
        <v>104755</v>
      </c>
      <c r="C111" s="1724" t="s">
        <v>1174</v>
      </c>
      <c r="D111" s="1724"/>
      <c r="E111" s="1724"/>
      <c r="F111" s="217" t="s">
        <v>1005</v>
      </c>
      <c r="G111" s="208">
        <v>0.75</v>
      </c>
      <c r="H111" s="208" t="s">
        <v>1011</v>
      </c>
      <c r="I111" s="208">
        <v>8</v>
      </c>
      <c r="J111" s="208" t="s">
        <v>1011</v>
      </c>
      <c r="K111" s="211">
        <f>I111/12</f>
        <v>0.66666666666666663</v>
      </c>
      <c r="L111" s="1145" t="s">
        <v>28</v>
      </c>
      <c r="M111" s="211">
        <f t="shared" si="28"/>
        <v>0.66666666666666663</v>
      </c>
      <c r="N111" s="211">
        <f t="shared" si="29"/>
        <v>0</v>
      </c>
      <c r="O111" s="212">
        <v>1.01</v>
      </c>
      <c r="P111" s="1146" cm="1">
        <f t="array" ref="P111">_xlfn.XLOOKUP(B111,RAW_100[[#All],[PartNum]],RAW_100[[#All],[UnitCost]])</f>
        <v>6.3</v>
      </c>
      <c r="Q111" s="1146">
        <f t="shared" si="30"/>
        <v>4.1999999999999993</v>
      </c>
      <c r="R111" s="1146">
        <f t="shared" si="31"/>
        <v>0</v>
      </c>
    </row>
    <row r="112" spans="1:23">
      <c r="A112" s="213">
        <v>1</v>
      </c>
      <c r="B112" s="1151">
        <f>'MATERIAL COST'!F77</f>
        <v>105467</v>
      </c>
      <c r="C112" s="1723" t="s">
        <v>1175</v>
      </c>
      <c r="D112" s="1723"/>
      <c r="E112" s="1723"/>
      <c r="F112" s="214" t="s">
        <v>1005</v>
      </c>
      <c r="G112" s="213">
        <v>2</v>
      </c>
      <c r="H112" s="213" t="s">
        <v>1011</v>
      </c>
      <c r="I112" s="213">
        <v>4.25</v>
      </c>
      <c r="J112" s="213" t="s">
        <v>1011</v>
      </c>
      <c r="K112" s="215">
        <f>I112/12</f>
        <v>0.35416666666666669</v>
      </c>
      <c r="L112" s="1148" t="s">
        <v>28</v>
      </c>
      <c r="M112" s="215">
        <f t="shared" si="28"/>
        <v>0.35416666666666669</v>
      </c>
      <c r="N112" s="215">
        <f t="shared" si="29"/>
        <v>0</v>
      </c>
      <c r="O112" s="216">
        <v>2.09</v>
      </c>
      <c r="P112" s="1149" cm="1">
        <f t="array" ref="P112">_xlfn.XLOOKUP(B112,RAW_100[[#All],[PartNum]],RAW_100[[#All],[UnitCost]])</f>
        <v>97.5</v>
      </c>
      <c r="Q112" s="1149">
        <f t="shared" si="30"/>
        <v>34.53125</v>
      </c>
      <c r="R112" s="1149">
        <f t="shared" si="31"/>
        <v>0</v>
      </c>
    </row>
    <row r="113" spans="1:23">
      <c r="A113" s="208">
        <v>1</v>
      </c>
      <c r="B113" s="1150">
        <v>501596</v>
      </c>
      <c r="C113" s="1716" t="s">
        <v>1176</v>
      </c>
      <c r="D113" s="1716"/>
      <c r="E113" s="1716"/>
      <c r="F113" s="208" t="s">
        <v>911</v>
      </c>
      <c r="G113" s="637">
        <v>0.505</v>
      </c>
      <c r="H113" s="208"/>
      <c r="I113" s="208"/>
      <c r="J113" s="208"/>
      <c r="K113" s="208">
        <v>1</v>
      </c>
      <c r="L113" s="1152" t="s">
        <v>1014</v>
      </c>
      <c r="M113" s="208">
        <f t="shared" si="28"/>
        <v>1</v>
      </c>
      <c r="N113" s="208">
        <f t="shared" si="29"/>
        <v>0</v>
      </c>
      <c r="O113" s="212">
        <v>1.0999999999999999E-2</v>
      </c>
      <c r="P113" s="1146" cm="1">
        <f t="array" ref="P113">_xlfn.XLOOKUP(B113,PP_COST[[#All],[PART NUMBER]],PP_COST[[#All],[UNIT COST]])</f>
        <v>0.375</v>
      </c>
      <c r="Q113" s="1146">
        <f t="shared" si="30"/>
        <v>0.375</v>
      </c>
      <c r="R113" s="1146">
        <f t="shared" si="31"/>
        <v>0</v>
      </c>
    </row>
    <row r="114" spans="1:23">
      <c r="A114" s="213">
        <v>2</v>
      </c>
      <c r="B114" s="1147">
        <v>501598</v>
      </c>
      <c r="C114" s="1717" t="s">
        <v>1177</v>
      </c>
      <c r="D114" s="1718"/>
      <c r="E114" s="1718"/>
      <c r="F114" s="213" t="s">
        <v>911</v>
      </c>
      <c r="G114" s="213"/>
      <c r="H114" s="213"/>
      <c r="I114" s="213"/>
      <c r="J114" s="213"/>
      <c r="K114" s="213">
        <v>1</v>
      </c>
      <c r="L114" s="1151" t="s">
        <v>1014</v>
      </c>
      <c r="M114" s="213">
        <f t="shared" si="28"/>
        <v>2</v>
      </c>
      <c r="N114" s="213">
        <f t="shared" si="29"/>
        <v>0</v>
      </c>
      <c r="O114" s="216">
        <v>2E-3</v>
      </c>
      <c r="P114" s="1149" cm="1">
        <f t="array" ref="P114">_xlfn.XLOOKUP(B114,PP_COST[[#All],[PART NUMBER]],PP_COST[[#All],[UNIT COST]])</f>
        <v>1.804</v>
      </c>
      <c r="Q114" s="1149">
        <f t="shared" si="30"/>
        <v>3.6080000000000001</v>
      </c>
      <c r="R114" s="1149">
        <f t="shared" si="31"/>
        <v>0</v>
      </c>
    </row>
    <row r="115" spans="1:23">
      <c r="A115" s="208">
        <v>2</v>
      </c>
      <c r="B115" s="1150">
        <v>501688</v>
      </c>
      <c r="C115" s="1716" t="s">
        <v>1178</v>
      </c>
      <c r="D115" s="1716"/>
      <c r="E115" s="1716"/>
      <c r="F115" s="208" t="s">
        <v>911</v>
      </c>
      <c r="G115" s="208"/>
      <c r="H115" s="208"/>
      <c r="I115" s="208"/>
      <c r="J115" s="208"/>
      <c r="K115" s="208">
        <v>1</v>
      </c>
      <c r="L115" s="1152" t="s">
        <v>1014</v>
      </c>
      <c r="M115" s="208">
        <f t="shared" si="28"/>
        <v>2</v>
      </c>
      <c r="N115" s="208">
        <f t="shared" si="29"/>
        <v>0</v>
      </c>
      <c r="O115" s="212">
        <v>0.1</v>
      </c>
      <c r="P115" s="1146" cm="1">
        <f t="array" ref="P115">_xlfn.XLOOKUP(B115,PP_COST[[#All],[PART NUMBER]],PP_COST[[#All],[UNIT COST]])</f>
        <v>28.86</v>
      </c>
      <c r="Q115" s="1146">
        <f t="shared" si="30"/>
        <v>57.72</v>
      </c>
      <c r="R115" s="1146">
        <f t="shared" si="31"/>
        <v>0</v>
      </c>
    </row>
    <row r="116" spans="1:23">
      <c r="A116" s="213">
        <v>1</v>
      </c>
      <c r="B116" s="1151" t="s">
        <v>834</v>
      </c>
      <c r="C116" s="1717" t="s">
        <v>1179</v>
      </c>
      <c r="D116" s="1718"/>
      <c r="E116" s="1718"/>
      <c r="F116" s="213" t="s">
        <v>911</v>
      </c>
      <c r="G116" s="213"/>
      <c r="H116" s="213"/>
      <c r="I116" s="213"/>
      <c r="J116" s="213"/>
      <c r="K116" s="213">
        <v>1</v>
      </c>
      <c r="L116" s="1151" t="s">
        <v>1014</v>
      </c>
      <c r="M116" s="213">
        <f t="shared" si="28"/>
        <v>1</v>
      </c>
      <c r="N116" s="213">
        <f t="shared" si="29"/>
        <v>0</v>
      </c>
      <c r="O116" s="216"/>
      <c r="P116" s="1149" cm="1">
        <f t="array" ref="P116">_xlfn.XLOOKUP(B116,HW_COST[[#All],[PART NUMBER]],HW_COST[[#All],[UNIT COST]])</f>
        <v>0.06</v>
      </c>
      <c r="Q116" s="1149">
        <f t="shared" si="30"/>
        <v>0.06</v>
      </c>
      <c r="R116" s="1149">
        <f t="shared" si="31"/>
        <v>0</v>
      </c>
    </row>
    <row r="117" spans="1:23">
      <c r="A117" s="208"/>
      <c r="B117" s="208"/>
      <c r="C117" s="1719" t="s">
        <v>920</v>
      </c>
      <c r="D117" s="1719"/>
      <c r="E117" s="1719"/>
      <c r="F117" s="208"/>
      <c r="G117" s="208">
        <v>5</v>
      </c>
      <c r="H117" s="208" t="s">
        <v>1017</v>
      </c>
      <c r="I117" s="208"/>
      <c r="J117" s="208"/>
      <c r="K117" s="208"/>
      <c r="L117" s="208"/>
      <c r="M117" s="208"/>
      <c r="N117" s="208"/>
      <c r="O117" s="208"/>
      <c r="P117" s="208"/>
      <c r="Q117" s="208"/>
      <c r="R117" s="208"/>
    </row>
    <row r="118" spans="1:23">
      <c r="A118" s="218"/>
      <c r="B118" s="218"/>
      <c r="C118" s="218"/>
      <c r="D118" s="218"/>
      <c r="E118" s="219" t="s">
        <v>911</v>
      </c>
      <c r="F118" s="220">
        <f>SUMIF($F109:$F116,E118,$Q109:$Q116)</f>
        <v>61.762999999999998</v>
      </c>
      <c r="G118" s="219" t="s">
        <v>1005</v>
      </c>
      <c r="H118" s="220">
        <f>SUMIF($F109:$F116,G118,$Q109:$Q116)</f>
        <v>90.399999999999991</v>
      </c>
      <c r="I118" s="1720" t="s">
        <v>914</v>
      </c>
      <c r="J118" s="1720"/>
      <c r="K118" s="220">
        <f>SUMIF($F109:$F116,J118,$Q109:$Q116)</f>
        <v>0</v>
      </c>
      <c r="L118" s="218"/>
      <c r="M118" s="218"/>
      <c r="N118" s="671" t="s">
        <v>1018</v>
      </c>
      <c r="O118" s="216">
        <f>SUM(O109:O117)</f>
        <v>20.808</v>
      </c>
      <c r="P118" s="221" t="s">
        <v>1019</v>
      </c>
      <c r="Q118" s="1153">
        <f>SUM(Q109:Q117)</f>
        <v>152.16300000000001</v>
      </c>
      <c r="R118" s="1149">
        <f>SUM(R109:R117)</f>
        <v>0</v>
      </c>
    </row>
    <row r="119" spans="1:23">
      <c r="E119" s="647"/>
      <c r="F119" s="648"/>
      <c r="G119" s="647"/>
      <c r="H119" s="648"/>
      <c r="I119" s="647"/>
      <c r="J119" s="647"/>
      <c r="K119" s="648"/>
      <c r="O119" s="398"/>
      <c r="P119" s="401"/>
      <c r="Q119" s="401"/>
      <c r="R119" s="400"/>
    </row>
    <row r="120" spans="1:23">
      <c r="E120" s="647"/>
      <c r="F120" s="648"/>
      <c r="G120" s="647"/>
      <c r="H120" s="648"/>
      <c r="I120" s="647"/>
      <c r="J120" s="647"/>
      <c r="K120" s="648"/>
      <c r="O120" s="398"/>
      <c r="P120" s="401"/>
      <c r="Q120" s="401"/>
      <c r="R120" s="400"/>
    </row>
    <row r="121" spans="1:23">
      <c r="E121" s="647"/>
      <c r="F121" s="648"/>
      <c r="G121" s="647"/>
      <c r="H121" s="648"/>
      <c r="I121" s="647"/>
      <c r="J121" s="647"/>
      <c r="K121" s="648"/>
      <c r="O121" s="398"/>
      <c r="P121" s="401"/>
      <c r="Q121" s="401"/>
      <c r="R121" s="400"/>
    </row>
    <row r="122" spans="1:23">
      <c r="E122" s="647"/>
      <c r="F122" s="648"/>
      <c r="G122" s="647"/>
      <c r="H122" s="648"/>
      <c r="I122" s="647"/>
      <c r="J122" s="647"/>
      <c r="K122" s="648"/>
      <c r="O122" s="398"/>
      <c r="P122" s="401"/>
      <c r="Q122" s="401"/>
      <c r="R122" s="400"/>
    </row>
    <row r="123" spans="1:23" ht="15.75" thickBot="1">
      <c r="G123" s="636"/>
    </row>
    <row r="124" spans="1:23" ht="15.75" thickBot="1">
      <c r="A124" s="677" t="s">
        <v>1180</v>
      </c>
      <c r="B124" s="676"/>
      <c r="C124" s="676"/>
      <c r="D124" s="676"/>
      <c r="E124" s="676"/>
      <c r="F124" s="676"/>
      <c r="G124" s="676"/>
      <c r="H124" s="676"/>
      <c r="I124" s="676"/>
      <c r="J124" s="676"/>
      <c r="K124" s="676"/>
      <c r="L124" s="676"/>
      <c r="M124" s="676"/>
      <c r="N124" s="676"/>
      <c r="O124" s="676"/>
      <c r="P124" s="676"/>
      <c r="Q124" s="676"/>
      <c r="R124" s="676"/>
      <c r="S124" s="97">
        <f>IF(AND(GUIDELERS="Yes",I_TYPE="Troughing"),2*GUID_QTY,0)</f>
        <v>0</v>
      </c>
      <c r="T124" s="153">
        <f>H133*S124</f>
        <v>0</v>
      </c>
      <c r="U124" s="154">
        <f>G132*S124</f>
        <v>0</v>
      </c>
      <c r="V124" s="153">
        <f>F133*S124</f>
        <v>0</v>
      </c>
      <c r="W124" s="153">
        <f>K133*S124</f>
        <v>0</v>
      </c>
    </row>
    <row r="125" spans="1:23">
      <c r="A125" s="208">
        <v>1</v>
      </c>
      <c r="B125" s="208" cm="1">
        <f t="array" ref="B125">_xlfn.XLOOKUP(G125,SM_TBL[[#All],[Thickness]],SM_TBL[[#All],[MoC_PN]])</f>
        <v>101964</v>
      </c>
      <c r="C125" s="1721" t="s">
        <v>1181</v>
      </c>
      <c r="D125" s="1721"/>
      <c r="E125" s="1721"/>
      <c r="F125" s="209" t="s">
        <v>1005</v>
      </c>
      <c r="G125" s="210">
        <v>0.1875</v>
      </c>
      <c r="H125" s="210">
        <v>4</v>
      </c>
      <c r="I125" s="210">
        <v>12.3125</v>
      </c>
      <c r="J125" s="208">
        <v>0.28899999999999998</v>
      </c>
      <c r="K125" s="211">
        <f>G125*H125*I125*J125</f>
        <v>2.6687343749999997</v>
      </c>
      <c r="L125" s="1145" t="s">
        <v>92</v>
      </c>
      <c r="M125" s="211">
        <f>K125*A125</f>
        <v>2.6687343749999997</v>
      </c>
      <c r="N125" s="211">
        <f>$S$124*M125</f>
        <v>0</v>
      </c>
      <c r="O125" s="212">
        <f>M125</f>
        <v>2.6687343749999997</v>
      </c>
      <c r="P125" s="1146" cm="1">
        <f t="array" ref="P125">_xlfn.XLOOKUP(B125,MET_PRICE[[#All],[Part Number]],MET_PRICE[[#All],[Price ($/lb) Domestic]])</f>
        <v>2.59</v>
      </c>
      <c r="Q125" s="1146">
        <f>M125*P125</f>
        <v>6.9120220312499985</v>
      </c>
      <c r="R125" s="1146">
        <f>N125*P125</f>
        <v>0</v>
      </c>
    </row>
    <row r="126" spans="1:23">
      <c r="A126" s="213">
        <v>1</v>
      </c>
      <c r="B126" s="213" cm="1">
        <f t="array" ref="B126">_xlfn.XLOOKUP(G126,SM_TBL[[#All],[Thickness]],SM_TBL[[#All],[MoC_PN]])</f>
        <v>101964</v>
      </c>
      <c r="C126" s="1723" t="s">
        <v>1182</v>
      </c>
      <c r="D126" s="1723"/>
      <c r="E126" s="1723"/>
      <c r="F126" s="214" t="s">
        <v>1005</v>
      </c>
      <c r="G126" s="213">
        <v>0.1875</v>
      </c>
      <c r="H126" s="213">
        <v>2.8125</v>
      </c>
      <c r="I126" s="213">
        <v>7</v>
      </c>
      <c r="J126" s="213">
        <v>0.28899999999999998</v>
      </c>
      <c r="K126" s="215">
        <f>G126*H126*I126*J126</f>
        <v>1.0668164062499998</v>
      </c>
      <c r="L126" s="1148" t="s">
        <v>92</v>
      </c>
      <c r="M126" s="215">
        <f t="shared" ref="M126:M131" si="32">K126*A126</f>
        <v>1.0668164062499998</v>
      </c>
      <c r="N126" s="215">
        <f t="shared" ref="N126:N131" si="33">$S$124*M126</f>
        <v>0</v>
      </c>
      <c r="O126" s="216">
        <f>M126</f>
        <v>1.0668164062499998</v>
      </c>
      <c r="P126" s="1149" cm="1">
        <f t="array" ref="P126">_xlfn.XLOOKUP(B126,MET_PRICE[[#All],[Part Number]],MET_PRICE[[#All],[Price ($/lb) Domestic]])</f>
        <v>2.59</v>
      </c>
      <c r="Q126" s="1149">
        <f t="shared" ref="Q126:Q131" si="34">M126*P126</f>
        <v>2.7630544921874995</v>
      </c>
      <c r="R126" s="1149">
        <f t="shared" ref="R126:R131" si="35">N126*P126</f>
        <v>0</v>
      </c>
    </row>
    <row r="127" spans="1:23">
      <c r="A127" s="208">
        <v>1</v>
      </c>
      <c r="B127" s="1152">
        <f>'MATERIAL COST'!F75</f>
        <v>105787</v>
      </c>
      <c r="C127" s="1729" t="s">
        <v>1183</v>
      </c>
      <c r="D127" s="1724"/>
      <c r="E127" s="1724"/>
      <c r="F127" s="217" t="s">
        <v>1005</v>
      </c>
      <c r="G127" s="208">
        <v>0.75</v>
      </c>
      <c r="H127" s="208" t="s">
        <v>1011</v>
      </c>
      <c r="I127" s="208">
        <v>2</v>
      </c>
      <c r="J127" s="208" t="s">
        <v>1011</v>
      </c>
      <c r="K127" s="211">
        <f>I127/12</f>
        <v>0.16666666666666666</v>
      </c>
      <c r="L127" s="1145" t="s">
        <v>28</v>
      </c>
      <c r="M127" s="211">
        <f t="shared" si="32"/>
        <v>0.16666666666666666</v>
      </c>
      <c r="N127" s="211">
        <f t="shared" si="33"/>
        <v>0</v>
      </c>
      <c r="O127" s="212">
        <v>0.28000000000000003</v>
      </c>
      <c r="P127" s="1100">
        <v>30</v>
      </c>
      <c r="Q127" s="1146">
        <f t="shared" si="34"/>
        <v>5</v>
      </c>
      <c r="R127" s="1146">
        <f t="shared" si="35"/>
        <v>0</v>
      </c>
    </row>
    <row r="128" spans="1:23">
      <c r="A128" s="213">
        <v>1</v>
      </c>
      <c r="B128" s="1147">
        <v>501600</v>
      </c>
      <c r="C128" s="1718" t="s">
        <v>1184</v>
      </c>
      <c r="D128" s="1718"/>
      <c r="E128" s="1718"/>
      <c r="F128" s="214" t="s">
        <v>911</v>
      </c>
      <c r="G128" s="213"/>
      <c r="H128" s="213"/>
      <c r="I128" s="213"/>
      <c r="J128" s="213"/>
      <c r="K128" s="213">
        <v>1</v>
      </c>
      <c r="L128" s="1151" t="s">
        <v>1014</v>
      </c>
      <c r="M128" s="213">
        <f t="shared" si="32"/>
        <v>1</v>
      </c>
      <c r="N128" s="213">
        <f t="shared" si="33"/>
        <v>0</v>
      </c>
      <c r="O128" s="216">
        <v>9.44</v>
      </c>
      <c r="P128" s="1149" cm="1">
        <f t="array" ref="P128">_xlfn.XLOOKUP(B128,PP_COST[[#All],[PART NUMBER]],PP_COST[[#All],[UNIT COST]])</f>
        <v>199.53</v>
      </c>
      <c r="Q128" s="1149">
        <f t="shared" si="34"/>
        <v>199.53</v>
      </c>
      <c r="R128" s="1149">
        <f t="shared" si="35"/>
        <v>0</v>
      </c>
    </row>
    <row r="129" spans="1:23">
      <c r="A129" s="208">
        <v>4</v>
      </c>
      <c r="B129" s="1152" t="s">
        <v>848</v>
      </c>
      <c r="C129" s="1730" t="s">
        <v>848</v>
      </c>
      <c r="D129" s="1716"/>
      <c r="E129" s="1716"/>
      <c r="F129" s="208" t="s">
        <v>911</v>
      </c>
      <c r="G129" s="208"/>
      <c r="H129" s="208"/>
      <c r="I129" s="208"/>
      <c r="J129" s="208"/>
      <c r="K129" s="208">
        <v>1</v>
      </c>
      <c r="L129" s="208" t="s">
        <v>1014</v>
      </c>
      <c r="M129" s="208">
        <f t="shared" si="32"/>
        <v>4</v>
      </c>
      <c r="N129" s="208">
        <f t="shared" si="33"/>
        <v>0</v>
      </c>
      <c r="O129" s="212"/>
      <c r="P129" s="1146" cm="1">
        <f t="array" ref="P129">_xlfn.XLOOKUP(B129,HW_COST[[#All],[PART NUMBER]],HW_COST[[#All],[UNIT COST]])</f>
        <v>0.32250000000000001</v>
      </c>
      <c r="Q129" s="1146">
        <f t="shared" si="34"/>
        <v>1.29</v>
      </c>
      <c r="R129" s="1146">
        <f t="shared" si="35"/>
        <v>0</v>
      </c>
    </row>
    <row r="130" spans="1:23">
      <c r="A130" s="213">
        <v>2</v>
      </c>
      <c r="B130" s="1151" t="s">
        <v>840</v>
      </c>
      <c r="C130" s="1717" t="s">
        <v>840</v>
      </c>
      <c r="D130" s="1718"/>
      <c r="E130" s="1718"/>
      <c r="F130" s="213" t="s">
        <v>911</v>
      </c>
      <c r="G130" s="213"/>
      <c r="H130" s="213"/>
      <c r="I130" s="213"/>
      <c r="J130" s="213"/>
      <c r="K130" s="213">
        <v>1</v>
      </c>
      <c r="L130" s="213" t="s">
        <v>1014</v>
      </c>
      <c r="M130" s="213">
        <f t="shared" si="32"/>
        <v>2</v>
      </c>
      <c r="N130" s="213">
        <f t="shared" si="33"/>
        <v>0</v>
      </c>
      <c r="O130" s="216"/>
      <c r="P130" s="1149" cm="1">
        <f t="array" ref="P130">_xlfn.XLOOKUP(B130,HW_COST[[#All],[PART NUMBER]],HW_COST[[#All],[UNIT COST]])</f>
        <v>0.76580000000000004</v>
      </c>
      <c r="Q130" s="1149">
        <f t="shared" si="34"/>
        <v>1.5316000000000001</v>
      </c>
      <c r="R130" s="1149">
        <f t="shared" si="35"/>
        <v>0</v>
      </c>
    </row>
    <row r="131" spans="1:23">
      <c r="A131" s="208">
        <v>1</v>
      </c>
      <c r="B131" s="1152" t="s">
        <v>834</v>
      </c>
      <c r="C131" s="1730" t="s">
        <v>1179</v>
      </c>
      <c r="D131" s="1716"/>
      <c r="E131" s="1716"/>
      <c r="F131" s="208" t="s">
        <v>911</v>
      </c>
      <c r="G131" s="208"/>
      <c r="H131" s="208"/>
      <c r="I131" s="208"/>
      <c r="J131" s="208"/>
      <c r="K131" s="208">
        <v>1</v>
      </c>
      <c r="L131" s="208" t="s">
        <v>1014</v>
      </c>
      <c r="M131" s="208">
        <f t="shared" si="32"/>
        <v>1</v>
      </c>
      <c r="N131" s="208">
        <f t="shared" si="33"/>
        <v>0</v>
      </c>
      <c r="O131" s="212"/>
      <c r="P131" s="1146" cm="1">
        <f t="array" ref="P131">_xlfn.XLOOKUP(B131,HW_COST[[#All],[PART NUMBER]],HW_COST[[#All],[UNIT COST]])</f>
        <v>0.06</v>
      </c>
      <c r="Q131" s="1146">
        <f t="shared" si="34"/>
        <v>0.06</v>
      </c>
      <c r="R131" s="1146">
        <f t="shared" si="35"/>
        <v>0</v>
      </c>
    </row>
    <row r="132" spans="1:23">
      <c r="A132" s="213"/>
      <c r="B132" s="213"/>
      <c r="C132" s="1725" t="s">
        <v>920</v>
      </c>
      <c r="D132" s="1725"/>
      <c r="E132" s="1725"/>
      <c r="F132" s="213"/>
      <c r="G132" s="213">
        <v>1</v>
      </c>
      <c r="H132" s="213" t="s">
        <v>1017</v>
      </c>
      <c r="I132" s="213"/>
      <c r="J132" s="213"/>
      <c r="K132" s="213"/>
      <c r="L132" s="213"/>
      <c r="M132" s="213"/>
      <c r="N132" s="213"/>
      <c r="O132" s="213"/>
      <c r="P132" s="1149"/>
      <c r="Q132" s="1149"/>
      <c r="R132" s="1149"/>
    </row>
    <row r="133" spans="1:23">
      <c r="A133" s="222"/>
      <c r="B133" s="222"/>
      <c r="C133" s="222"/>
      <c r="D133" s="222"/>
      <c r="E133" s="223" t="s">
        <v>911</v>
      </c>
      <c r="F133" s="224">
        <f>SUMIF($F125:$F131,E133,$Q125:$Q131)</f>
        <v>202.41159999999999</v>
      </c>
      <c r="G133" s="223" t="s">
        <v>1005</v>
      </c>
      <c r="H133" s="224">
        <f>SUMIF($F125:$F131,G133,$Q125:$Q131)</f>
        <v>14.675076523437498</v>
      </c>
      <c r="I133" s="1726" t="s">
        <v>914</v>
      </c>
      <c r="J133" s="1726"/>
      <c r="K133" s="224">
        <f>SUMIF($F125:$F131,J133,$Q125:$Q131)</f>
        <v>0</v>
      </c>
      <c r="L133" s="222"/>
      <c r="M133" s="222"/>
      <c r="N133" s="223" t="s">
        <v>1018</v>
      </c>
      <c r="O133" s="212">
        <f>SUM(O125:O132)</f>
        <v>13.45555078125</v>
      </c>
      <c r="P133" s="225" t="s">
        <v>1019</v>
      </c>
      <c r="Q133" s="1154">
        <f>SUM(Q125:Q132)</f>
        <v>217.08667652343749</v>
      </c>
      <c r="R133" s="1146">
        <f>SUM(R125:R132)</f>
        <v>0</v>
      </c>
    </row>
    <row r="134" spans="1:23" ht="15.75" thickBot="1">
      <c r="G134" s="636"/>
    </row>
    <row r="135" spans="1:23" ht="15.75" thickBot="1">
      <c r="A135" s="387" t="s">
        <v>1185</v>
      </c>
      <c r="B135" s="388"/>
      <c r="C135" s="388"/>
      <c r="D135" s="388"/>
      <c r="E135" s="388"/>
      <c r="F135" s="388"/>
      <c r="G135" s="388"/>
      <c r="H135" s="388"/>
      <c r="I135" s="388"/>
      <c r="J135" s="388"/>
      <c r="K135" s="388"/>
      <c r="L135" s="388"/>
      <c r="M135" s="388"/>
      <c r="N135" s="388"/>
      <c r="O135" s="388"/>
      <c r="P135" s="388"/>
      <c r="Q135" s="388"/>
      <c r="R135" s="388"/>
      <c r="S135" s="97" cm="1">
        <f t="array" ref="S135">_xlfn.IFS(B_TYPE="TYPE 3",1,B_TYPE="TYPE 5",1,TRUE,0)</f>
        <v>0</v>
      </c>
      <c r="T135" s="153">
        <f>H147*S135</f>
        <v>0</v>
      </c>
      <c r="U135" s="154">
        <f>G146*S135</f>
        <v>0</v>
      </c>
      <c r="V135" s="153">
        <f>F147*S135</f>
        <v>0</v>
      </c>
      <c r="W135" s="153">
        <f>K147*S135</f>
        <v>0</v>
      </c>
    </row>
    <row r="136" spans="1:23">
      <c r="A136" s="226">
        <v>2</v>
      </c>
      <c r="B136" s="226" cm="1">
        <f t="array" ref="B136">_xlfn.XLOOKUP(G136,SM_TBL[[#All],[Thickness]],SM_TBL[[#All],[MoC_PN]])</f>
        <v>101963</v>
      </c>
      <c r="C136" s="1727" t="s">
        <v>1186</v>
      </c>
      <c r="D136" s="1727"/>
      <c r="E136" s="1727"/>
      <c r="F136" s="227" t="s">
        <v>1005</v>
      </c>
      <c r="G136" s="228">
        <v>0.25</v>
      </c>
      <c r="H136" s="228">
        <v>9.1</v>
      </c>
      <c r="I136" s="228">
        <v>20</v>
      </c>
      <c r="J136" s="226">
        <v>0.28899999999999998</v>
      </c>
      <c r="K136" s="229">
        <f>G136*H136*I136*J136</f>
        <v>13.1495</v>
      </c>
      <c r="L136" s="1155" t="s">
        <v>92</v>
      </c>
      <c r="M136" s="229">
        <f>A136*K136</f>
        <v>26.298999999999999</v>
      </c>
      <c r="N136" s="229">
        <f>$S$135*M136</f>
        <v>0</v>
      </c>
      <c r="O136" s="230">
        <f>M136</f>
        <v>26.298999999999999</v>
      </c>
      <c r="P136" s="1156" cm="1">
        <f t="array" ref="P136">_xlfn.XLOOKUP(B136,MET_PRICE[[#All],[Part Number]],MET_PRICE[[#All],[Price ($/lb) Domestic]])</f>
        <v>2.65</v>
      </c>
      <c r="Q136" s="1156">
        <f>M136*P136</f>
        <v>69.69234999999999</v>
      </c>
      <c r="R136" s="1156">
        <f>N136*P136</f>
        <v>0</v>
      </c>
    </row>
    <row r="137" spans="1:23">
      <c r="A137" s="155">
        <v>4</v>
      </c>
      <c r="B137" s="155" cm="1">
        <f t="array" ref="B137">_xlfn.XLOOKUP(G137,SM_TBL[[#All],[Thickness]],SM_TBL[[#All],[MoC_PN]])</f>
        <v>101963</v>
      </c>
      <c r="C137" s="1691" t="s">
        <v>1187</v>
      </c>
      <c r="D137" s="1691"/>
      <c r="E137" s="1691"/>
      <c r="F137" s="156" t="s">
        <v>1005</v>
      </c>
      <c r="G137" s="155">
        <v>0.25</v>
      </c>
      <c r="H137" s="155">
        <v>5.625</v>
      </c>
      <c r="I137" s="155">
        <v>8</v>
      </c>
      <c r="J137" s="155">
        <v>0.28899999999999998</v>
      </c>
      <c r="K137" s="157">
        <f>G137*H137*I137*J137</f>
        <v>3.2512499999999998</v>
      </c>
      <c r="L137" s="1120" t="s">
        <v>92</v>
      </c>
      <c r="M137" s="157">
        <f t="shared" ref="M137:M145" si="36">A137*K137</f>
        <v>13.004999999999999</v>
      </c>
      <c r="N137" s="157">
        <f t="shared" ref="N137:N145" si="37">$S$135*M137</f>
        <v>0</v>
      </c>
      <c r="O137" s="158">
        <f t="shared" ref="O137:O138" si="38">M137</f>
        <v>13.004999999999999</v>
      </c>
      <c r="P137" s="1121" cm="1">
        <f t="array" ref="P137">_xlfn.XLOOKUP(B137,MET_PRICE[[#All],[Part Number]],MET_PRICE[[#All],[Price ($/lb) Domestic]])</f>
        <v>2.65</v>
      </c>
      <c r="Q137" s="1121">
        <f t="shared" ref="Q137:Q145" si="39">M137*P137</f>
        <v>34.463249999999995</v>
      </c>
      <c r="R137" s="1121">
        <f t="shared" ref="R137:R145" si="40">N137*P137</f>
        <v>0</v>
      </c>
    </row>
    <row r="138" spans="1:23">
      <c r="A138" s="226">
        <v>2</v>
      </c>
      <c r="B138" s="226" cm="1">
        <f t="array" ref="B138">_xlfn.XLOOKUP(G138,SM_TBL[[#All],[Thickness]],SM_TBL[[#All],[MoC_PN]])</f>
        <v>101963</v>
      </c>
      <c r="C138" s="1728" t="s">
        <v>1188</v>
      </c>
      <c r="D138" s="1728"/>
      <c r="E138" s="1728"/>
      <c r="F138" s="231" t="s">
        <v>1005</v>
      </c>
      <c r="G138" s="226">
        <v>0.25</v>
      </c>
      <c r="H138" s="226">
        <v>1.125</v>
      </c>
      <c r="I138" s="226">
        <v>1.5</v>
      </c>
      <c r="J138" s="226">
        <v>0.28899999999999998</v>
      </c>
      <c r="K138" s="229">
        <f>G138*H138*I138*J138</f>
        <v>0.12192187499999999</v>
      </c>
      <c r="L138" s="1155" t="s">
        <v>92</v>
      </c>
      <c r="M138" s="229">
        <f t="shared" si="36"/>
        <v>0.24384374999999997</v>
      </c>
      <c r="N138" s="229">
        <f t="shared" si="37"/>
        <v>0</v>
      </c>
      <c r="O138" s="230">
        <f t="shared" si="38"/>
        <v>0.24384374999999997</v>
      </c>
      <c r="P138" s="1156" cm="1">
        <f t="array" ref="P138">_xlfn.XLOOKUP(B138,MET_PRICE[[#All],[Part Number]],MET_PRICE[[#All],[Price ($/lb) Domestic]])</f>
        <v>2.65</v>
      </c>
      <c r="Q138" s="1156">
        <f t="shared" si="39"/>
        <v>0.64618593749999986</v>
      </c>
      <c r="R138" s="1156">
        <f t="shared" si="40"/>
        <v>0</v>
      </c>
    </row>
    <row r="139" spans="1:23">
      <c r="A139" s="155">
        <v>2</v>
      </c>
      <c r="B139" s="1157">
        <f>'MATERIAL COST'!F85</f>
        <v>104752</v>
      </c>
      <c r="C139" s="1691" t="s">
        <v>1189</v>
      </c>
      <c r="D139" s="1691"/>
      <c r="E139" s="1691"/>
      <c r="F139" s="156" t="s">
        <v>1005</v>
      </c>
      <c r="G139" s="155">
        <v>1.25</v>
      </c>
      <c r="H139" s="155" t="s">
        <v>1011</v>
      </c>
      <c r="I139" s="155">
        <v>12.5</v>
      </c>
      <c r="J139" s="155" t="s">
        <v>1011</v>
      </c>
      <c r="K139" s="157">
        <f>I139/12</f>
        <v>1.0416666666666667</v>
      </c>
      <c r="L139" s="1120" t="s">
        <v>28</v>
      </c>
      <c r="M139" s="157">
        <f t="shared" si="36"/>
        <v>2.0833333333333335</v>
      </c>
      <c r="N139" s="157">
        <f t="shared" si="37"/>
        <v>0</v>
      </c>
      <c r="O139" s="158">
        <v>8.82</v>
      </c>
      <c r="P139" s="1100">
        <v>44.5</v>
      </c>
      <c r="Q139" s="1121">
        <f t="shared" si="39"/>
        <v>92.708333333333343</v>
      </c>
      <c r="R139" s="1121">
        <f t="shared" si="40"/>
        <v>0</v>
      </c>
    </row>
    <row r="140" spans="1:23">
      <c r="A140" s="226">
        <v>4</v>
      </c>
      <c r="B140" s="1158">
        <v>501143</v>
      </c>
      <c r="C140" s="1736" t="s">
        <v>1190</v>
      </c>
      <c r="D140" s="1736"/>
      <c r="E140" s="1736"/>
      <c r="F140" s="226" t="s">
        <v>911</v>
      </c>
      <c r="G140" s="638">
        <v>0.505</v>
      </c>
      <c r="H140" s="226"/>
      <c r="I140" s="226"/>
      <c r="J140" s="226"/>
      <c r="K140" s="226">
        <v>1</v>
      </c>
      <c r="L140" s="1159" t="s">
        <v>1014</v>
      </c>
      <c r="M140" s="226">
        <f t="shared" si="36"/>
        <v>4</v>
      </c>
      <c r="N140" s="226">
        <f t="shared" si="37"/>
        <v>0</v>
      </c>
      <c r="O140" s="230">
        <v>3</v>
      </c>
      <c r="P140" s="1156" cm="1">
        <f t="array" ref="P140">_xlfn.XLOOKUP(B140,PP_COST[[#All],[PART NUMBER]],PP_COST[[#All],[UNIT COST]])</f>
        <v>59.31</v>
      </c>
      <c r="Q140" s="1156">
        <f t="shared" si="39"/>
        <v>237.24</v>
      </c>
      <c r="R140" s="1156">
        <f t="shared" si="40"/>
        <v>0</v>
      </c>
    </row>
    <row r="141" spans="1:23">
      <c r="A141" s="155">
        <v>2</v>
      </c>
      <c r="B141" s="1157">
        <v>501048</v>
      </c>
      <c r="C141" s="1687" t="s">
        <v>1191</v>
      </c>
      <c r="D141" s="1687"/>
      <c r="E141" s="1687"/>
      <c r="F141" s="155" t="s">
        <v>911</v>
      </c>
      <c r="G141" s="155"/>
      <c r="H141" s="155"/>
      <c r="I141" s="155"/>
      <c r="J141" s="155"/>
      <c r="K141" s="155">
        <v>1</v>
      </c>
      <c r="L141" s="155" t="s">
        <v>1014</v>
      </c>
      <c r="M141" s="155">
        <f t="shared" si="36"/>
        <v>2</v>
      </c>
      <c r="N141" s="155">
        <f t="shared" si="37"/>
        <v>0</v>
      </c>
      <c r="O141" s="158">
        <v>0.3</v>
      </c>
      <c r="P141" s="1121" cm="1">
        <f t="array" ref="P141">_xlfn.XLOOKUP(B141,PP_COST[[#All],[PART NUMBER]],PP_COST[[#All],[UNIT COST]])</f>
        <v>26.56</v>
      </c>
      <c r="Q141" s="1121">
        <f t="shared" si="39"/>
        <v>53.12</v>
      </c>
      <c r="R141" s="1121">
        <f t="shared" si="40"/>
        <v>0</v>
      </c>
    </row>
    <row r="142" spans="1:23">
      <c r="A142" s="226">
        <v>2</v>
      </c>
      <c r="B142" s="1158">
        <v>501688</v>
      </c>
      <c r="C142" s="1736" t="s">
        <v>1178</v>
      </c>
      <c r="D142" s="1736"/>
      <c r="E142" s="1736"/>
      <c r="F142" s="226" t="s">
        <v>911</v>
      </c>
      <c r="G142" s="226"/>
      <c r="H142" s="226"/>
      <c r="I142" s="226"/>
      <c r="J142" s="226"/>
      <c r="K142" s="226">
        <v>1</v>
      </c>
      <c r="L142" s="226" t="s">
        <v>1014</v>
      </c>
      <c r="M142" s="226">
        <f t="shared" si="36"/>
        <v>2</v>
      </c>
      <c r="N142" s="226">
        <f t="shared" si="37"/>
        <v>0</v>
      </c>
      <c r="O142" s="230">
        <v>0.1</v>
      </c>
      <c r="P142" s="1156" cm="1">
        <f t="array" ref="P142">_xlfn.XLOOKUP(B142,PP_COST[[#All],[PART NUMBER]],PP_COST[[#All],[UNIT COST]])</f>
        <v>28.86</v>
      </c>
      <c r="Q142" s="1156">
        <f t="shared" si="39"/>
        <v>57.72</v>
      </c>
      <c r="R142" s="1156">
        <f t="shared" si="40"/>
        <v>0</v>
      </c>
    </row>
    <row r="143" spans="1:23">
      <c r="A143" s="155">
        <v>2</v>
      </c>
      <c r="B143" s="1157">
        <v>502209</v>
      </c>
      <c r="C143" s="1687" t="s">
        <v>1192</v>
      </c>
      <c r="D143" s="1687"/>
      <c r="E143" s="1687"/>
      <c r="F143" s="155" t="s">
        <v>911</v>
      </c>
      <c r="G143" s="155"/>
      <c r="H143" s="155"/>
      <c r="I143" s="155"/>
      <c r="J143" s="155"/>
      <c r="K143" s="155">
        <v>1</v>
      </c>
      <c r="L143" s="155" t="s">
        <v>1014</v>
      </c>
      <c r="M143" s="155">
        <f t="shared" si="36"/>
        <v>2</v>
      </c>
      <c r="N143" s="155">
        <f t="shared" si="37"/>
        <v>0</v>
      </c>
      <c r="O143" s="158">
        <v>9</v>
      </c>
      <c r="P143" s="1121" cm="1">
        <f t="array" ref="P143">_xlfn.XLOOKUP(B143,PP_COST[[#All],[PART NUMBER]],PP_COST[[#All],[UNIT COST]])</f>
        <v>69.33</v>
      </c>
      <c r="Q143" s="1121">
        <f t="shared" si="39"/>
        <v>138.66</v>
      </c>
      <c r="R143" s="1121">
        <f t="shared" si="40"/>
        <v>0</v>
      </c>
    </row>
    <row r="144" spans="1:23">
      <c r="A144" s="226">
        <v>2</v>
      </c>
      <c r="B144" s="1159" t="s">
        <v>832</v>
      </c>
      <c r="C144" s="1737" t="s">
        <v>1193</v>
      </c>
      <c r="D144" s="1736"/>
      <c r="E144" s="1736"/>
      <c r="F144" s="226" t="s">
        <v>911</v>
      </c>
      <c r="G144" s="226"/>
      <c r="H144" s="226"/>
      <c r="I144" s="226"/>
      <c r="J144" s="226"/>
      <c r="K144" s="226">
        <v>1</v>
      </c>
      <c r="L144" s="226" t="s">
        <v>1014</v>
      </c>
      <c r="M144" s="226">
        <f t="shared" si="36"/>
        <v>2</v>
      </c>
      <c r="N144" s="226">
        <f t="shared" si="37"/>
        <v>0</v>
      </c>
      <c r="O144" s="230"/>
      <c r="P144" s="1156" cm="1">
        <f t="array" ref="P144">_xlfn.XLOOKUP(B144,HW_COST[[#All],[PART NUMBER]],HW_COST[[#All],[UNIT COST]])</f>
        <v>2.1</v>
      </c>
      <c r="Q144" s="1156">
        <f t="shared" si="39"/>
        <v>4.2</v>
      </c>
      <c r="R144" s="1156">
        <f t="shared" si="40"/>
        <v>0</v>
      </c>
    </row>
    <row r="145" spans="1:23">
      <c r="A145" s="155">
        <v>4</v>
      </c>
      <c r="B145" s="1124" t="s">
        <v>842</v>
      </c>
      <c r="C145" s="1686" t="s">
        <v>1194</v>
      </c>
      <c r="D145" s="1687"/>
      <c r="E145" s="1687"/>
      <c r="F145" s="155" t="s">
        <v>911</v>
      </c>
      <c r="G145" s="155"/>
      <c r="H145" s="155"/>
      <c r="I145" s="155"/>
      <c r="J145" s="155"/>
      <c r="K145" s="155">
        <v>1</v>
      </c>
      <c r="L145" s="155" t="s">
        <v>1014</v>
      </c>
      <c r="M145" s="155">
        <f t="shared" si="36"/>
        <v>4</v>
      </c>
      <c r="N145" s="155">
        <f t="shared" si="37"/>
        <v>0</v>
      </c>
      <c r="O145" s="158"/>
      <c r="P145" s="1121" cm="1">
        <f t="array" ref="P145">_xlfn.XLOOKUP(B145,HW_COST[[#All],[PART NUMBER]],HW_COST[[#All],[UNIT COST]])</f>
        <v>0.85319999999999996</v>
      </c>
      <c r="Q145" s="1121">
        <f t="shared" si="39"/>
        <v>3.4127999999999998</v>
      </c>
      <c r="R145" s="1121">
        <f t="shared" si="40"/>
        <v>0</v>
      </c>
    </row>
    <row r="146" spans="1:23">
      <c r="A146" s="226"/>
      <c r="B146" s="226"/>
      <c r="C146" s="1732" t="s">
        <v>920</v>
      </c>
      <c r="D146" s="1732"/>
      <c r="E146" s="1732"/>
      <c r="F146" s="226"/>
      <c r="G146" s="226">
        <v>5</v>
      </c>
      <c r="H146" s="226" t="s">
        <v>1017</v>
      </c>
      <c r="I146" s="226"/>
      <c r="J146" s="226"/>
      <c r="K146" s="226"/>
      <c r="L146" s="226"/>
      <c r="M146" s="226"/>
      <c r="N146" s="226"/>
      <c r="O146" s="226"/>
      <c r="P146" s="1156"/>
      <c r="Q146" s="1156"/>
      <c r="R146" s="1156"/>
    </row>
    <row r="147" spans="1:23">
      <c r="A147" s="232"/>
      <c r="B147" s="232"/>
      <c r="C147" s="232"/>
      <c r="D147" s="232"/>
      <c r="E147" s="233" t="s">
        <v>911</v>
      </c>
      <c r="F147" s="234">
        <f>SUMIF($F136:$F145,E147,$Q136:$Q145)</f>
        <v>494.3528</v>
      </c>
      <c r="G147" s="233" t="s">
        <v>1005</v>
      </c>
      <c r="H147" s="234">
        <f>SUMIF($F136:$F145,G147,$Q136:$Q145)</f>
        <v>197.51011927083334</v>
      </c>
      <c r="I147" s="1733" t="s">
        <v>914</v>
      </c>
      <c r="J147" s="1733"/>
      <c r="K147" s="234">
        <f>SUMIF($F136:$F145,J147,$Q136:$Q145)</f>
        <v>0</v>
      </c>
      <c r="L147" s="232"/>
      <c r="M147" s="232"/>
      <c r="N147" s="233" t="s">
        <v>1018</v>
      </c>
      <c r="O147" s="158">
        <f>SUM(O136:O146)</f>
        <v>60.767843750000004</v>
      </c>
      <c r="P147" s="235" t="s">
        <v>1019</v>
      </c>
      <c r="Q147" s="1160">
        <f>SUM(Q136:Q146)</f>
        <v>691.86291927083334</v>
      </c>
      <c r="R147" s="1121">
        <f>SUM(R136:R146)</f>
        <v>0</v>
      </c>
    </row>
    <row r="148" spans="1:23" ht="15.75" thickBot="1">
      <c r="G148" s="636"/>
    </row>
    <row r="149" spans="1:23" ht="15.75" thickBot="1">
      <c r="A149" s="389" t="s">
        <v>1195</v>
      </c>
      <c r="B149" s="390"/>
      <c r="C149" s="390"/>
      <c r="D149" s="390"/>
      <c r="E149" s="390"/>
      <c r="F149" s="390"/>
      <c r="G149" s="390"/>
      <c r="H149" s="390"/>
      <c r="I149" s="390"/>
      <c r="J149" s="390"/>
      <c r="K149" s="390"/>
      <c r="L149" s="390"/>
      <c r="M149" s="390"/>
      <c r="N149" s="390"/>
      <c r="O149" s="390"/>
      <c r="P149" s="390"/>
      <c r="Q149" s="390"/>
      <c r="R149" s="390"/>
      <c r="S149" s="97">
        <v>0</v>
      </c>
      <c r="T149" s="153" t="e">
        <f>H157*S149</f>
        <v>#VALUE!</v>
      </c>
      <c r="U149" s="154">
        <f>G156*S149</f>
        <v>0</v>
      </c>
      <c r="V149" s="153">
        <f>F157*S149</f>
        <v>0</v>
      </c>
      <c r="W149" s="153">
        <f>K157*S149</f>
        <v>0</v>
      </c>
    </row>
    <row r="150" spans="1:23">
      <c r="A150" s="236">
        <v>1</v>
      </c>
      <c r="B150" s="1161">
        <f>'MATERIAL COST'!F79</f>
        <v>105627</v>
      </c>
      <c r="C150" s="1734" t="s">
        <v>1196</v>
      </c>
      <c r="D150" s="1734"/>
      <c r="E150" s="1734"/>
      <c r="F150" s="237" t="s">
        <v>1005</v>
      </c>
      <c r="G150" s="236">
        <v>6</v>
      </c>
      <c r="H150" s="236" t="s">
        <v>1011</v>
      </c>
      <c r="I150" s="238" t="str">
        <f>IF('TAIL-HEAD SECTIONS'!T1=18,26-6,IF('TAIL-HEAD SECTIONS'!T1=24,26,IF('TAIL-HEAD SECTIONS'!T1=30,26+6,IF('TAIL-HEAD SECTIONS'!T1=36,26+12,IF('TAIL-HEAD SECTIONS'!T1=48,26+24,"N/A")))))</f>
        <v>N/A</v>
      </c>
      <c r="J150" s="236" t="s">
        <v>1011</v>
      </c>
      <c r="K150" s="239" t="e">
        <f>I150/12</f>
        <v>#VALUE!</v>
      </c>
      <c r="L150" s="1162" t="s">
        <v>28</v>
      </c>
      <c r="M150" s="239" t="e">
        <f>A150*K150</f>
        <v>#VALUE!</v>
      </c>
      <c r="N150" s="239" t="e">
        <f>$S$149*M150</f>
        <v>#VALUE!</v>
      </c>
      <c r="O150" s="240">
        <v>42</v>
      </c>
      <c r="P150" s="1163" cm="1">
        <f t="array" ref="P150">_xlfn.XLOOKUP(B150,RAW_100[[#All],[PartNum]],RAW_100[[#All],[UnitCost]])</f>
        <v>70</v>
      </c>
      <c r="Q150" s="1163" t="e">
        <f>M150*P150</f>
        <v>#VALUE!</v>
      </c>
      <c r="R150" s="1163" t="e">
        <f>N150*P150</f>
        <v>#VALUE!</v>
      </c>
      <c r="S150" s="1117" t="s">
        <v>1197</v>
      </c>
    </row>
    <row r="151" spans="1:23">
      <c r="A151" s="241">
        <v>2</v>
      </c>
      <c r="B151" s="241" cm="1">
        <f t="array" ref="B151">_xlfn.XLOOKUP(G151,SM_TBL[[#All],[Thickness]],SM_TBL[[#All],[MoC_PN]])</f>
        <v>101963</v>
      </c>
      <c r="C151" s="1735" t="s">
        <v>1198</v>
      </c>
      <c r="D151" s="1735"/>
      <c r="E151" s="1735"/>
      <c r="F151" s="242" t="s">
        <v>1005</v>
      </c>
      <c r="G151" s="241">
        <v>0.25</v>
      </c>
      <c r="H151" s="241">
        <v>6.0625</v>
      </c>
      <c r="I151" s="241">
        <v>6.0625</v>
      </c>
      <c r="J151" s="241">
        <v>0.28899999999999998</v>
      </c>
      <c r="K151" s="243">
        <f>G151*H151*I151*J151</f>
        <v>2.6554697265625</v>
      </c>
      <c r="L151" s="1164" t="s">
        <v>92</v>
      </c>
      <c r="M151" s="243">
        <f t="shared" ref="M151:M155" si="41">A151*K151</f>
        <v>5.310939453125</v>
      </c>
      <c r="N151" s="243">
        <f t="shared" ref="N151:N155" si="42">$S$149*M151</f>
        <v>0</v>
      </c>
      <c r="O151" s="244">
        <f>M151</f>
        <v>5.310939453125</v>
      </c>
      <c r="P151" s="1165" cm="1">
        <f t="array" ref="P151">_xlfn.XLOOKUP(B151,MET_PRICE[[#All],[Part Number]],MET_PRICE[[#All],[Price ($/lb) Domestic]])</f>
        <v>2.65</v>
      </c>
      <c r="Q151" s="1165">
        <f t="shared" ref="Q151:Q155" si="43">M151*P151</f>
        <v>14.073989550781249</v>
      </c>
      <c r="R151" s="1165">
        <f t="shared" ref="R151:R155" si="44">N151*P151</f>
        <v>0</v>
      </c>
    </row>
    <row r="152" spans="1:23">
      <c r="A152" s="236">
        <v>1</v>
      </c>
      <c r="B152" s="1161">
        <f>'MATERIAL COST'!F85</f>
        <v>104752</v>
      </c>
      <c r="C152" s="1739" t="s">
        <v>1199</v>
      </c>
      <c r="D152" s="1739"/>
      <c r="E152" s="1739"/>
      <c r="F152" s="237" t="s">
        <v>1005</v>
      </c>
      <c r="G152" s="236">
        <v>1.25</v>
      </c>
      <c r="H152" s="236" t="s">
        <v>1011</v>
      </c>
      <c r="I152" s="238" t="str">
        <f>IF('TAIL-HEAD SECTIONS'!T1=18,38-6,IF('TAIL-HEAD SECTIONS'!T1=24,38,IF('TAIL-HEAD SECTIONS'!T1=30,38+6,IF('TAIL-HEAD SECTIONS'!T1=36,38+12,IF('TAIL-HEAD SECTIONS'!T1=48,38+24,"N/A")))))</f>
        <v>N/A</v>
      </c>
      <c r="J152" s="236" t="s">
        <v>1011</v>
      </c>
      <c r="K152" s="239" t="e">
        <f>I152/12</f>
        <v>#VALUE!</v>
      </c>
      <c r="L152" s="1162" t="s">
        <v>28</v>
      </c>
      <c r="M152" s="239" t="e">
        <f t="shared" si="41"/>
        <v>#VALUE!</v>
      </c>
      <c r="N152" s="239" t="e">
        <f t="shared" si="42"/>
        <v>#VALUE!</v>
      </c>
      <c r="O152" s="240">
        <v>0.28000000000000003</v>
      </c>
      <c r="P152" s="1100">
        <v>44.5</v>
      </c>
      <c r="Q152" s="1163" t="e">
        <f t="shared" si="43"/>
        <v>#VALUE!</v>
      </c>
      <c r="R152" s="1163" t="e">
        <f t="shared" si="44"/>
        <v>#VALUE!</v>
      </c>
    </row>
    <row r="153" spans="1:23">
      <c r="A153" s="241">
        <v>2</v>
      </c>
      <c r="B153" s="241" cm="1">
        <f t="array" ref="B153">_xlfn.XLOOKUP(G153,SM_TBL[[#All],[Thickness]],SM_TBL[[#All],[MoC_PN]])</f>
        <v>101963</v>
      </c>
      <c r="C153" s="1735" t="s">
        <v>1200</v>
      </c>
      <c r="D153" s="1735"/>
      <c r="E153" s="1735"/>
      <c r="F153" s="242" t="s">
        <v>1005</v>
      </c>
      <c r="G153" s="241">
        <v>0.25</v>
      </c>
      <c r="H153" s="241">
        <v>2</v>
      </c>
      <c r="I153" s="241">
        <v>7.5</v>
      </c>
      <c r="J153" s="241">
        <v>0.28899999999999998</v>
      </c>
      <c r="K153" s="243">
        <f>G153*H153*I153*J153</f>
        <v>1.08375</v>
      </c>
      <c r="L153" s="1164" t="s">
        <v>92</v>
      </c>
      <c r="M153" s="243">
        <f t="shared" si="41"/>
        <v>2.1675</v>
      </c>
      <c r="N153" s="243">
        <f t="shared" si="42"/>
        <v>0</v>
      </c>
      <c r="O153" s="244">
        <f>M153</f>
        <v>2.1675</v>
      </c>
      <c r="P153" s="1165" cm="1">
        <f t="array" ref="P153">_xlfn.XLOOKUP(B153,MET_PRICE[[#All],[Part Number]],MET_PRICE[[#All],[Price ($/lb) Domestic]])</f>
        <v>2.65</v>
      </c>
      <c r="Q153" s="1165">
        <f t="shared" si="43"/>
        <v>5.7438750000000001</v>
      </c>
      <c r="R153" s="1165">
        <f t="shared" si="44"/>
        <v>0</v>
      </c>
    </row>
    <row r="154" spans="1:23">
      <c r="A154" s="236">
        <v>2</v>
      </c>
      <c r="B154" s="1161">
        <v>502240</v>
      </c>
      <c r="C154" s="1740" t="s">
        <v>1201</v>
      </c>
      <c r="D154" s="1740"/>
      <c r="E154" s="1740"/>
      <c r="F154" s="236" t="s">
        <v>911</v>
      </c>
      <c r="G154" s="236"/>
      <c r="H154" s="236"/>
      <c r="I154" s="236"/>
      <c r="J154" s="236"/>
      <c r="K154" s="236">
        <v>1</v>
      </c>
      <c r="L154" s="1166" t="s">
        <v>1014</v>
      </c>
      <c r="M154" s="236">
        <f t="shared" si="41"/>
        <v>2</v>
      </c>
      <c r="N154" s="236">
        <f t="shared" si="42"/>
        <v>0</v>
      </c>
      <c r="O154" s="240">
        <v>4</v>
      </c>
      <c r="P154" s="1163" cm="1">
        <f t="array" ref="P154">_xlfn.XLOOKUP(B154,PP_COST[[#All],[PART NUMBER]],PP_COST[[#All],[UNIT COST]])</f>
        <v>74.62</v>
      </c>
      <c r="Q154" s="1163">
        <f t="shared" si="43"/>
        <v>149.24</v>
      </c>
      <c r="R154" s="1163">
        <f t="shared" si="44"/>
        <v>0</v>
      </c>
    </row>
    <row r="155" spans="1:23">
      <c r="A155" s="241">
        <v>4</v>
      </c>
      <c r="B155" s="1167" t="s">
        <v>860</v>
      </c>
      <c r="C155" s="1741" t="s">
        <v>860</v>
      </c>
      <c r="D155" s="1742"/>
      <c r="E155" s="1742"/>
      <c r="F155" s="241" t="s">
        <v>911</v>
      </c>
      <c r="G155" s="241"/>
      <c r="H155" s="241"/>
      <c r="I155" s="241"/>
      <c r="J155" s="241"/>
      <c r="K155" s="241">
        <v>1</v>
      </c>
      <c r="L155" s="1167" t="s">
        <v>1014</v>
      </c>
      <c r="M155" s="241">
        <f t="shared" si="41"/>
        <v>4</v>
      </c>
      <c r="N155" s="241">
        <f t="shared" si="42"/>
        <v>0</v>
      </c>
      <c r="O155" s="244"/>
      <c r="P155" s="1165" cm="1">
        <f t="array" ref="P155">_xlfn.XLOOKUP(B155,HW_COST[[#All],[PART NUMBER]],HW_COST[[#All],[UNIT COST]])</f>
        <v>3.1977000000000002</v>
      </c>
      <c r="Q155" s="1165">
        <f t="shared" si="43"/>
        <v>12.790800000000001</v>
      </c>
      <c r="R155" s="1165">
        <f t="shared" si="44"/>
        <v>0</v>
      </c>
    </row>
    <row r="156" spans="1:23">
      <c r="A156" s="236"/>
      <c r="B156" s="236"/>
      <c r="C156" s="1743" t="s">
        <v>920</v>
      </c>
      <c r="D156" s="1743"/>
      <c r="E156" s="1743"/>
      <c r="F156" s="236"/>
      <c r="G156" s="236">
        <v>5</v>
      </c>
      <c r="H156" s="236" t="s">
        <v>1017</v>
      </c>
      <c r="I156" s="236"/>
      <c r="J156" s="236"/>
      <c r="K156" s="236"/>
      <c r="L156" s="236"/>
      <c r="M156" s="236"/>
      <c r="N156" s="236"/>
      <c r="O156" s="236"/>
      <c r="P156" s="236"/>
      <c r="Q156" s="236"/>
      <c r="R156" s="236"/>
    </row>
    <row r="157" spans="1:23">
      <c r="A157" s="246"/>
      <c r="B157" s="246"/>
      <c r="C157" s="246"/>
      <c r="D157" s="246"/>
      <c r="E157" s="247" t="s">
        <v>911</v>
      </c>
      <c r="F157" s="248">
        <f>SUMIF($F150:$F155,E157,$Q150:$Q155)</f>
        <v>162.0308</v>
      </c>
      <c r="G157" s="247" t="s">
        <v>1005</v>
      </c>
      <c r="H157" s="248" t="e">
        <f>SUMIF($F150:$F155,G157,$Q150:$Q155)</f>
        <v>#VALUE!</v>
      </c>
      <c r="I157" s="1731" t="s">
        <v>914</v>
      </c>
      <c r="J157" s="1731"/>
      <c r="K157" s="248">
        <f>SUMIF($F150:$F155,J157,$Q150:$Q155)</f>
        <v>0</v>
      </c>
      <c r="L157" s="246"/>
      <c r="M157" s="246"/>
      <c r="N157" s="247" t="s">
        <v>1018</v>
      </c>
      <c r="O157" s="244">
        <f>SUM(O150:O156)</f>
        <v>53.758439453125</v>
      </c>
      <c r="P157" s="249" t="s">
        <v>1019</v>
      </c>
      <c r="Q157" s="1168" t="e">
        <f>SUM(Q150:Q156)</f>
        <v>#VALUE!</v>
      </c>
      <c r="R157" s="245" t="e">
        <f>SUM(R150:R156)</f>
        <v>#VALUE!</v>
      </c>
    </row>
    <row r="158" spans="1:23" ht="15.75" thickBot="1">
      <c r="G158" s="636"/>
    </row>
    <row r="159" spans="1:23" ht="15.75" thickBot="1">
      <c r="A159" s="391" t="s">
        <v>1202</v>
      </c>
      <c r="B159" s="392"/>
      <c r="C159" s="392"/>
      <c r="D159" s="392"/>
      <c r="E159" s="392"/>
      <c r="F159" s="392"/>
      <c r="G159" s="392"/>
      <c r="H159" s="392"/>
      <c r="I159" s="392"/>
      <c r="J159" s="392"/>
      <c r="K159" s="392"/>
      <c r="L159" s="392"/>
      <c r="M159" s="392"/>
      <c r="N159" s="392"/>
      <c r="O159" s="392"/>
      <c r="P159" s="392"/>
      <c r="Q159" s="392"/>
      <c r="R159" s="392"/>
      <c r="S159" s="97">
        <f>Q_PLOWS</f>
        <v>0</v>
      </c>
      <c r="T159" s="153" t="e">
        <f>H184*S159</f>
        <v>#VALUE!</v>
      </c>
      <c r="U159" s="154">
        <f>G183*S159</f>
        <v>0</v>
      </c>
      <c r="V159" s="153">
        <f>F184*S159</f>
        <v>0</v>
      </c>
      <c r="W159" s="153">
        <f>K184*S159</f>
        <v>0</v>
      </c>
    </row>
    <row r="160" spans="1:23">
      <c r="A160" s="135">
        <v>1</v>
      </c>
      <c r="B160" s="135" cm="1">
        <f t="array" ref="B160">_xlfn.XLOOKUP(G160,SM_TBL[[#All],[Thickness]],SM_TBL[[#All],[MoC_PN]])</f>
        <v>101963</v>
      </c>
      <c r="C160" s="1677" t="s">
        <v>1203</v>
      </c>
      <c r="D160" s="1677"/>
      <c r="E160" s="1677"/>
      <c r="F160" s="136" t="s">
        <v>1005</v>
      </c>
      <c r="G160" s="137">
        <v>0.25</v>
      </c>
      <c r="H160" s="137">
        <v>13.0625</v>
      </c>
      <c r="I160" s="117" t="str">
        <f>IF('TAIL-HEAD SECTIONS'!T1=18,69.625-12,IF('TAIL-HEAD SECTIONS'!T1=24,69.625,IF('TAIL-HEAD SECTIONS'!T1=30,69.625+12,IF('TAIL-HEAD SECTIONS'!T1=36,69.625+24,IF('TAIL-HEAD SECTIONS'!T1=48,69.625+48,"N/A")))))</f>
        <v>N/A</v>
      </c>
      <c r="J160" s="135">
        <v>0.28899999999999998</v>
      </c>
      <c r="K160" s="138" t="e">
        <f>G160*H160*I160</f>
        <v>#VALUE!</v>
      </c>
      <c r="L160" s="1113" t="s">
        <v>92</v>
      </c>
      <c r="M160" s="138" t="e">
        <f>A160*K160</f>
        <v>#VALUE!</v>
      </c>
      <c r="N160" s="138" t="e">
        <f>$S$159*M160</f>
        <v>#VALUE!</v>
      </c>
      <c r="O160" s="139" t="e">
        <f>M160</f>
        <v>#VALUE!</v>
      </c>
      <c r="P160" s="1114" cm="1">
        <f t="array" ref="P160">_xlfn.XLOOKUP(B160,MET_PRICE[[#All],[Part Number]],MET_PRICE[[#All],[Price ($/lb) Domestic]])</f>
        <v>2.65</v>
      </c>
      <c r="Q160" s="1114" t="e">
        <f>M160*P160</f>
        <v>#VALUE!</v>
      </c>
      <c r="R160" s="1114" t="e">
        <f>N160*P160</f>
        <v>#VALUE!</v>
      </c>
    </row>
    <row r="161" spans="1:18">
      <c r="A161" s="250">
        <v>2</v>
      </c>
      <c r="B161" s="250" cm="1">
        <f t="array" ref="B161">_xlfn.XLOOKUP(G161,SM_TBL[[#All],[Thickness]],SM_TBL[[#All],[MoC_PN]])</f>
        <v>101963</v>
      </c>
      <c r="C161" s="1738" t="s">
        <v>1204</v>
      </c>
      <c r="D161" s="1738"/>
      <c r="E161" s="1738"/>
      <c r="F161" s="251" t="s">
        <v>1005</v>
      </c>
      <c r="G161" s="250">
        <v>0.25</v>
      </c>
      <c r="H161" s="250">
        <v>3.5</v>
      </c>
      <c r="I161" s="250">
        <v>5.75</v>
      </c>
      <c r="J161" s="250">
        <v>0.28899999999999998</v>
      </c>
      <c r="K161" s="252">
        <f>G161*H161*I161</f>
        <v>5.03125</v>
      </c>
      <c r="L161" s="1169" t="s">
        <v>92</v>
      </c>
      <c r="M161" s="252">
        <f t="shared" ref="M161:M182" si="45">A161*K161</f>
        <v>10.0625</v>
      </c>
      <c r="N161" s="252">
        <f t="shared" ref="N161:N182" si="46">$S$159*M161</f>
        <v>0</v>
      </c>
      <c r="O161" s="253">
        <f>M161</f>
        <v>10.0625</v>
      </c>
      <c r="P161" s="1170" cm="1">
        <f t="array" ref="P161">_xlfn.XLOOKUP(B161,MET_PRICE[[#All],[Part Number]],MET_PRICE[[#All],[Price ($/lb) Domestic]])</f>
        <v>2.65</v>
      </c>
      <c r="Q161" s="1170">
        <f t="shared" ref="Q161:Q182" si="47">M161*P161</f>
        <v>26.665624999999999</v>
      </c>
      <c r="R161" s="1170">
        <f t="shared" ref="R161:R182" si="48">N161*P161</f>
        <v>0</v>
      </c>
    </row>
    <row r="162" spans="1:18">
      <c r="A162" s="135">
        <v>2</v>
      </c>
      <c r="B162" s="135">
        <f>'MATERIAL COST'!F86</f>
        <v>104748</v>
      </c>
      <c r="C162" s="1679" t="s">
        <v>1205</v>
      </c>
      <c r="D162" s="1679"/>
      <c r="E162" s="1679"/>
      <c r="F162" s="147" t="s">
        <v>1005</v>
      </c>
      <c r="G162" s="135">
        <v>1.5</v>
      </c>
      <c r="H162" s="135" t="s">
        <v>1011</v>
      </c>
      <c r="I162" s="135">
        <v>34.9375</v>
      </c>
      <c r="J162" s="135" t="s">
        <v>1011</v>
      </c>
      <c r="K162" s="138">
        <f>I162/12</f>
        <v>2.9114583333333335</v>
      </c>
      <c r="L162" s="1113" t="s">
        <v>28</v>
      </c>
      <c r="M162" s="138">
        <f t="shared" si="45"/>
        <v>5.822916666666667</v>
      </c>
      <c r="N162" s="138">
        <f t="shared" si="46"/>
        <v>0</v>
      </c>
      <c r="O162" s="139">
        <v>16</v>
      </c>
      <c r="P162" s="1114" cm="1">
        <f t="array" ref="P162">_xlfn.XLOOKUP(B162,RAW_100[[#All],[PartNum]],RAW_100[[#All],[UnitCost]])</f>
        <v>57</v>
      </c>
      <c r="Q162" s="1114">
        <f t="shared" si="47"/>
        <v>331.90625</v>
      </c>
      <c r="R162" s="1114">
        <f t="shared" si="48"/>
        <v>0</v>
      </c>
    </row>
    <row r="163" spans="1:18">
      <c r="A163" s="250">
        <v>2</v>
      </c>
      <c r="B163" s="250" cm="1">
        <f t="array" ref="B163">_xlfn.XLOOKUP(G163,SM_TBL[[#All],[Thickness]],SM_TBL[[#All],[MoC_PN]])</f>
        <v>101963</v>
      </c>
      <c r="C163" s="1738" t="s">
        <v>1206</v>
      </c>
      <c r="D163" s="1738"/>
      <c r="E163" s="1738"/>
      <c r="F163" s="251" t="s">
        <v>1005</v>
      </c>
      <c r="G163" s="250">
        <v>0.25</v>
      </c>
      <c r="H163" s="250">
        <v>6.375</v>
      </c>
      <c r="I163" s="250">
        <v>8.3125</v>
      </c>
      <c r="J163" s="250">
        <v>0.28899999999999998</v>
      </c>
      <c r="K163" s="252">
        <f>G163*H163*I163</f>
        <v>13.248046875</v>
      </c>
      <c r="L163" s="1169" t="s">
        <v>92</v>
      </c>
      <c r="M163" s="252">
        <f t="shared" si="45"/>
        <v>26.49609375</v>
      </c>
      <c r="N163" s="252">
        <f t="shared" si="46"/>
        <v>0</v>
      </c>
      <c r="O163" s="253">
        <f t="shared" ref="O163:O164" si="49">M163</f>
        <v>26.49609375</v>
      </c>
      <c r="P163" s="1170" cm="1">
        <f t="array" ref="P163">_xlfn.XLOOKUP(B163,MET_PRICE[[#All],[Part Number]],MET_PRICE[[#All],[Price ($/lb) Domestic]])</f>
        <v>2.65</v>
      </c>
      <c r="Q163" s="1170">
        <f t="shared" si="47"/>
        <v>70.214648437500003</v>
      </c>
      <c r="R163" s="1170">
        <f t="shared" si="48"/>
        <v>0</v>
      </c>
    </row>
    <row r="164" spans="1:18">
      <c r="A164" s="135">
        <v>1</v>
      </c>
      <c r="B164" s="135" cm="1">
        <f t="array" ref="B164">_xlfn.XLOOKUP(G164,SM_TBL[[#All],[Thickness]],SM_TBL[[#All],[MoC_PN]])</f>
        <v>101871</v>
      </c>
      <c r="C164" s="1679" t="s">
        <v>1207</v>
      </c>
      <c r="D164" s="1679"/>
      <c r="E164" s="1679"/>
      <c r="F164" s="147" t="s">
        <v>1005</v>
      </c>
      <c r="G164" s="135">
        <v>7.51E-2</v>
      </c>
      <c r="H164" s="135">
        <v>9</v>
      </c>
      <c r="I164" s="112" t="str">
        <f>IF('TAIL-HEAD SECTIONS'!T1=18,58.5625-12,IF('TAIL-HEAD SECTIONS'!T1=24,58.5625,IF('TAIL-HEAD SECTIONS'!T1=30,58.5625+12,IF('TAIL-HEAD SECTIONS'!T1=36,58.5625+24,IF('TAIL-HEAD SECTIONS'!T1=48,58.5625+48,"N/A")))))</f>
        <v>N/A</v>
      </c>
      <c r="J164" s="135">
        <v>0.28899999999999998</v>
      </c>
      <c r="K164" s="138" t="e">
        <f>G164*H164*I164</f>
        <v>#VALUE!</v>
      </c>
      <c r="L164" s="1113" t="s">
        <v>92</v>
      </c>
      <c r="M164" s="138" t="e">
        <f t="shared" si="45"/>
        <v>#VALUE!</v>
      </c>
      <c r="N164" s="138" t="e">
        <f t="shared" si="46"/>
        <v>#VALUE!</v>
      </c>
      <c r="O164" s="139" t="e">
        <f t="shared" si="49"/>
        <v>#VALUE!</v>
      </c>
      <c r="P164" s="1114" cm="1">
        <f t="array" ref="P164">_xlfn.XLOOKUP(B164,MET_PRICE[[#All],[Part Number]],MET_PRICE[[#All],[Price ($/lb) Domestic]])</f>
        <v>2.89</v>
      </c>
      <c r="Q164" s="1114" t="e">
        <f t="shared" si="47"/>
        <v>#VALUE!</v>
      </c>
      <c r="R164" s="1114" t="e">
        <f t="shared" si="48"/>
        <v>#VALUE!</v>
      </c>
    </row>
    <row r="165" spans="1:18">
      <c r="A165" s="250">
        <v>1</v>
      </c>
      <c r="B165" s="250">
        <v>133691</v>
      </c>
      <c r="C165" s="1738" t="s">
        <v>1208</v>
      </c>
      <c r="D165" s="1738"/>
      <c r="E165" s="1738"/>
      <c r="F165" s="251" t="s">
        <v>914</v>
      </c>
      <c r="G165" s="250">
        <v>0.375</v>
      </c>
      <c r="H165" s="250">
        <v>8.5</v>
      </c>
      <c r="I165" s="112" t="str">
        <f>IF('TAIL-HEAD SECTIONS'!T1=18,58.625-12,IF('TAIL-HEAD SECTIONS'!T1=24,58.625,IF('TAIL-HEAD SECTIONS'!T1=30,58.625+12,IF('TAIL-HEAD SECTIONS'!T1=36,58.625+24,IF('TAIL-HEAD SECTIONS'!T1=48,58.625+48,"N/A")))))</f>
        <v>N/A</v>
      </c>
      <c r="J165" s="250" t="s">
        <v>1011</v>
      </c>
      <c r="K165" s="252" t="e">
        <f>I165/12</f>
        <v>#VALUE!</v>
      </c>
      <c r="L165" s="1169" t="s">
        <v>28</v>
      </c>
      <c r="M165" s="252" t="e">
        <f t="shared" si="45"/>
        <v>#VALUE!</v>
      </c>
      <c r="N165" s="252" t="e">
        <f t="shared" si="46"/>
        <v>#VALUE!</v>
      </c>
      <c r="O165" s="253">
        <v>8.5</v>
      </c>
      <c r="P165" s="1170" cm="1">
        <f t="array" ref="P165">_xlfn.XLOOKUP(B165,RAW_100[[#All],[PartNum]],RAW_100[[#All],[UnitCost]])</f>
        <v>10.16</v>
      </c>
      <c r="Q165" s="1170" t="e">
        <f t="shared" si="47"/>
        <v>#VALUE!</v>
      </c>
      <c r="R165" s="1170" t="e">
        <f t="shared" si="48"/>
        <v>#VALUE!</v>
      </c>
    </row>
    <row r="166" spans="1:18">
      <c r="A166" s="135">
        <v>1</v>
      </c>
      <c r="B166" s="135">
        <v>131862</v>
      </c>
      <c r="C166" s="1679" t="s">
        <v>1209</v>
      </c>
      <c r="D166" s="1679"/>
      <c r="E166" s="1679"/>
      <c r="F166" s="147" t="s">
        <v>914</v>
      </c>
      <c r="G166" s="135">
        <v>0.375</v>
      </c>
      <c r="H166" s="135">
        <v>8.375</v>
      </c>
      <c r="I166" s="112" t="str">
        <f>IF('TAIL-HEAD SECTIONS'!T1=18,59-12,IF('TAIL-HEAD SECTIONS'!T1=24,59,IF('TAIL-HEAD SECTIONS'!T1=30,59+12,IF('TAIL-HEAD SECTIONS'!T1=36,59+24,IF('TAIL-HEAD SECTIONS'!T1=48,59+48,"N/A")))))</f>
        <v>N/A</v>
      </c>
      <c r="J166" s="135" t="s">
        <v>1011</v>
      </c>
      <c r="K166" s="138" t="e">
        <f>(H166*I166)/144</f>
        <v>#VALUE!</v>
      </c>
      <c r="L166" s="1113" t="s">
        <v>1210</v>
      </c>
      <c r="M166" s="138" t="e">
        <f t="shared" si="45"/>
        <v>#VALUE!</v>
      </c>
      <c r="N166" s="138" t="e">
        <f t="shared" si="46"/>
        <v>#VALUE!</v>
      </c>
      <c r="O166" s="139">
        <v>9.67</v>
      </c>
      <c r="P166" s="1114" cm="1">
        <f t="array" ref="P166">_xlfn.XLOOKUP(B166,RAW_100[[#All],[PartNum]],RAW_100[[#All],[UnitCost]])</f>
        <v>6.9522000000000004</v>
      </c>
      <c r="Q166" s="1114" t="e">
        <f t="shared" si="47"/>
        <v>#VALUE!</v>
      </c>
      <c r="R166" s="1114" t="e">
        <f t="shared" si="48"/>
        <v>#VALUE!</v>
      </c>
    </row>
    <row r="167" spans="1:18">
      <c r="A167" s="250">
        <v>1</v>
      </c>
      <c r="B167" s="250" cm="1">
        <f t="array" ref="B167">_xlfn.XLOOKUP(G167,SM_TBL[[#All],[Thickness]],SM_TBL[[#All],[MoC_PN]])</f>
        <v>101869</v>
      </c>
      <c r="C167" s="1738" t="s">
        <v>1211</v>
      </c>
      <c r="D167" s="1738"/>
      <c r="E167" s="1738"/>
      <c r="F167" s="251" t="s">
        <v>1005</v>
      </c>
      <c r="G167" s="250">
        <v>0.12</v>
      </c>
      <c r="H167" s="250">
        <v>16.0625</v>
      </c>
      <c r="I167" s="112" t="str">
        <f>IF('TAIL-HEAD SECTIONS'!T1=18,71.25-12,IF('TAIL-HEAD SECTIONS'!T1=24,71.25,IF('TAIL-HEAD SECTIONS'!T1=30,71.25+12,IF('TAIL-HEAD SECTIONS'!T1=36,71.25+24,IF('TAIL-HEAD SECTIONS'!T1=48,71.25+48,"N/A")))))</f>
        <v>N/A</v>
      </c>
      <c r="J167" s="250">
        <v>0.28899999999999998</v>
      </c>
      <c r="K167" s="252" t="e">
        <f>G167*H167*I167</f>
        <v>#VALUE!</v>
      </c>
      <c r="L167" s="1169" t="s">
        <v>92</v>
      </c>
      <c r="M167" s="252" t="e">
        <f t="shared" si="45"/>
        <v>#VALUE!</v>
      </c>
      <c r="N167" s="252" t="e">
        <f t="shared" si="46"/>
        <v>#VALUE!</v>
      </c>
      <c r="O167" s="253" t="e">
        <f t="shared" ref="O167:O168" si="50">M167</f>
        <v>#VALUE!</v>
      </c>
      <c r="P167" s="1170" cm="1">
        <f t="array" ref="P167">_xlfn.XLOOKUP(B167,MET_PRICE[[#All],[Part Number]],MET_PRICE[[#All],[Price ($/lb) Domestic]])</f>
        <v>2.89</v>
      </c>
      <c r="Q167" s="1170" t="e">
        <f t="shared" si="47"/>
        <v>#VALUE!</v>
      </c>
      <c r="R167" s="1170" t="e">
        <f t="shared" si="48"/>
        <v>#VALUE!</v>
      </c>
    </row>
    <row r="168" spans="1:18">
      <c r="A168" s="135">
        <v>2</v>
      </c>
      <c r="B168" s="135" cm="1">
        <f t="array" ref="B168">_xlfn.XLOOKUP(G168,SM_TBL[[#All],[Thickness]],SM_TBL[[#All],[MoC_PN]])</f>
        <v>101961</v>
      </c>
      <c r="C168" s="1679" t="s">
        <v>1212</v>
      </c>
      <c r="D168" s="1679"/>
      <c r="E168" s="1679"/>
      <c r="F168" s="147" t="s">
        <v>1005</v>
      </c>
      <c r="G168" s="135">
        <v>0.375</v>
      </c>
      <c r="H168" s="135">
        <v>6.8125</v>
      </c>
      <c r="I168" s="112" t="str">
        <f>IF('TAIL-HEAD SECTIONS'!T1=18,33.9375-12,IF('TAIL-HEAD SECTIONS'!T1=24,33.9375,IF('TAIL-HEAD SECTIONS'!T1=30,33.9375+12,IF('TAIL-HEAD SECTIONS'!T1=36,33.9375+24,IF('TAIL-HEAD SECTIONS'!T1=48,33.9375+48,"N/A")))))</f>
        <v>N/A</v>
      </c>
      <c r="J168" s="135">
        <v>0.28899999999999998</v>
      </c>
      <c r="K168" s="138" t="e">
        <f>G168*H168*I168</f>
        <v>#VALUE!</v>
      </c>
      <c r="L168" s="1113" t="s">
        <v>92</v>
      </c>
      <c r="M168" s="138" t="e">
        <f t="shared" si="45"/>
        <v>#VALUE!</v>
      </c>
      <c r="N168" s="138" t="e">
        <f t="shared" si="46"/>
        <v>#VALUE!</v>
      </c>
      <c r="O168" s="139" t="e">
        <f t="shared" si="50"/>
        <v>#VALUE!</v>
      </c>
      <c r="P168" s="1114" cm="1">
        <f t="array" ref="P168">_xlfn.XLOOKUP(B168,MET_PRICE[[#All],[Part Number]],MET_PRICE[[#All],[Price ($/lb) Domestic]])</f>
        <v>2.7</v>
      </c>
      <c r="Q168" s="1114" t="e">
        <f t="shared" si="47"/>
        <v>#VALUE!</v>
      </c>
      <c r="R168" s="1114" t="e">
        <f t="shared" si="48"/>
        <v>#VALUE!</v>
      </c>
    </row>
    <row r="169" spans="1:18">
      <c r="A169" s="250">
        <v>1</v>
      </c>
      <c r="B169" s="1171" t="s">
        <v>822</v>
      </c>
      <c r="C169" s="1738" t="s">
        <v>1213</v>
      </c>
      <c r="D169" s="1738"/>
      <c r="E169" s="1738"/>
      <c r="F169" s="251" t="s">
        <v>911</v>
      </c>
      <c r="G169" s="250">
        <v>1.25</v>
      </c>
      <c r="H169" s="250" t="s">
        <v>1011</v>
      </c>
      <c r="I169" s="250">
        <v>35.75</v>
      </c>
      <c r="J169" s="250" t="s">
        <v>1011</v>
      </c>
      <c r="K169" s="252">
        <f>I169/12</f>
        <v>2.9791666666666665</v>
      </c>
      <c r="L169" s="252">
        <f t="shared" ref="L169" si="51">K169*A169</f>
        <v>2.9791666666666665</v>
      </c>
      <c r="M169" s="252">
        <f t="shared" si="45"/>
        <v>2.9791666666666665</v>
      </c>
      <c r="N169" s="252">
        <f t="shared" si="46"/>
        <v>0</v>
      </c>
      <c r="O169" s="253">
        <f>17.75*A169</f>
        <v>17.75</v>
      </c>
      <c r="P169" s="1170" cm="1">
        <f t="array" ref="P169">_xlfn.XLOOKUP(B169,PP_COST[[#All],[PART NUMBER]],PP_COST[[#All],[UNIT COST]])</f>
        <v>260</v>
      </c>
      <c r="Q169" s="1170">
        <f t="shared" si="47"/>
        <v>774.58333333333326</v>
      </c>
      <c r="R169" s="1170">
        <f t="shared" si="48"/>
        <v>0</v>
      </c>
    </row>
    <row r="170" spans="1:18">
      <c r="A170" s="135">
        <v>1</v>
      </c>
      <c r="B170" s="135" cm="1">
        <f t="array" ref="B170">_xlfn.XLOOKUP(G170,SM_TBL[[#All],[Thickness]],SM_TBL[[#All],[MoC_PN]])</f>
        <v>101869</v>
      </c>
      <c r="C170" s="1679" t="s">
        <v>1214</v>
      </c>
      <c r="D170" s="1679"/>
      <c r="E170" s="1679"/>
      <c r="F170" s="147" t="s">
        <v>1005</v>
      </c>
      <c r="G170" s="135">
        <v>0.12</v>
      </c>
      <c r="H170" s="135">
        <v>9.3125</v>
      </c>
      <c r="I170" s="135">
        <v>17.25</v>
      </c>
      <c r="J170" s="135">
        <v>0.28899999999999998</v>
      </c>
      <c r="K170" s="138">
        <f>G170*H170*I170</f>
        <v>19.276875</v>
      </c>
      <c r="L170" s="1113" t="s">
        <v>92</v>
      </c>
      <c r="M170" s="138">
        <f t="shared" si="45"/>
        <v>19.276875</v>
      </c>
      <c r="N170" s="138">
        <f t="shared" si="46"/>
        <v>0</v>
      </c>
      <c r="O170" s="139">
        <f>M170</f>
        <v>19.276875</v>
      </c>
      <c r="P170" s="1114" cm="1">
        <f t="array" ref="P170">_xlfn.XLOOKUP(B170,MET_PRICE[[#All],[Part Number]],MET_PRICE[[#All],[Price ($/lb) Domestic]])</f>
        <v>2.89</v>
      </c>
      <c r="Q170" s="1114">
        <f t="shared" si="47"/>
        <v>55.710168750000001</v>
      </c>
      <c r="R170" s="1114">
        <f t="shared" si="48"/>
        <v>0</v>
      </c>
    </row>
    <row r="171" spans="1:18">
      <c r="A171" s="250">
        <v>8</v>
      </c>
      <c r="B171" s="250">
        <v>131858</v>
      </c>
      <c r="C171" s="1738" t="s">
        <v>1215</v>
      </c>
      <c r="D171" s="1738"/>
      <c r="E171" s="1738"/>
      <c r="F171" s="251" t="s">
        <v>914</v>
      </c>
      <c r="G171" s="250">
        <v>1</v>
      </c>
      <c r="H171" s="250">
        <v>2.5</v>
      </c>
      <c r="I171" s="250">
        <v>3.75</v>
      </c>
      <c r="J171" s="250" t="s">
        <v>1011</v>
      </c>
      <c r="K171" s="252">
        <f>(H171*I171)/144</f>
        <v>6.5104166666666671E-2</v>
      </c>
      <c r="L171" s="252" t="s">
        <v>1210</v>
      </c>
      <c r="M171" s="252">
        <f t="shared" si="45"/>
        <v>0.52083333333333337</v>
      </c>
      <c r="N171" s="252">
        <f t="shared" si="46"/>
        <v>0</v>
      </c>
      <c r="O171" s="253">
        <f>0.5*A171</f>
        <v>4</v>
      </c>
      <c r="P171" s="1170" cm="1">
        <f t="array" ref="P171">_xlfn.XLOOKUP(B171,RAW_100[[#All],[PartNum]],RAW_100[[#All],[UnitCost]])</f>
        <v>16.7347</v>
      </c>
      <c r="Q171" s="1170">
        <f t="shared" si="47"/>
        <v>8.7159895833333341</v>
      </c>
      <c r="R171" s="1170">
        <f t="shared" si="48"/>
        <v>0</v>
      </c>
    </row>
    <row r="172" spans="1:18">
      <c r="A172" s="135">
        <v>1</v>
      </c>
      <c r="B172" s="135">
        <v>135799</v>
      </c>
      <c r="C172" s="1679" t="s">
        <v>1216</v>
      </c>
      <c r="D172" s="1679"/>
      <c r="E172" s="1679"/>
      <c r="F172" s="147" t="s">
        <v>914</v>
      </c>
      <c r="G172" s="135">
        <v>1.25</v>
      </c>
      <c r="H172" s="135" t="s">
        <v>1011</v>
      </c>
      <c r="I172" s="135">
        <v>19</v>
      </c>
      <c r="J172" s="135" t="s">
        <v>1011</v>
      </c>
      <c r="K172" s="138">
        <f>I172/12</f>
        <v>1.5833333333333333</v>
      </c>
      <c r="L172" s="1113" t="s">
        <v>28</v>
      </c>
      <c r="M172" s="138">
        <f t="shared" si="45"/>
        <v>1.5833333333333333</v>
      </c>
      <c r="N172" s="138">
        <f t="shared" si="46"/>
        <v>0</v>
      </c>
      <c r="O172" s="139">
        <v>0.6</v>
      </c>
      <c r="P172" s="1100">
        <v>4</v>
      </c>
      <c r="Q172" s="1114">
        <f t="shared" si="47"/>
        <v>6.333333333333333</v>
      </c>
      <c r="R172" s="1114">
        <f t="shared" si="48"/>
        <v>0</v>
      </c>
    </row>
    <row r="173" spans="1:18">
      <c r="A173" s="250">
        <v>1</v>
      </c>
      <c r="B173" s="1172">
        <v>501338</v>
      </c>
      <c r="C173" s="1744" t="s">
        <v>1217</v>
      </c>
      <c r="D173" s="1744"/>
      <c r="E173" s="1744"/>
      <c r="F173" s="250" t="s">
        <v>911</v>
      </c>
      <c r="G173" s="250"/>
      <c r="H173" s="250"/>
      <c r="I173" s="250"/>
      <c r="J173" s="250"/>
      <c r="K173" s="250">
        <v>1</v>
      </c>
      <c r="L173" s="250" t="s">
        <v>1014</v>
      </c>
      <c r="M173" s="250">
        <f t="shared" si="45"/>
        <v>1</v>
      </c>
      <c r="N173" s="250">
        <f t="shared" si="46"/>
        <v>0</v>
      </c>
      <c r="O173" s="253"/>
      <c r="P173" s="1170" cm="1">
        <f t="array" ref="P173">_xlfn.XLOOKUP(B173,PP_COST[[#All],[PART NUMBER]],PP_COST[[#All],[UNIT COST]])</f>
        <v>0.65</v>
      </c>
      <c r="Q173" s="1170">
        <f t="shared" si="47"/>
        <v>0.65</v>
      </c>
      <c r="R173" s="1170">
        <f t="shared" si="48"/>
        <v>0</v>
      </c>
    </row>
    <row r="174" spans="1:18">
      <c r="A174" s="135">
        <v>1</v>
      </c>
      <c r="B174" s="1173">
        <v>501337</v>
      </c>
      <c r="C174" s="1682" t="s">
        <v>1218</v>
      </c>
      <c r="D174" s="1682"/>
      <c r="E174" s="1682"/>
      <c r="F174" s="135" t="s">
        <v>911</v>
      </c>
      <c r="G174" s="135"/>
      <c r="H174" s="135"/>
      <c r="I174" s="135"/>
      <c r="J174" s="135"/>
      <c r="K174" s="135">
        <v>1</v>
      </c>
      <c r="L174" s="135" t="s">
        <v>1014</v>
      </c>
      <c r="M174" s="135">
        <f t="shared" si="45"/>
        <v>1</v>
      </c>
      <c r="N174" s="135">
        <f t="shared" si="46"/>
        <v>0</v>
      </c>
      <c r="O174" s="139"/>
      <c r="P174" s="1114" cm="1">
        <f t="array" ref="P174">_xlfn.XLOOKUP(B174,PP_COST[[#All],[PART NUMBER]],PP_COST[[#All],[UNIT COST]])</f>
        <v>0.7</v>
      </c>
      <c r="Q174" s="1114">
        <f t="shared" si="47"/>
        <v>0.7</v>
      </c>
      <c r="R174" s="1114">
        <f t="shared" si="48"/>
        <v>0</v>
      </c>
    </row>
    <row r="175" spans="1:18">
      <c r="A175" s="250">
        <v>1</v>
      </c>
      <c r="B175" s="1172">
        <v>502363</v>
      </c>
      <c r="C175" s="1744" t="s">
        <v>1219</v>
      </c>
      <c r="D175" s="1744"/>
      <c r="E175" s="1744"/>
      <c r="F175" s="250" t="s">
        <v>911</v>
      </c>
      <c r="G175" s="250"/>
      <c r="H175" s="250"/>
      <c r="I175" s="250"/>
      <c r="J175" s="250"/>
      <c r="K175" s="250">
        <v>1</v>
      </c>
      <c r="L175" s="250" t="s">
        <v>1014</v>
      </c>
      <c r="M175" s="250">
        <f t="shared" si="45"/>
        <v>1</v>
      </c>
      <c r="N175" s="250">
        <f t="shared" si="46"/>
        <v>0</v>
      </c>
      <c r="O175" s="253"/>
      <c r="P175" s="1170" cm="1">
        <f t="array" ref="P175">_xlfn.XLOOKUP(B175,PP_COST[[#All],[PART NUMBER]],PP_COST[[#All],[UNIT COST]])</f>
        <v>181.33</v>
      </c>
      <c r="Q175" s="1170">
        <f t="shared" si="47"/>
        <v>181.33</v>
      </c>
      <c r="R175" s="1170">
        <f t="shared" si="48"/>
        <v>0</v>
      </c>
    </row>
    <row r="176" spans="1:18">
      <c r="A176" s="135">
        <v>1</v>
      </c>
      <c r="B176" s="1173">
        <v>502364</v>
      </c>
      <c r="C176" s="1682" t="s">
        <v>1220</v>
      </c>
      <c r="D176" s="1682"/>
      <c r="E176" s="1682"/>
      <c r="F176" s="135" t="s">
        <v>911</v>
      </c>
      <c r="G176" s="135"/>
      <c r="H176" s="135"/>
      <c r="I176" s="135"/>
      <c r="J176" s="135"/>
      <c r="K176" s="135">
        <v>1</v>
      </c>
      <c r="L176" s="135" t="s">
        <v>1014</v>
      </c>
      <c r="M176" s="135">
        <f t="shared" si="45"/>
        <v>1</v>
      </c>
      <c r="N176" s="135">
        <f t="shared" si="46"/>
        <v>0</v>
      </c>
      <c r="O176" s="139"/>
      <c r="P176" s="1114" cm="1">
        <f t="array" ref="P176">_xlfn.XLOOKUP(B176,PP_COST[[#All],[PART NUMBER]],PP_COST[[#All],[UNIT COST]])</f>
        <v>69.81</v>
      </c>
      <c r="Q176" s="1114">
        <f t="shared" si="47"/>
        <v>69.81</v>
      </c>
      <c r="R176" s="1114">
        <f t="shared" si="48"/>
        <v>0</v>
      </c>
    </row>
    <row r="177" spans="1:23">
      <c r="A177" s="250">
        <v>1</v>
      </c>
      <c r="B177" s="1171" t="s">
        <v>1221</v>
      </c>
      <c r="C177" s="1748" t="s">
        <v>1222</v>
      </c>
      <c r="D177" s="1744"/>
      <c r="E177" s="1744"/>
      <c r="F177" s="250" t="s">
        <v>911</v>
      </c>
      <c r="G177" s="250"/>
      <c r="H177" s="250"/>
      <c r="I177" s="250"/>
      <c r="J177" s="250"/>
      <c r="K177" s="250">
        <v>1</v>
      </c>
      <c r="L177" s="250" t="s">
        <v>1014</v>
      </c>
      <c r="M177" s="250">
        <f t="shared" si="45"/>
        <v>1</v>
      </c>
      <c r="N177" s="250">
        <f t="shared" si="46"/>
        <v>0</v>
      </c>
      <c r="O177" s="253">
        <v>70</v>
      </c>
      <c r="P177" s="1170">
        <v>0</v>
      </c>
      <c r="Q177" s="1170">
        <f t="shared" si="47"/>
        <v>0</v>
      </c>
      <c r="R177" s="1170">
        <f t="shared" si="48"/>
        <v>0</v>
      </c>
    </row>
    <row r="178" spans="1:23">
      <c r="A178" s="135">
        <v>16</v>
      </c>
      <c r="B178" s="1112" t="s">
        <v>854</v>
      </c>
      <c r="C178" s="1681" t="s">
        <v>1223</v>
      </c>
      <c r="D178" s="1682"/>
      <c r="E178" s="1682"/>
      <c r="F178" s="135" t="s">
        <v>911</v>
      </c>
      <c r="G178" s="135"/>
      <c r="H178" s="135"/>
      <c r="I178" s="135"/>
      <c r="J178" s="135"/>
      <c r="K178" s="135">
        <v>1</v>
      </c>
      <c r="L178" s="135" t="s">
        <v>1014</v>
      </c>
      <c r="M178" s="135">
        <f t="shared" si="45"/>
        <v>16</v>
      </c>
      <c r="N178" s="135">
        <f t="shared" si="46"/>
        <v>0</v>
      </c>
      <c r="O178" s="135"/>
      <c r="P178" s="1114" cm="1">
        <f t="array" ref="P178">_xlfn.XLOOKUP(B178,HW_COST[[#All],[PART NUMBER]],HW_COST[[#All],[UNIT COST]])</f>
        <v>1.665</v>
      </c>
      <c r="Q178" s="1114">
        <f t="shared" si="47"/>
        <v>26.64</v>
      </c>
      <c r="R178" s="1114">
        <f t="shared" si="48"/>
        <v>0</v>
      </c>
    </row>
    <row r="179" spans="1:23">
      <c r="A179" s="250">
        <v>4</v>
      </c>
      <c r="B179" s="1174" t="s">
        <v>840</v>
      </c>
      <c r="C179" s="1748" t="s">
        <v>1224</v>
      </c>
      <c r="D179" s="1744"/>
      <c r="E179" s="1744"/>
      <c r="F179" s="250" t="s">
        <v>911</v>
      </c>
      <c r="G179" s="250"/>
      <c r="H179" s="250"/>
      <c r="I179" s="250"/>
      <c r="J179" s="250"/>
      <c r="K179" s="250">
        <v>1</v>
      </c>
      <c r="L179" s="250" t="s">
        <v>1014</v>
      </c>
      <c r="M179" s="250">
        <f t="shared" si="45"/>
        <v>4</v>
      </c>
      <c r="N179" s="250">
        <f t="shared" si="46"/>
        <v>0</v>
      </c>
      <c r="O179" s="253"/>
      <c r="P179" s="1170" cm="1">
        <f t="array" ref="P179">_xlfn.XLOOKUP(B179,HW_COST[[#All],[PART NUMBER]],HW_COST[[#All],[UNIT COST]])</f>
        <v>0.76580000000000004</v>
      </c>
      <c r="Q179" s="1170">
        <f t="shared" si="47"/>
        <v>3.0632000000000001</v>
      </c>
      <c r="R179" s="1170">
        <f t="shared" si="48"/>
        <v>0</v>
      </c>
    </row>
    <row r="180" spans="1:23">
      <c r="A180" s="135">
        <v>8</v>
      </c>
      <c r="B180" s="1112" t="s">
        <v>846</v>
      </c>
      <c r="C180" s="1681" t="s">
        <v>1225</v>
      </c>
      <c r="D180" s="1682"/>
      <c r="E180" s="1682"/>
      <c r="F180" s="135" t="s">
        <v>911</v>
      </c>
      <c r="G180" s="135"/>
      <c r="H180" s="135"/>
      <c r="I180" s="135"/>
      <c r="J180" s="135"/>
      <c r="K180" s="135">
        <v>1</v>
      </c>
      <c r="L180" s="135" t="s">
        <v>1014</v>
      </c>
      <c r="M180" s="135">
        <f t="shared" si="45"/>
        <v>8</v>
      </c>
      <c r="N180" s="135">
        <f t="shared" si="46"/>
        <v>0</v>
      </c>
      <c r="O180" s="148"/>
      <c r="P180" s="1114" cm="1">
        <f t="array" ref="P180">_xlfn.XLOOKUP(B180,HW_COST[[#All],[PART NUMBER]],HW_COST[[#All],[UNIT COST]])</f>
        <v>1.06</v>
      </c>
      <c r="Q180" s="1114">
        <f t="shared" si="47"/>
        <v>8.48</v>
      </c>
      <c r="R180" s="1114">
        <f t="shared" si="48"/>
        <v>0</v>
      </c>
    </row>
    <row r="181" spans="1:23">
      <c r="A181" s="250">
        <v>5</v>
      </c>
      <c r="B181" s="1174" t="s">
        <v>866</v>
      </c>
      <c r="C181" s="1748" t="s">
        <v>1226</v>
      </c>
      <c r="D181" s="1744"/>
      <c r="E181" s="1744"/>
      <c r="F181" s="250" t="s">
        <v>911</v>
      </c>
      <c r="G181" s="250"/>
      <c r="H181" s="250"/>
      <c r="I181" s="250"/>
      <c r="J181" s="250"/>
      <c r="K181" s="250">
        <v>1</v>
      </c>
      <c r="L181" s="250" t="s">
        <v>1014</v>
      </c>
      <c r="M181" s="250">
        <f t="shared" si="45"/>
        <v>5</v>
      </c>
      <c r="N181" s="250">
        <f t="shared" si="46"/>
        <v>0</v>
      </c>
      <c r="O181" s="253"/>
      <c r="P181" s="1170" cm="1">
        <f t="array" ref="P181">_xlfn.XLOOKUP(B181,HW_COST[[#All],[PART NUMBER]],HW_COST[[#All],[UNIT COST]])</f>
        <v>0</v>
      </c>
      <c r="Q181" s="1170">
        <f t="shared" si="47"/>
        <v>0</v>
      </c>
      <c r="R181" s="1170">
        <f t="shared" si="48"/>
        <v>0</v>
      </c>
    </row>
    <row r="182" spans="1:23">
      <c r="A182" s="135">
        <v>5</v>
      </c>
      <c r="B182" s="1112" t="s">
        <v>868</v>
      </c>
      <c r="C182" s="1681" t="s">
        <v>1227</v>
      </c>
      <c r="D182" s="1682"/>
      <c r="E182" s="1682"/>
      <c r="F182" s="135" t="s">
        <v>911</v>
      </c>
      <c r="G182" s="135"/>
      <c r="H182" s="135"/>
      <c r="I182" s="135"/>
      <c r="J182" s="135"/>
      <c r="K182" s="135">
        <v>1</v>
      </c>
      <c r="L182" s="1112" t="s">
        <v>1014</v>
      </c>
      <c r="M182" s="135">
        <f t="shared" si="45"/>
        <v>5</v>
      </c>
      <c r="N182" s="135">
        <f t="shared" si="46"/>
        <v>0</v>
      </c>
      <c r="O182" s="135"/>
      <c r="P182" s="1114" cm="1">
        <f t="array" ref="P182">_xlfn.XLOOKUP(B182,HW_COST[[#All],[PART NUMBER]],HW_COST[[#All],[UNIT COST]])</f>
        <v>0</v>
      </c>
      <c r="Q182" s="1114">
        <f t="shared" si="47"/>
        <v>0</v>
      </c>
      <c r="R182" s="1114">
        <f t="shared" si="48"/>
        <v>0</v>
      </c>
    </row>
    <row r="183" spans="1:23">
      <c r="A183" s="250"/>
      <c r="B183" s="250"/>
      <c r="C183" s="1750" t="s">
        <v>920</v>
      </c>
      <c r="D183" s="1750"/>
      <c r="E183" s="1750"/>
      <c r="F183" s="250"/>
      <c r="G183" s="250">
        <v>10</v>
      </c>
      <c r="H183" s="250" t="s">
        <v>1017</v>
      </c>
      <c r="I183" s="250"/>
      <c r="J183" s="250"/>
      <c r="K183" s="250"/>
      <c r="L183" s="250"/>
      <c r="M183" s="250"/>
      <c r="N183" s="250"/>
      <c r="O183" s="250"/>
      <c r="P183" s="250"/>
      <c r="Q183" s="250"/>
      <c r="R183" s="250"/>
    </row>
    <row r="184" spans="1:23">
      <c r="A184" s="254"/>
      <c r="B184" s="254"/>
      <c r="C184" s="254"/>
      <c r="D184" s="254"/>
      <c r="E184" s="255" t="s">
        <v>911</v>
      </c>
      <c r="F184" s="256">
        <f>SUMIF($F160:$F182,E184,$Q160:$Q182)</f>
        <v>1065.2565333333334</v>
      </c>
      <c r="G184" s="255" t="s">
        <v>1005</v>
      </c>
      <c r="H184" s="256" t="e">
        <f>SUMIF($F160:$F182,G184,$Q160:$Q182)</f>
        <v>#VALUE!</v>
      </c>
      <c r="I184" s="1745" t="s">
        <v>914</v>
      </c>
      <c r="J184" s="1745"/>
      <c r="K184" s="256">
        <f>SUMIF($F160:$F182,J184,$Q160:$Q182)</f>
        <v>0</v>
      </c>
      <c r="L184" s="254"/>
      <c r="M184" s="254"/>
      <c r="N184" s="255" t="s">
        <v>1018</v>
      </c>
      <c r="O184" s="139" t="e">
        <f>SUM(O160:O183)</f>
        <v>#VALUE!</v>
      </c>
      <c r="P184" s="257" t="s">
        <v>1019</v>
      </c>
      <c r="Q184" s="1175" t="e">
        <f>SUM(Q160:Q183)</f>
        <v>#VALUE!</v>
      </c>
      <c r="R184" s="1114" t="e">
        <f>SUM(R160:R183)</f>
        <v>#VALUE!</v>
      </c>
    </row>
    <row r="185" spans="1:23" ht="15.75" thickBot="1">
      <c r="G185" s="636"/>
    </row>
    <row r="186" spans="1:23" ht="15.75" thickBot="1">
      <c r="A186" s="393" t="s">
        <v>1228</v>
      </c>
      <c r="B186" s="394"/>
      <c r="C186" s="394"/>
      <c r="D186" s="394"/>
      <c r="E186" s="394"/>
      <c r="F186" s="394"/>
      <c r="G186" s="394"/>
      <c r="H186" s="394"/>
      <c r="I186" s="394"/>
      <c r="J186" s="394"/>
      <c r="K186" s="394"/>
      <c r="L186" s="394"/>
      <c r="M186" s="394"/>
      <c r="N186" s="394"/>
      <c r="O186" s="394"/>
      <c r="P186" s="394"/>
      <c r="Q186" s="394"/>
      <c r="R186" s="394"/>
      <c r="S186" s="97">
        <f>WASH_BOX</f>
        <v>0</v>
      </c>
      <c r="T186" s="153" t="e">
        <f>H227*S186</f>
        <v>#VALUE!</v>
      </c>
      <c r="U186" s="154">
        <f>G226*S186</f>
        <v>0</v>
      </c>
      <c r="V186" s="153">
        <f>F227*S186</f>
        <v>0</v>
      </c>
      <c r="W186" s="153">
        <f>K227*S186</f>
        <v>0</v>
      </c>
    </row>
    <row r="187" spans="1:23">
      <c r="A187" s="155">
        <v>1</v>
      </c>
      <c r="B187" s="155" cm="1">
        <f t="array" ref="B187">_xlfn.XLOOKUP(G187,SM_TBL[[#All],[Thickness]],SM_TBL[[#All],[MoC_PN]])</f>
        <v>101869</v>
      </c>
      <c r="C187" s="1746" t="s">
        <v>1229</v>
      </c>
      <c r="D187" s="1746"/>
      <c r="E187" s="1746"/>
      <c r="F187" s="258" t="s">
        <v>1005</v>
      </c>
      <c r="G187" s="259">
        <v>0.12</v>
      </c>
      <c r="H187" s="259">
        <v>51.25</v>
      </c>
      <c r="I187" s="259" t="str">
        <f>IF('TAIL-HEAD SECTIONS'!T1=18,38.629-6,IF('TAIL-HEAD SECTIONS'!T1=24,38.629,IF('TAIL-HEAD SECTIONS'!T1=30,38.629+6,IF('TAIL-HEAD SECTIONS'!T1=36,38.629+12,IF('TAIL-HEAD SECTIONS'!T1=48,38.629+24,"N/A")))))</f>
        <v>N/A</v>
      </c>
      <c r="J187" s="155">
        <v>0.28899999999999998</v>
      </c>
      <c r="K187" s="157" t="e">
        <f>G187*H187*I187*J187</f>
        <v>#VALUE!</v>
      </c>
      <c r="L187" s="1120" t="s">
        <v>92</v>
      </c>
      <c r="M187" s="157" t="e">
        <f>K187*A187</f>
        <v>#VALUE!</v>
      </c>
      <c r="N187" s="157" t="e">
        <f>$S$186*M187</f>
        <v>#VALUE!</v>
      </c>
      <c r="O187" s="158" t="e">
        <f>M187</f>
        <v>#VALUE!</v>
      </c>
      <c r="P187" s="1121" cm="1">
        <f t="array" ref="P187">_xlfn.XLOOKUP(B187,MET_PRICE[[#All],[Part Number]],MET_PRICE[[#All],[Price ($/lb) Domestic]])</f>
        <v>2.89</v>
      </c>
      <c r="Q187" s="1121" t="e">
        <f>M187*P187</f>
        <v>#VALUE!</v>
      </c>
      <c r="R187" s="1121" t="e">
        <f>N187*P187</f>
        <v>#VALUE!</v>
      </c>
    </row>
    <row r="188" spans="1:23">
      <c r="A188" s="260">
        <v>2</v>
      </c>
      <c r="B188" s="260" cm="1">
        <f t="array" ref="B188">_xlfn.XLOOKUP(G188,SM_TBL[[#All],[Thickness]],SM_TBL[[#All],[MoC_PN]])</f>
        <v>101963</v>
      </c>
      <c r="C188" s="1749" t="s">
        <v>1206</v>
      </c>
      <c r="D188" s="1749"/>
      <c r="E188" s="1749"/>
      <c r="F188" s="261" t="s">
        <v>1005</v>
      </c>
      <c r="G188" s="260">
        <v>0.25</v>
      </c>
      <c r="H188" s="260">
        <v>6.375</v>
      </c>
      <c r="I188" s="260">
        <v>8.3125</v>
      </c>
      <c r="J188" s="260">
        <v>0.28899999999999998</v>
      </c>
      <c r="K188" s="262">
        <f t="shared" ref="K188:K199" si="52">G188*H188*I188*J188</f>
        <v>3.8286855468749996</v>
      </c>
      <c r="L188" s="262" t="s">
        <v>92</v>
      </c>
      <c r="M188" s="262">
        <f t="shared" ref="M188:M225" si="53">K188*A188</f>
        <v>7.6573710937499992</v>
      </c>
      <c r="N188" s="262">
        <f t="shared" ref="N188:N225" si="54">$S$186*M188</f>
        <v>0</v>
      </c>
      <c r="O188" s="263">
        <f t="shared" ref="O188:O199" si="55">M188</f>
        <v>7.6573710937499992</v>
      </c>
      <c r="P188" s="1176" cm="1">
        <f t="array" ref="P188">_xlfn.XLOOKUP(B188,MET_PRICE[[#All],[Part Number]],MET_PRICE[[#All],[Price ($/lb) Domestic]])</f>
        <v>2.65</v>
      </c>
      <c r="Q188" s="1176">
        <f t="shared" ref="Q188:Q225" si="56">M188*P188</f>
        <v>20.292033398437496</v>
      </c>
      <c r="R188" s="1176">
        <f t="shared" ref="R188:R225" si="57">N188*P188</f>
        <v>0</v>
      </c>
    </row>
    <row r="189" spans="1:23">
      <c r="A189" s="155">
        <v>1</v>
      </c>
      <c r="B189" s="155" cm="1">
        <f t="array" ref="B189">_xlfn.XLOOKUP(G189,SM_TBL[[#All],[Thickness]],SM_TBL[[#All],[MoC_PN]])</f>
        <v>101869</v>
      </c>
      <c r="C189" s="1691" t="s">
        <v>1230</v>
      </c>
      <c r="D189" s="1691"/>
      <c r="E189" s="1691"/>
      <c r="F189" s="156" t="s">
        <v>1005</v>
      </c>
      <c r="G189" s="155">
        <v>0.12</v>
      </c>
      <c r="H189" s="155">
        <v>18.25</v>
      </c>
      <c r="I189" s="266" t="str">
        <f>IF('TAIL-HEAD SECTIONS'!T1=18,30.375-6,IF('TAIL-HEAD SECTIONS'!T1=24,30.375,IF('TAIL-HEAD SECTIONS'!T1=30,30.375+6,IF('TAIL-HEAD SECTIONS'!T1=36,30.375+12,IF('TAIL-HEAD SECTIONS'!T1=48,30.375+24,"N/A")))))</f>
        <v>N/A</v>
      </c>
      <c r="J189" s="155">
        <v>0.28899999999999998</v>
      </c>
      <c r="K189" s="157" t="e">
        <f t="shared" si="52"/>
        <v>#VALUE!</v>
      </c>
      <c r="L189" s="157" t="s">
        <v>92</v>
      </c>
      <c r="M189" s="157" t="e">
        <f t="shared" si="53"/>
        <v>#VALUE!</v>
      </c>
      <c r="N189" s="157" t="e">
        <f t="shared" si="54"/>
        <v>#VALUE!</v>
      </c>
      <c r="O189" s="158" t="e">
        <f t="shared" si="55"/>
        <v>#VALUE!</v>
      </c>
      <c r="P189" s="1121" cm="1">
        <f t="array" ref="P189">_xlfn.XLOOKUP(B189,MET_PRICE[[#All],[Part Number]],MET_PRICE[[#All],[Price ($/lb) Domestic]])</f>
        <v>2.89</v>
      </c>
      <c r="Q189" s="1121" t="e">
        <f t="shared" si="56"/>
        <v>#VALUE!</v>
      </c>
      <c r="R189" s="1121" t="e">
        <f t="shared" si="57"/>
        <v>#VALUE!</v>
      </c>
    </row>
    <row r="190" spans="1:23">
      <c r="A190" s="260">
        <v>1</v>
      </c>
      <c r="B190" s="260" cm="1">
        <f t="array" ref="B190">_xlfn.XLOOKUP(G190,SM_TBL[[#All],[Thickness]],SM_TBL[[#All],[MoC_PN]])</f>
        <v>101869</v>
      </c>
      <c r="C190" s="1749" t="s">
        <v>1231</v>
      </c>
      <c r="D190" s="1749"/>
      <c r="E190" s="1749"/>
      <c r="F190" s="261" t="s">
        <v>1005</v>
      </c>
      <c r="G190" s="260">
        <v>0.12</v>
      </c>
      <c r="H190" s="260">
        <v>14.15</v>
      </c>
      <c r="I190" s="266" t="str">
        <f>IF('TAIL-HEAD SECTIONS'!T1=18,30.375-6,IF('TAIL-HEAD SECTIONS'!T1=24,30.375,IF('TAIL-HEAD SECTIONS'!T1=30,30.375+6,IF('TAIL-HEAD SECTIONS'!T1=36,30.375+12,IF('TAIL-HEAD SECTIONS'!T1=48,30.375+24,"N/A")))))</f>
        <v>N/A</v>
      </c>
      <c r="J190" s="260">
        <v>0.28899999999999998</v>
      </c>
      <c r="K190" s="262" t="e">
        <f t="shared" si="52"/>
        <v>#VALUE!</v>
      </c>
      <c r="L190" s="262" t="s">
        <v>92</v>
      </c>
      <c r="M190" s="262" t="e">
        <f t="shared" si="53"/>
        <v>#VALUE!</v>
      </c>
      <c r="N190" s="262" t="e">
        <f t="shared" si="54"/>
        <v>#VALUE!</v>
      </c>
      <c r="O190" s="263" t="e">
        <f t="shared" si="55"/>
        <v>#VALUE!</v>
      </c>
      <c r="P190" s="1176" cm="1">
        <f t="array" ref="P190">_xlfn.XLOOKUP(B190,MET_PRICE[[#All],[Part Number]],MET_PRICE[[#All],[Price ($/lb) Domestic]])</f>
        <v>2.89</v>
      </c>
      <c r="Q190" s="1176" t="e">
        <f t="shared" si="56"/>
        <v>#VALUE!</v>
      </c>
      <c r="R190" s="1176" t="e">
        <f t="shared" si="57"/>
        <v>#VALUE!</v>
      </c>
    </row>
    <row r="191" spans="1:23">
      <c r="A191" s="155">
        <v>1</v>
      </c>
      <c r="B191" s="155" cm="1">
        <f t="array" ref="B191">_xlfn.XLOOKUP(G191,SM_TBL[[#All],[Thickness]],SM_TBL[[#All],[MoC_PN]])</f>
        <v>101869</v>
      </c>
      <c r="C191" s="1691" t="s">
        <v>1232</v>
      </c>
      <c r="D191" s="1691"/>
      <c r="E191" s="1691"/>
      <c r="F191" s="156" t="s">
        <v>1005</v>
      </c>
      <c r="G191" s="155">
        <v>0.12</v>
      </c>
      <c r="H191" s="266" t="str">
        <f>IF('TAIL-HEAD SECTIONS'!T1=18,30.75-6,IF('TAIL-HEAD SECTIONS'!T1=24,30.75,IF('TAIL-HEAD SECTIONS'!T1=30,30.75+6,IF('TAIL-HEAD SECTIONS'!T1=36,30.75+12,IF('TAIL-HEAD SECTIONS'!T1=48,30.75+24,"N/A")))))</f>
        <v>N/A</v>
      </c>
      <c r="I191" s="155">
        <v>45.17</v>
      </c>
      <c r="J191" s="155">
        <v>0.28899999999999998</v>
      </c>
      <c r="K191" s="157" t="e">
        <f t="shared" si="52"/>
        <v>#VALUE!</v>
      </c>
      <c r="L191" s="157" t="s">
        <v>92</v>
      </c>
      <c r="M191" s="157" t="e">
        <f t="shared" si="53"/>
        <v>#VALUE!</v>
      </c>
      <c r="N191" s="157" t="e">
        <f t="shared" si="54"/>
        <v>#VALUE!</v>
      </c>
      <c r="O191" s="158" t="e">
        <f t="shared" si="55"/>
        <v>#VALUE!</v>
      </c>
      <c r="P191" s="1121" cm="1">
        <f t="array" ref="P191">_xlfn.XLOOKUP(B191,MET_PRICE[[#All],[Part Number]],MET_PRICE[[#All],[Price ($/lb) Domestic]])</f>
        <v>2.89</v>
      </c>
      <c r="Q191" s="1121" t="e">
        <f t="shared" si="56"/>
        <v>#VALUE!</v>
      </c>
      <c r="R191" s="1121" t="e">
        <f t="shared" si="57"/>
        <v>#VALUE!</v>
      </c>
    </row>
    <row r="192" spans="1:23">
      <c r="A192" s="260">
        <v>1</v>
      </c>
      <c r="B192" s="260" cm="1">
        <f t="array" ref="B192">_xlfn.XLOOKUP(G192,SM_TBL[[#All],[Thickness]],SM_TBL[[#All],[MoC_PN]])</f>
        <v>101869</v>
      </c>
      <c r="C192" s="1749" t="s">
        <v>1233</v>
      </c>
      <c r="D192" s="1749"/>
      <c r="E192" s="1749"/>
      <c r="F192" s="261" t="s">
        <v>1005</v>
      </c>
      <c r="G192" s="260">
        <v>0.12</v>
      </c>
      <c r="H192" s="260">
        <v>20.21</v>
      </c>
      <c r="I192" s="260">
        <v>45</v>
      </c>
      <c r="J192" s="260">
        <v>0.28899999999999998</v>
      </c>
      <c r="K192" s="262">
        <f t="shared" si="52"/>
        <v>31.539725999999995</v>
      </c>
      <c r="L192" s="262" t="s">
        <v>92</v>
      </c>
      <c r="M192" s="262">
        <f t="shared" si="53"/>
        <v>31.539725999999995</v>
      </c>
      <c r="N192" s="262">
        <f t="shared" si="54"/>
        <v>0</v>
      </c>
      <c r="O192" s="263">
        <f t="shared" si="55"/>
        <v>31.539725999999995</v>
      </c>
      <c r="P192" s="1176" cm="1">
        <f t="array" ref="P192">_xlfn.XLOOKUP(B192,MET_PRICE[[#All],[Part Number]],MET_PRICE[[#All],[Price ($/lb) Domestic]])</f>
        <v>2.89</v>
      </c>
      <c r="Q192" s="1176">
        <f t="shared" si="56"/>
        <v>91.14980813999999</v>
      </c>
      <c r="R192" s="1176">
        <f t="shared" si="57"/>
        <v>0</v>
      </c>
    </row>
    <row r="193" spans="1:18">
      <c r="A193" s="155">
        <v>2</v>
      </c>
      <c r="B193" s="155" cm="1">
        <f t="array" ref="B193">_xlfn.XLOOKUP(G193,SM_TBL[[#All],[Thickness]],SM_TBL[[#All],[MoC_PN]])</f>
        <v>101869</v>
      </c>
      <c r="C193" s="1691" t="s">
        <v>1234</v>
      </c>
      <c r="D193" s="1691"/>
      <c r="E193" s="1691"/>
      <c r="F193" s="156" t="s">
        <v>1005</v>
      </c>
      <c r="G193" s="155">
        <v>0.12</v>
      </c>
      <c r="H193" s="155">
        <v>15.21</v>
      </c>
      <c r="I193" s="155">
        <v>45</v>
      </c>
      <c r="J193" s="155">
        <v>0.28899999999999998</v>
      </c>
      <c r="K193" s="157">
        <f t="shared" si="52"/>
        <v>23.736725999999997</v>
      </c>
      <c r="L193" s="157" t="s">
        <v>92</v>
      </c>
      <c r="M193" s="157">
        <f t="shared" si="53"/>
        <v>47.473451999999995</v>
      </c>
      <c r="N193" s="157">
        <f t="shared" si="54"/>
        <v>0</v>
      </c>
      <c r="O193" s="158">
        <f t="shared" si="55"/>
        <v>47.473451999999995</v>
      </c>
      <c r="P193" s="1121" cm="1">
        <f t="array" ref="P193">_xlfn.XLOOKUP(B193,MET_PRICE[[#All],[Part Number]],MET_PRICE[[#All],[Price ($/lb) Domestic]])</f>
        <v>2.89</v>
      </c>
      <c r="Q193" s="1121">
        <f t="shared" si="56"/>
        <v>137.19827627999999</v>
      </c>
      <c r="R193" s="1121">
        <f t="shared" si="57"/>
        <v>0</v>
      </c>
    </row>
    <row r="194" spans="1:18">
      <c r="A194" s="260">
        <v>1</v>
      </c>
      <c r="B194" s="260" cm="1">
        <f t="array" ref="B194">_xlfn.XLOOKUP(G194,SM_TBL[[#All],[Thickness]],SM_TBL[[#All],[MoC_PN]])</f>
        <v>101869</v>
      </c>
      <c r="C194" s="1749" t="s">
        <v>1235</v>
      </c>
      <c r="D194" s="1749"/>
      <c r="E194" s="1749"/>
      <c r="F194" s="261" t="s">
        <v>1005</v>
      </c>
      <c r="G194" s="260">
        <v>0.12</v>
      </c>
      <c r="H194" s="260">
        <v>7.875</v>
      </c>
      <c r="I194" s="260">
        <v>28.1</v>
      </c>
      <c r="J194" s="260">
        <v>0.28899999999999998</v>
      </c>
      <c r="K194" s="262">
        <f t="shared" si="52"/>
        <v>7.6742504999999994</v>
      </c>
      <c r="L194" s="262" t="s">
        <v>92</v>
      </c>
      <c r="M194" s="262">
        <f t="shared" si="53"/>
        <v>7.6742504999999994</v>
      </c>
      <c r="N194" s="262">
        <f t="shared" si="54"/>
        <v>0</v>
      </c>
      <c r="O194" s="263">
        <f t="shared" si="55"/>
        <v>7.6742504999999994</v>
      </c>
      <c r="P194" s="1176" cm="1">
        <f t="array" ref="P194">_xlfn.XLOOKUP(B194,MET_PRICE[[#All],[Part Number]],MET_PRICE[[#All],[Price ($/lb) Domestic]])</f>
        <v>2.89</v>
      </c>
      <c r="Q194" s="1176">
        <f t="shared" si="56"/>
        <v>22.178583945</v>
      </c>
      <c r="R194" s="1176">
        <f t="shared" si="57"/>
        <v>0</v>
      </c>
    </row>
    <row r="195" spans="1:18">
      <c r="A195" s="155">
        <v>1</v>
      </c>
      <c r="B195" s="155" cm="1">
        <f t="array" ref="B195">_xlfn.XLOOKUP(G195,SM_TBL[[#All],[Thickness]],SM_TBL[[#All],[MoC_PN]])</f>
        <v>101869</v>
      </c>
      <c r="C195" s="1691" t="s">
        <v>1236</v>
      </c>
      <c r="D195" s="1691"/>
      <c r="E195" s="1691"/>
      <c r="F195" s="156" t="s">
        <v>1005</v>
      </c>
      <c r="G195" s="155">
        <v>0.12</v>
      </c>
      <c r="H195" s="155">
        <v>7.875</v>
      </c>
      <c r="I195" s="155">
        <v>15.54</v>
      </c>
      <c r="J195" s="155">
        <v>0.28899999999999998</v>
      </c>
      <c r="K195" s="157">
        <f t="shared" si="52"/>
        <v>4.2440516999999991</v>
      </c>
      <c r="L195" s="157" t="s">
        <v>92</v>
      </c>
      <c r="M195" s="157">
        <f t="shared" si="53"/>
        <v>4.2440516999999991</v>
      </c>
      <c r="N195" s="157">
        <f t="shared" si="54"/>
        <v>0</v>
      </c>
      <c r="O195" s="158">
        <f t="shared" si="55"/>
        <v>4.2440516999999991</v>
      </c>
      <c r="P195" s="1121" cm="1">
        <f t="array" ref="P195">_xlfn.XLOOKUP(B195,MET_PRICE[[#All],[Part Number]],MET_PRICE[[#All],[Price ($/lb) Domestic]])</f>
        <v>2.89</v>
      </c>
      <c r="Q195" s="1121">
        <f t="shared" si="56"/>
        <v>12.265309412999997</v>
      </c>
      <c r="R195" s="1121">
        <f t="shared" si="57"/>
        <v>0</v>
      </c>
    </row>
    <row r="196" spans="1:18">
      <c r="A196" s="260">
        <v>1</v>
      </c>
      <c r="B196" s="260" cm="1">
        <f t="array" ref="B196">_xlfn.XLOOKUP(G196,SM_TBL[[#All],[Thickness]],SM_TBL[[#All],[MoC_PN]])</f>
        <v>101869</v>
      </c>
      <c r="C196" s="1749" t="s">
        <v>1237</v>
      </c>
      <c r="D196" s="1749"/>
      <c r="E196" s="1749"/>
      <c r="F196" s="261" t="s">
        <v>1005</v>
      </c>
      <c r="G196" s="260">
        <v>0.12</v>
      </c>
      <c r="H196" s="260">
        <v>5</v>
      </c>
      <c r="I196" s="266" t="str">
        <f>IF('TAIL-HEAD SECTIONS'!T1=18,34-6,IF('TAIL-HEAD SECTIONS'!T1=24,34,IF('TAIL-HEAD SECTIONS'!T1=30,34+6,IF('TAIL-HEAD SECTIONS'!T1=36,34+12,IF('TAIL-HEAD SECTIONS'!T1=48,34+24,"N/A")))))</f>
        <v>N/A</v>
      </c>
      <c r="J196" s="260">
        <v>0.28899999999999998</v>
      </c>
      <c r="K196" s="262" t="e">
        <f t="shared" si="52"/>
        <v>#VALUE!</v>
      </c>
      <c r="L196" s="262" t="s">
        <v>92</v>
      </c>
      <c r="M196" s="262" t="e">
        <f t="shared" si="53"/>
        <v>#VALUE!</v>
      </c>
      <c r="N196" s="262" t="e">
        <f t="shared" si="54"/>
        <v>#VALUE!</v>
      </c>
      <c r="O196" s="263" t="e">
        <f t="shared" si="55"/>
        <v>#VALUE!</v>
      </c>
      <c r="P196" s="1176" cm="1">
        <f t="array" ref="P196">_xlfn.XLOOKUP(B196,MET_PRICE[[#All],[Part Number]],MET_PRICE[[#All],[Price ($/lb) Domestic]])</f>
        <v>2.89</v>
      </c>
      <c r="Q196" s="1176" t="e">
        <f t="shared" si="56"/>
        <v>#VALUE!</v>
      </c>
      <c r="R196" s="1176" t="e">
        <f t="shared" si="57"/>
        <v>#VALUE!</v>
      </c>
    </row>
    <row r="197" spans="1:18">
      <c r="A197" s="155">
        <v>1</v>
      </c>
      <c r="B197" s="155" cm="1">
        <f t="array" ref="B197">_xlfn.XLOOKUP(G197,SM_TBL[[#All],[Thickness]],SM_TBL[[#All],[MoC_PN]])</f>
        <v>101869</v>
      </c>
      <c r="C197" s="1691" t="s">
        <v>1238</v>
      </c>
      <c r="D197" s="1691"/>
      <c r="E197" s="1691"/>
      <c r="F197" s="156" t="s">
        <v>1005</v>
      </c>
      <c r="G197" s="155">
        <v>0.12</v>
      </c>
      <c r="H197" s="155">
        <v>9</v>
      </c>
      <c r="I197" s="266" t="str">
        <f>IF('TAIL-HEAD SECTIONS'!T1=18,27.5-6,IF('TAIL-HEAD SECTIONS'!T1=24,27.5,IF('TAIL-HEAD SECTIONS'!T1=30,27.5+6,IF('TAIL-HEAD SECTIONS'!T1=36,27.5+12,IF('TAIL-HEAD SECTIONS'!T1=48,27.5+24,"N/A")))))</f>
        <v>N/A</v>
      </c>
      <c r="J197" s="155">
        <v>0.28899999999999998</v>
      </c>
      <c r="K197" s="157" t="e">
        <f t="shared" si="52"/>
        <v>#VALUE!</v>
      </c>
      <c r="L197" s="157" t="s">
        <v>92</v>
      </c>
      <c r="M197" s="157" t="e">
        <f t="shared" si="53"/>
        <v>#VALUE!</v>
      </c>
      <c r="N197" s="157" t="e">
        <f t="shared" si="54"/>
        <v>#VALUE!</v>
      </c>
      <c r="O197" s="158" t="e">
        <f t="shared" si="55"/>
        <v>#VALUE!</v>
      </c>
      <c r="P197" s="1121" cm="1">
        <f t="array" ref="P197">_xlfn.XLOOKUP(B197,MET_PRICE[[#All],[Part Number]],MET_PRICE[[#All],[Price ($/lb) Domestic]])</f>
        <v>2.89</v>
      </c>
      <c r="Q197" s="1121" t="e">
        <f t="shared" si="56"/>
        <v>#VALUE!</v>
      </c>
      <c r="R197" s="1121" t="e">
        <f t="shared" si="57"/>
        <v>#VALUE!</v>
      </c>
    </row>
    <row r="198" spans="1:18">
      <c r="A198" s="260">
        <v>2</v>
      </c>
      <c r="B198" s="260" cm="1">
        <f t="array" ref="B198">_xlfn.XLOOKUP(G198,SM_TBL[[#All],[Thickness]],SM_TBL[[#All],[MoC_PN]])</f>
        <v>101869</v>
      </c>
      <c r="C198" s="1747" t="s">
        <v>1239</v>
      </c>
      <c r="D198" s="1747"/>
      <c r="E198" s="1747"/>
      <c r="F198" s="260" t="s">
        <v>1005</v>
      </c>
      <c r="G198" s="260">
        <v>0.12</v>
      </c>
      <c r="H198" s="260">
        <v>2.5</v>
      </c>
      <c r="I198" s="266" t="str">
        <f>IF('TAIL-HEAD SECTIONS'!T1=18,27.5-6,IF('TAIL-HEAD SECTIONS'!T1=24,27.5,IF('TAIL-HEAD SECTIONS'!T1=30,27.5+6,IF('TAIL-HEAD SECTIONS'!T1=36,27.5+12,IF('TAIL-HEAD SECTIONS'!T1=48,27.5+24,"N/A")))))</f>
        <v>N/A</v>
      </c>
      <c r="J198" s="260">
        <v>0.28899999999999998</v>
      </c>
      <c r="K198" s="262" t="e">
        <f t="shared" si="52"/>
        <v>#VALUE!</v>
      </c>
      <c r="L198" s="262" t="s">
        <v>92</v>
      </c>
      <c r="M198" s="262" t="e">
        <f t="shared" si="53"/>
        <v>#VALUE!</v>
      </c>
      <c r="N198" s="262" t="e">
        <f t="shared" si="54"/>
        <v>#VALUE!</v>
      </c>
      <c r="O198" s="263" t="e">
        <f t="shared" si="55"/>
        <v>#VALUE!</v>
      </c>
      <c r="P198" s="1176" cm="1">
        <f t="array" ref="P198">_xlfn.XLOOKUP(B198,MET_PRICE[[#All],[Part Number]],MET_PRICE[[#All],[Price ($/lb) Domestic]])</f>
        <v>2.89</v>
      </c>
      <c r="Q198" s="1176" t="e">
        <f t="shared" si="56"/>
        <v>#VALUE!</v>
      </c>
      <c r="R198" s="1176" t="e">
        <f t="shared" si="57"/>
        <v>#VALUE!</v>
      </c>
    </row>
    <row r="199" spans="1:18">
      <c r="A199" s="155">
        <v>2</v>
      </c>
      <c r="B199" s="155" cm="1">
        <f t="array" ref="B199">_xlfn.XLOOKUP(G199,SM_TBL[[#All],[Thickness]],SM_TBL[[#All],[MoC_PN]])</f>
        <v>101963</v>
      </c>
      <c r="C199" s="1687" t="s">
        <v>1240</v>
      </c>
      <c r="D199" s="1687"/>
      <c r="E199" s="1687"/>
      <c r="F199" s="155" t="s">
        <v>1005</v>
      </c>
      <c r="G199" s="155">
        <v>0.25</v>
      </c>
      <c r="H199" s="155">
        <v>5.5</v>
      </c>
      <c r="I199" s="155">
        <v>8.125</v>
      </c>
      <c r="J199" s="155">
        <v>0.28899999999999998</v>
      </c>
      <c r="K199" s="157">
        <f t="shared" si="52"/>
        <v>3.2286718749999999</v>
      </c>
      <c r="L199" s="157" t="s">
        <v>92</v>
      </c>
      <c r="M199" s="157">
        <f t="shared" si="53"/>
        <v>6.4573437499999997</v>
      </c>
      <c r="N199" s="157">
        <f t="shared" si="54"/>
        <v>0</v>
      </c>
      <c r="O199" s="158">
        <f t="shared" si="55"/>
        <v>6.4573437499999997</v>
      </c>
      <c r="P199" s="1121" cm="1">
        <f t="array" ref="P199">_xlfn.XLOOKUP(B199,MET_PRICE[[#All],[Part Number]],MET_PRICE[[#All],[Price ($/lb) Domestic]])</f>
        <v>2.65</v>
      </c>
      <c r="Q199" s="1121">
        <f t="shared" si="56"/>
        <v>17.111960937499997</v>
      </c>
      <c r="R199" s="1121">
        <f t="shared" si="57"/>
        <v>0</v>
      </c>
    </row>
    <row r="200" spans="1:18">
      <c r="A200" s="260">
        <v>1</v>
      </c>
      <c r="B200" s="917">
        <v>103761</v>
      </c>
      <c r="C200" s="1747" t="s">
        <v>1241</v>
      </c>
      <c r="D200" s="1747"/>
      <c r="E200" s="1747"/>
      <c r="F200" s="260" t="s">
        <v>1005</v>
      </c>
      <c r="G200" s="260">
        <v>1.25</v>
      </c>
      <c r="H200" s="260">
        <v>1.25</v>
      </c>
      <c r="I200" s="266" t="str">
        <f>IF('TAIL-HEAD SECTIONS'!T1=18,30.375-6,IF('TAIL-HEAD SECTIONS'!T1=24,30.375,IF('TAIL-HEAD SECTIONS'!T1=30,30.375+6,IF('TAIL-HEAD SECTIONS'!T1=36,30.375+12,IF('TAIL-HEAD SECTIONS'!T1=48,30.375+24,"N/A")))))</f>
        <v>N/A</v>
      </c>
      <c r="J200" s="260" t="s">
        <v>1011</v>
      </c>
      <c r="K200" s="267" t="e">
        <f>I200/12</f>
        <v>#VALUE!</v>
      </c>
      <c r="L200" s="267" t="e">
        <f>K200*A200</f>
        <v>#VALUE!</v>
      </c>
      <c r="M200" s="267" t="e">
        <f t="shared" si="53"/>
        <v>#VALUE!</v>
      </c>
      <c r="N200" s="267" t="e">
        <f t="shared" si="54"/>
        <v>#VALUE!</v>
      </c>
      <c r="O200" s="263">
        <v>17</v>
      </c>
      <c r="P200" s="1100">
        <v>32</v>
      </c>
      <c r="Q200" s="1176" t="e">
        <f t="shared" si="56"/>
        <v>#VALUE!</v>
      </c>
      <c r="R200" s="1176" t="e">
        <f t="shared" si="57"/>
        <v>#VALUE!</v>
      </c>
    </row>
    <row r="201" spans="1:18">
      <c r="A201" s="155">
        <v>3</v>
      </c>
      <c r="B201" s="155">
        <f>'MATERIAL COST'!F76</f>
        <v>105771</v>
      </c>
      <c r="C201" s="1687" t="s">
        <v>1242</v>
      </c>
      <c r="D201" s="1687"/>
      <c r="E201" s="1687"/>
      <c r="F201" s="156" t="s">
        <v>1005</v>
      </c>
      <c r="G201" s="155">
        <v>1</v>
      </c>
      <c r="H201" s="155" t="s">
        <v>1011</v>
      </c>
      <c r="I201" s="155" t="str">
        <f>IF('TAIL-HEAD SECTIONS'!T1=18,34-6,IF('TAIL-HEAD SECTIONS'!T1=24,34,IF('TAIL-HEAD SECTIONS'!T1=30,34+6,IF('TAIL-HEAD SECTIONS'!T1=36,34+12,IF('TAIL-HEAD SECTIONS'!T1=48,34+24,"N/A")))))</f>
        <v>N/A</v>
      </c>
      <c r="J201" s="155" t="s">
        <v>1011</v>
      </c>
      <c r="K201" s="157" t="e">
        <f>I201/12</f>
        <v>#VALUE!</v>
      </c>
      <c r="L201" s="1120" t="s">
        <v>28</v>
      </c>
      <c r="M201" s="157" t="e">
        <f t="shared" si="53"/>
        <v>#VALUE!</v>
      </c>
      <c r="N201" s="157" t="e">
        <f t="shared" si="54"/>
        <v>#VALUE!</v>
      </c>
      <c r="O201" s="158">
        <v>15</v>
      </c>
      <c r="P201" s="1121" cm="1">
        <f t="array" ref="P201">_xlfn.XLOOKUP(B201,RAW_100[[#All],[PartNum]],RAW_100[[#All],[UnitCost]])</f>
        <v>9</v>
      </c>
      <c r="Q201" s="1121" t="e">
        <f t="shared" si="56"/>
        <v>#VALUE!</v>
      </c>
      <c r="R201" s="1121" t="e">
        <f t="shared" si="57"/>
        <v>#VALUE!</v>
      </c>
    </row>
    <row r="202" spans="1:18">
      <c r="A202" s="260">
        <v>2</v>
      </c>
      <c r="B202" s="260" cm="1">
        <f t="array" ref="B202">_xlfn.XLOOKUP(G202,SM_TBL[[#All],[Thickness]],SM_TBL[[#All],[MoC_PN]])</f>
        <v>101869</v>
      </c>
      <c r="C202" s="1747" t="s">
        <v>1243</v>
      </c>
      <c r="D202" s="1747"/>
      <c r="E202" s="1747"/>
      <c r="F202" s="260" t="s">
        <v>1005</v>
      </c>
      <c r="G202" s="260">
        <v>0.12</v>
      </c>
      <c r="H202" s="260">
        <v>5</v>
      </c>
      <c r="I202" s="260">
        <v>9</v>
      </c>
      <c r="J202" s="260">
        <v>0.28899999999999998</v>
      </c>
      <c r="K202" s="262">
        <f>G202*H202*I202*J202</f>
        <v>1.5605999999999998</v>
      </c>
      <c r="L202" s="262" t="s">
        <v>92</v>
      </c>
      <c r="M202" s="262">
        <f t="shared" si="53"/>
        <v>3.1211999999999995</v>
      </c>
      <c r="N202" s="262">
        <f t="shared" si="54"/>
        <v>0</v>
      </c>
      <c r="O202" s="263">
        <f>M202</f>
        <v>3.1211999999999995</v>
      </c>
      <c r="P202" s="1176" cm="1">
        <f t="array" ref="P202">_xlfn.XLOOKUP(B202,MET_PRICE[[#All],[Part Number]],MET_PRICE[[#All],[Price ($/lb) Domestic]])</f>
        <v>2.89</v>
      </c>
      <c r="Q202" s="1176">
        <f t="shared" si="56"/>
        <v>9.0202679999999997</v>
      </c>
      <c r="R202" s="1176">
        <f t="shared" si="57"/>
        <v>0</v>
      </c>
    </row>
    <row r="203" spans="1:18">
      <c r="A203" s="155">
        <v>1</v>
      </c>
      <c r="B203" s="155">
        <v>131861</v>
      </c>
      <c r="C203" s="1687" t="s">
        <v>1244</v>
      </c>
      <c r="D203" s="1687"/>
      <c r="E203" s="1687"/>
      <c r="F203" s="156" t="s">
        <v>914</v>
      </c>
      <c r="G203" s="155">
        <v>0.5</v>
      </c>
      <c r="H203" s="155" t="str">
        <f>IF('TAIL-HEAD SECTIONS'!T1=18,28-6,IF('TAIL-HEAD SECTIONS'!T1=24,28,IF('TAIL-HEAD SECTIONS'!T1=30,28+6,IF('TAIL-HEAD SECTIONS'!T1=36,28+12,IF('TAIL-HEAD SECTIONS'!T1=48,28+24,"N/A")))))</f>
        <v>N/A</v>
      </c>
      <c r="I203" s="155">
        <v>46</v>
      </c>
      <c r="J203" s="155" t="s">
        <v>1011</v>
      </c>
      <c r="K203" s="157" t="e">
        <f>H203*I203/144</f>
        <v>#VALUE!</v>
      </c>
      <c r="L203" s="1120" t="s">
        <v>1210</v>
      </c>
      <c r="M203" s="157" t="e">
        <f t="shared" si="53"/>
        <v>#VALUE!</v>
      </c>
      <c r="N203" s="157" t="e">
        <f t="shared" si="54"/>
        <v>#VALUE!</v>
      </c>
      <c r="O203" s="158">
        <v>34</v>
      </c>
      <c r="P203" s="1121" cm="1">
        <f t="array" ref="P203">_xlfn.XLOOKUP(B203,RAW_100[[#All],[PartNum]],RAW_100[[#All],[UnitCost]])</f>
        <v>8.5350000000000001</v>
      </c>
      <c r="Q203" s="1121" t="e">
        <f t="shared" si="56"/>
        <v>#VALUE!</v>
      </c>
      <c r="R203" s="1121" t="e">
        <f t="shared" si="57"/>
        <v>#VALUE!</v>
      </c>
    </row>
    <row r="204" spans="1:18">
      <c r="A204" s="260">
        <v>2</v>
      </c>
      <c r="B204" s="260">
        <v>131861</v>
      </c>
      <c r="C204" s="1747" t="s">
        <v>1245</v>
      </c>
      <c r="D204" s="1747"/>
      <c r="E204" s="1747"/>
      <c r="F204" s="260" t="s">
        <v>914</v>
      </c>
      <c r="G204" s="260">
        <v>0.5</v>
      </c>
      <c r="H204" s="260">
        <v>1.375</v>
      </c>
      <c r="I204" s="260">
        <v>46</v>
      </c>
      <c r="J204" s="260" t="s">
        <v>1011</v>
      </c>
      <c r="K204" s="262">
        <f>H204*I204/144</f>
        <v>0.4392361111111111</v>
      </c>
      <c r="L204" s="1177" t="s">
        <v>1210</v>
      </c>
      <c r="M204" s="262">
        <f t="shared" si="53"/>
        <v>0.87847222222222221</v>
      </c>
      <c r="N204" s="262">
        <f t="shared" si="54"/>
        <v>0</v>
      </c>
      <c r="O204" s="263">
        <v>4</v>
      </c>
      <c r="P204" s="1176" cm="1">
        <f t="array" ref="P204">_xlfn.XLOOKUP(B204,RAW_100[[#All],[PartNum]],RAW_100[[#All],[UnitCost]])</f>
        <v>8.5350000000000001</v>
      </c>
      <c r="Q204" s="1176">
        <f t="shared" si="56"/>
        <v>7.4977604166666669</v>
      </c>
      <c r="R204" s="1176">
        <f t="shared" si="57"/>
        <v>0</v>
      </c>
    </row>
    <row r="205" spans="1:18">
      <c r="A205" s="155">
        <v>2</v>
      </c>
      <c r="B205" s="155">
        <v>131861</v>
      </c>
      <c r="C205" s="1687" t="s">
        <v>1246</v>
      </c>
      <c r="D205" s="1687"/>
      <c r="E205" s="1687"/>
      <c r="F205" s="155" t="s">
        <v>914</v>
      </c>
      <c r="G205" s="155">
        <v>0.5</v>
      </c>
      <c r="H205" s="155">
        <v>5.5</v>
      </c>
      <c r="I205" s="266" t="str">
        <f>IF('TAIL-HEAD SECTIONS'!T1=18,27.875-6,IF('TAIL-HEAD SECTIONS'!T1=24,27.875,IF('TAIL-HEAD SECTIONS'!T1=30,27.875+6,IF('TAIL-HEAD SECTIONS'!T1=36,27.875+12,IF('TAIL-HEAD SECTIONS'!T1=48,27.875+24,"N/A")))))</f>
        <v>N/A</v>
      </c>
      <c r="J205" s="155" t="s">
        <v>1011</v>
      </c>
      <c r="K205" s="157" t="e">
        <f>H205*I205/144</f>
        <v>#VALUE!</v>
      </c>
      <c r="L205" s="157" t="s">
        <v>1210</v>
      </c>
      <c r="M205" s="157" t="e">
        <f t="shared" si="53"/>
        <v>#VALUE!</v>
      </c>
      <c r="N205" s="157" t="e">
        <f t="shared" si="54"/>
        <v>#VALUE!</v>
      </c>
      <c r="O205" s="158">
        <v>8</v>
      </c>
      <c r="P205" s="1121" cm="1">
        <f t="array" ref="P205">_xlfn.XLOOKUP(B205,RAW_100[[#All],[PartNum]],RAW_100[[#All],[UnitCost]])</f>
        <v>8.5350000000000001</v>
      </c>
      <c r="Q205" s="1121" t="e">
        <f t="shared" si="56"/>
        <v>#VALUE!</v>
      </c>
      <c r="R205" s="1121" t="e">
        <f t="shared" si="57"/>
        <v>#VALUE!</v>
      </c>
    </row>
    <row r="206" spans="1:18">
      <c r="A206" s="260">
        <v>2</v>
      </c>
      <c r="B206" s="260">
        <v>131905</v>
      </c>
      <c r="C206" s="1747" t="s">
        <v>1247</v>
      </c>
      <c r="D206" s="1747"/>
      <c r="E206" s="1747"/>
      <c r="F206" s="260" t="s">
        <v>914</v>
      </c>
      <c r="G206" s="260">
        <v>0.5</v>
      </c>
      <c r="H206" s="260">
        <v>6</v>
      </c>
      <c r="I206" s="266" t="str">
        <f>IF('TAIL-HEAD SECTIONS'!T1=18,28-6,IF('TAIL-HEAD SECTIONS'!T1=24,28,IF('TAIL-HEAD SECTIONS'!T1=30,28+6,IF('TAIL-HEAD SECTIONS'!T1=36,28+12,IF('TAIL-HEAD SECTIONS'!T1=48,28+24,"N/A")))))</f>
        <v>N/A</v>
      </c>
      <c r="J206" s="260" t="s">
        <v>1011</v>
      </c>
      <c r="K206" s="262" t="e">
        <f>H206*I206/144</f>
        <v>#VALUE!</v>
      </c>
      <c r="L206" s="262" t="s">
        <v>1210</v>
      </c>
      <c r="M206" s="262" t="e">
        <f t="shared" si="53"/>
        <v>#VALUE!</v>
      </c>
      <c r="N206" s="262" t="e">
        <f t="shared" si="54"/>
        <v>#VALUE!</v>
      </c>
      <c r="O206" s="263">
        <v>8</v>
      </c>
      <c r="P206" s="1176" cm="1">
        <f t="array" ref="P206">_xlfn.XLOOKUP(B206,RAW_100[[#All],[PartNum]],RAW_100[[#All],[UnitCost]])</f>
        <v>13.92</v>
      </c>
      <c r="Q206" s="1176" t="e">
        <f t="shared" si="56"/>
        <v>#VALUE!</v>
      </c>
      <c r="R206" s="1176" t="e">
        <f t="shared" si="57"/>
        <v>#VALUE!</v>
      </c>
    </row>
    <row r="207" spans="1:18">
      <c r="A207" s="155">
        <v>2</v>
      </c>
      <c r="B207" s="155">
        <v>131864</v>
      </c>
      <c r="C207" s="1687" t="s">
        <v>1248</v>
      </c>
      <c r="D207" s="1687"/>
      <c r="E207" s="1687"/>
      <c r="F207" s="155" t="s">
        <v>914</v>
      </c>
      <c r="G207" s="155">
        <v>0.25</v>
      </c>
      <c r="H207" s="155">
        <v>1.75</v>
      </c>
      <c r="I207" s="155">
        <v>2.125</v>
      </c>
      <c r="J207" s="155" t="s">
        <v>1011</v>
      </c>
      <c r="K207" s="157">
        <f>H207*I207/144</f>
        <v>2.5824652777777776E-2</v>
      </c>
      <c r="L207" s="157" t="s">
        <v>1210</v>
      </c>
      <c r="M207" s="157">
        <f t="shared" si="53"/>
        <v>5.1649305555555552E-2</v>
      </c>
      <c r="N207" s="157">
        <f t="shared" si="54"/>
        <v>0</v>
      </c>
      <c r="O207" s="158">
        <v>0.5</v>
      </c>
      <c r="P207" s="1121" cm="1">
        <f t="array" ref="P207">_xlfn.XLOOKUP(B207,RAW_100[[#All],[PartNum]],RAW_100[[#All],[UnitCost]])</f>
        <v>4</v>
      </c>
      <c r="Q207" s="1121">
        <f t="shared" si="56"/>
        <v>0.20659722222222221</v>
      </c>
      <c r="R207" s="1121">
        <f t="shared" si="57"/>
        <v>0</v>
      </c>
    </row>
    <row r="208" spans="1:18">
      <c r="A208" s="260">
        <v>1</v>
      </c>
      <c r="B208" s="633">
        <v>133659</v>
      </c>
      <c r="C208" s="1747" t="s">
        <v>1249</v>
      </c>
      <c r="D208" s="1747"/>
      <c r="E208" s="1747"/>
      <c r="F208" s="260" t="s">
        <v>914</v>
      </c>
      <c r="G208" s="260">
        <v>0.125</v>
      </c>
      <c r="H208" s="260">
        <v>7.875</v>
      </c>
      <c r="I208" s="260">
        <v>28.1</v>
      </c>
      <c r="J208" s="260" t="s">
        <v>1011</v>
      </c>
      <c r="K208" s="262">
        <f>I208/12</f>
        <v>2.3416666666666668</v>
      </c>
      <c r="L208" s="262" t="s">
        <v>28</v>
      </c>
      <c r="M208" s="262">
        <f t="shared" si="53"/>
        <v>2.3416666666666668</v>
      </c>
      <c r="N208" s="262">
        <f t="shared" si="54"/>
        <v>0</v>
      </c>
      <c r="O208" s="263"/>
      <c r="P208" s="1100">
        <v>4</v>
      </c>
      <c r="Q208" s="1176">
        <f t="shared" si="56"/>
        <v>9.3666666666666671</v>
      </c>
      <c r="R208" s="1176">
        <f t="shared" si="57"/>
        <v>0</v>
      </c>
    </row>
    <row r="209" spans="1:19">
      <c r="A209" s="155">
        <v>1</v>
      </c>
      <c r="B209" s="1157">
        <v>133659</v>
      </c>
      <c r="C209" s="1687" t="s">
        <v>1249</v>
      </c>
      <c r="D209" s="1687"/>
      <c r="E209" s="1687"/>
      <c r="F209" s="155" t="s">
        <v>914</v>
      </c>
      <c r="G209" s="155">
        <v>0.125</v>
      </c>
      <c r="H209" s="155">
        <v>7.875</v>
      </c>
      <c r="I209" s="155">
        <v>15.54</v>
      </c>
      <c r="J209" s="1124" t="s">
        <v>1011</v>
      </c>
      <c r="K209" s="155">
        <f>I209/12</f>
        <v>1.2949999999999999</v>
      </c>
      <c r="L209" s="1124" t="s">
        <v>28</v>
      </c>
      <c r="M209" s="155">
        <f t="shared" si="53"/>
        <v>1.2949999999999999</v>
      </c>
      <c r="N209" s="155">
        <f t="shared" si="54"/>
        <v>0</v>
      </c>
      <c r="O209" s="158"/>
      <c r="P209" s="1100">
        <v>4</v>
      </c>
      <c r="Q209" s="1121">
        <f t="shared" si="56"/>
        <v>5.18</v>
      </c>
      <c r="R209" s="1121">
        <f t="shared" si="57"/>
        <v>0</v>
      </c>
    </row>
    <row r="210" spans="1:19">
      <c r="A210" s="260">
        <v>1</v>
      </c>
      <c r="B210" s="1178">
        <v>502212</v>
      </c>
      <c r="C210" s="1747" t="s">
        <v>1250</v>
      </c>
      <c r="D210" s="1747"/>
      <c r="E210" s="1747"/>
      <c r="F210" s="260" t="s">
        <v>911</v>
      </c>
      <c r="G210" s="260"/>
      <c r="H210" s="260"/>
      <c r="I210" s="260"/>
      <c r="J210" s="260"/>
      <c r="K210" s="260">
        <v>1</v>
      </c>
      <c r="L210" s="260" t="s">
        <v>1014</v>
      </c>
      <c r="M210" s="260">
        <f t="shared" si="53"/>
        <v>1</v>
      </c>
      <c r="N210" s="260">
        <f t="shared" si="54"/>
        <v>0</v>
      </c>
      <c r="O210" s="263"/>
      <c r="P210" s="1176" cm="1">
        <f t="array" ref="P210">_xlfn.XLOOKUP(B210,PP_COST[[#All],[PART NUMBER]],PP_COST[[#All],[UNIT COST]])</f>
        <v>1288</v>
      </c>
      <c r="Q210" s="1176">
        <f t="shared" si="56"/>
        <v>1288</v>
      </c>
      <c r="R210" s="1176">
        <f t="shared" si="57"/>
        <v>0</v>
      </c>
    </row>
    <row r="211" spans="1:19">
      <c r="A211" s="155">
        <v>3</v>
      </c>
      <c r="B211" s="1157">
        <v>501526</v>
      </c>
      <c r="C211" s="1687" t="s">
        <v>1251</v>
      </c>
      <c r="D211" s="1687"/>
      <c r="E211" s="1687"/>
      <c r="F211" s="155" t="s">
        <v>911</v>
      </c>
      <c r="G211" s="1124"/>
      <c r="H211" s="155"/>
      <c r="I211" s="155"/>
      <c r="J211" s="155"/>
      <c r="K211" s="155">
        <v>1</v>
      </c>
      <c r="L211" s="155" t="s">
        <v>1014</v>
      </c>
      <c r="M211" s="155">
        <f t="shared" si="53"/>
        <v>3</v>
      </c>
      <c r="N211" s="155">
        <f t="shared" si="54"/>
        <v>0</v>
      </c>
      <c r="O211" s="158"/>
      <c r="P211" s="1121" cm="1">
        <f t="array" ref="P211">_xlfn.XLOOKUP(B211,PP_COST[[#All],[PART NUMBER]],PP_COST[[#All],[UNIT COST]])</f>
        <v>28.63</v>
      </c>
      <c r="Q211" s="1121">
        <f t="shared" si="56"/>
        <v>85.89</v>
      </c>
      <c r="R211" s="1121">
        <f t="shared" si="57"/>
        <v>0</v>
      </c>
    </row>
    <row r="212" spans="1:19">
      <c r="A212" s="260">
        <v>3</v>
      </c>
      <c r="B212" s="1178">
        <v>501543</v>
      </c>
      <c r="C212" s="1747" t="s">
        <v>1252</v>
      </c>
      <c r="D212" s="1747"/>
      <c r="E212" s="1747"/>
      <c r="F212" s="260" t="s">
        <v>911</v>
      </c>
      <c r="G212" s="260">
        <v>0.15</v>
      </c>
      <c r="H212" s="260"/>
      <c r="I212" s="260"/>
      <c r="J212" s="260"/>
      <c r="K212" s="260">
        <v>1</v>
      </c>
      <c r="L212" s="262" t="s">
        <v>1014</v>
      </c>
      <c r="M212" s="262">
        <f t="shared" si="53"/>
        <v>3</v>
      </c>
      <c r="N212" s="262">
        <f t="shared" si="54"/>
        <v>0</v>
      </c>
      <c r="O212" s="263"/>
      <c r="P212" s="1176" cm="1">
        <f t="array" ref="P212">_xlfn.XLOOKUP(B212,PP_COST[[#All],[PART NUMBER]],PP_COST[[#All],[UNIT COST]])</f>
        <v>15.67</v>
      </c>
      <c r="Q212" s="1176">
        <f t="shared" si="56"/>
        <v>47.01</v>
      </c>
      <c r="R212" s="1176">
        <f t="shared" si="57"/>
        <v>0</v>
      </c>
      <c r="S212" s="1093"/>
    </row>
    <row r="213" spans="1:19">
      <c r="A213" s="155">
        <v>3</v>
      </c>
      <c r="B213" s="1157">
        <v>501564</v>
      </c>
      <c r="C213" s="1687" t="s">
        <v>800</v>
      </c>
      <c r="D213" s="1687"/>
      <c r="E213" s="1687"/>
      <c r="F213" s="156" t="s">
        <v>911</v>
      </c>
      <c r="G213" s="155"/>
      <c r="H213" s="155"/>
      <c r="I213" s="155"/>
      <c r="J213" s="155"/>
      <c r="K213" s="155">
        <v>1</v>
      </c>
      <c r="L213" s="157" t="s">
        <v>1014</v>
      </c>
      <c r="M213" s="157">
        <f t="shared" si="53"/>
        <v>3</v>
      </c>
      <c r="N213" s="157">
        <f t="shared" si="54"/>
        <v>0</v>
      </c>
      <c r="O213" s="158"/>
      <c r="P213" s="1121" cm="1">
        <f t="array" ref="P213">_xlfn.XLOOKUP(B213,PP_COST[[#All],[PART NUMBER]],PP_COST[[#All],[UNIT COST]])</f>
        <v>4.4400000000000004</v>
      </c>
      <c r="Q213" s="1121">
        <f t="shared" si="56"/>
        <v>13.32</v>
      </c>
      <c r="R213" s="1121">
        <f t="shared" si="57"/>
        <v>0</v>
      </c>
      <c r="S213" s="1093"/>
    </row>
    <row r="214" spans="1:19">
      <c r="A214" s="260">
        <v>3</v>
      </c>
      <c r="B214" s="1178">
        <v>501540</v>
      </c>
      <c r="C214" s="1747" t="s">
        <v>798</v>
      </c>
      <c r="D214" s="1747"/>
      <c r="E214" s="1747"/>
      <c r="F214" s="260" t="s">
        <v>911</v>
      </c>
      <c r="G214" s="260">
        <v>1</v>
      </c>
      <c r="H214" s="260"/>
      <c r="I214" s="260"/>
      <c r="J214" s="260"/>
      <c r="K214" s="260">
        <v>1</v>
      </c>
      <c r="L214" s="262" t="s">
        <v>1014</v>
      </c>
      <c r="M214" s="262">
        <f t="shared" si="53"/>
        <v>3</v>
      </c>
      <c r="N214" s="262">
        <f t="shared" si="54"/>
        <v>0</v>
      </c>
      <c r="O214" s="263"/>
      <c r="P214" s="1176" cm="1">
        <f t="array" ref="P214">_xlfn.XLOOKUP(B214,PP_COST[[#All],[PART NUMBER]],PP_COST[[#All],[UNIT COST]])</f>
        <v>3.4615999999999998</v>
      </c>
      <c r="Q214" s="1176">
        <f t="shared" si="56"/>
        <v>10.384799999999998</v>
      </c>
      <c r="R214" s="1176">
        <f t="shared" si="57"/>
        <v>0</v>
      </c>
      <c r="S214" s="1093"/>
    </row>
    <row r="215" spans="1:19">
      <c r="A215" s="155">
        <v>6</v>
      </c>
      <c r="B215" s="1157">
        <v>501583</v>
      </c>
      <c r="C215" s="1687" t="s">
        <v>1253</v>
      </c>
      <c r="D215" s="1687"/>
      <c r="E215" s="1687"/>
      <c r="F215" s="155" t="s">
        <v>911</v>
      </c>
      <c r="G215" s="155" t="s">
        <v>1254</v>
      </c>
      <c r="H215" s="155"/>
      <c r="I215" s="155"/>
      <c r="J215" s="155"/>
      <c r="K215" s="155">
        <v>1</v>
      </c>
      <c r="L215" s="157" t="s">
        <v>1014</v>
      </c>
      <c r="M215" s="157">
        <f t="shared" si="53"/>
        <v>6</v>
      </c>
      <c r="N215" s="157">
        <f t="shared" si="54"/>
        <v>0</v>
      </c>
      <c r="O215" s="158"/>
      <c r="P215" s="1121" cm="1">
        <f t="array" ref="P215">_xlfn.XLOOKUP(B215,PP_COST[[#All],[PART NUMBER]],PP_COST[[#All],[UNIT COST]])</f>
        <v>4.63</v>
      </c>
      <c r="Q215" s="1121">
        <f t="shared" si="56"/>
        <v>27.78</v>
      </c>
      <c r="R215" s="1121">
        <f t="shared" si="57"/>
        <v>0</v>
      </c>
    </row>
    <row r="216" spans="1:19">
      <c r="A216" s="260">
        <v>6</v>
      </c>
      <c r="B216" s="1178">
        <v>501783</v>
      </c>
      <c r="C216" s="1747" t="s">
        <v>1255</v>
      </c>
      <c r="D216" s="1747"/>
      <c r="E216" s="1747"/>
      <c r="F216" s="260" t="s">
        <v>911</v>
      </c>
      <c r="G216" s="260"/>
      <c r="H216" s="260"/>
      <c r="I216" s="260"/>
      <c r="J216" s="260"/>
      <c r="K216" s="260">
        <v>1</v>
      </c>
      <c r="L216" s="262" t="s">
        <v>1014</v>
      </c>
      <c r="M216" s="262">
        <f t="shared" si="53"/>
        <v>6</v>
      </c>
      <c r="N216" s="262">
        <f t="shared" si="54"/>
        <v>0</v>
      </c>
      <c r="O216" s="263"/>
      <c r="P216" s="1176" cm="1">
        <f t="array" ref="P216">_xlfn.XLOOKUP(B216,PP_COST[[#All],[PART NUMBER]],PP_COST[[#All],[UNIT COST]])</f>
        <v>4.1900000000000004</v>
      </c>
      <c r="Q216" s="1176">
        <f t="shared" si="56"/>
        <v>25.14</v>
      </c>
      <c r="R216" s="1176">
        <f t="shared" si="57"/>
        <v>0</v>
      </c>
    </row>
    <row r="217" spans="1:19">
      <c r="A217" s="155">
        <v>1</v>
      </c>
      <c r="B217" s="1157">
        <v>501784</v>
      </c>
      <c r="C217" s="1687" t="s">
        <v>1256</v>
      </c>
      <c r="D217" s="1687"/>
      <c r="E217" s="1687"/>
      <c r="F217" s="155" t="s">
        <v>911</v>
      </c>
      <c r="G217" s="155">
        <v>0.15</v>
      </c>
      <c r="H217" s="155"/>
      <c r="I217" s="155"/>
      <c r="J217" s="155"/>
      <c r="K217" s="155">
        <v>1</v>
      </c>
      <c r="L217" s="157" t="s">
        <v>1014</v>
      </c>
      <c r="M217" s="157">
        <f t="shared" si="53"/>
        <v>1</v>
      </c>
      <c r="N217" s="157">
        <f t="shared" si="54"/>
        <v>0</v>
      </c>
      <c r="O217" s="158"/>
      <c r="P217" s="1121" cm="1">
        <f t="array" ref="P217">_xlfn.XLOOKUP(B217,PP_COST[[#All],[PART NUMBER]],PP_COST[[#All],[UNIT COST]])</f>
        <v>4.72</v>
      </c>
      <c r="Q217" s="1121">
        <f t="shared" si="56"/>
        <v>4.72</v>
      </c>
      <c r="R217" s="1121">
        <f t="shared" si="57"/>
        <v>0</v>
      </c>
    </row>
    <row r="218" spans="1:19">
      <c r="A218" s="260">
        <v>3</v>
      </c>
      <c r="B218" s="1178">
        <v>501781</v>
      </c>
      <c r="C218" s="1747" t="s">
        <v>1257</v>
      </c>
      <c r="D218" s="1747"/>
      <c r="E218" s="1747"/>
      <c r="F218" s="260" t="s">
        <v>911</v>
      </c>
      <c r="G218" s="260"/>
      <c r="H218" s="260"/>
      <c r="I218" s="260"/>
      <c r="J218" s="260"/>
      <c r="K218" s="260">
        <v>1</v>
      </c>
      <c r="L218" s="267" t="s">
        <v>1014</v>
      </c>
      <c r="M218" s="267">
        <f t="shared" si="53"/>
        <v>3</v>
      </c>
      <c r="N218" s="267">
        <f t="shared" si="54"/>
        <v>0</v>
      </c>
      <c r="O218" s="263"/>
      <c r="P218" s="1176" cm="1">
        <f t="array" ref="P218">_xlfn.XLOOKUP(B218,PP_COST[[#All],[PART NUMBER]],PP_COST[[#All],[UNIT COST]])</f>
        <v>3.13</v>
      </c>
      <c r="Q218" s="1176">
        <f t="shared" si="56"/>
        <v>9.39</v>
      </c>
      <c r="R218" s="1176">
        <f t="shared" si="57"/>
        <v>0</v>
      </c>
    </row>
    <row r="219" spans="1:19">
      <c r="A219" s="155">
        <v>3</v>
      </c>
      <c r="B219" s="1157">
        <v>501577</v>
      </c>
      <c r="C219" s="1687" t="s">
        <v>1258</v>
      </c>
      <c r="D219" s="1687"/>
      <c r="E219" s="1687"/>
      <c r="F219" s="155" t="s">
        <v>911</v>
      </c>
      <c r="G219" s="155"/>
      <c r="H219" s="155"/>
      <c r="I219" s="155"/>
      <c r="J219" s="155"/>
      <c r="K219" s="155">
        <v>1</v>
      </c>
      <c r="L219" s="155" t="s">
        <v>1014</v>
      </c>
      <c r="M219" s="155">
        <f t="shared" si="53"/>
        <v>3</v>
      </c>
      <c r="N219" s="155">
        <f t="shared" si="54"/>
        <v>0</v>
      </c>
      <c r="O219" s="158"/>
      <c r="P219" s="1121" cm="1">
        <f t="array" ref="P219">_xlfn.XLOOKUP(B219,PP_COST[[#All],[PART NUMBER]],PP_COST[[#All],[UNIT COST]])</f>
        <v>28.47</v>
      </c>
      <c r="Q219" s="1121">
        <f t="shared" si="56"/>
        <v>85.41</v>
      </c>
      <c r="R219" s="1121">
        <f t="shared" si="57"/>
        <v>0</v>
      </c>
    </row>
    <row r="220" spans="1:19">
      <c r="A220" s="260">
        <v>1</v>
      </c>
      <c r="B220" s="1178">
        <v>501589</v>
      </c>
      <c r="C220" s="1747" t="s">
        <v>805</v>
      </c>
      <c r="D220" s="1747"/>
      <c r="E220" s="1747"/>
      <c r="F220" s="260" t="s">
        <v>911</v>
      </c>
      <c r="G220" s="260"/>
      <c r="H220" s="260"/>
      <c r="I220" s="260"/>
      <c r="J220" s="260"/>
      <c r="K220" s="260">
        <v>1</v>
      </c>
      <c r="L220" s="260" t="s">
        <v>1014</v>
      </c>
      <c r="M220" s="260">
        <f t="shared" si="53"/>
        <v>1</v>
      </c>
      <c r="N220" s="260">
        <f t="shared" si="54"/>
        <v>0</v>
      </c>
      <c r="O220" s="263"/>
      <c r="P220" s="1176" cm="1">
        <f t="array" ref="P220">_xlfn.XLOOKUP(B220,PP_COST[[#All],[PART NUMBER]],PP_COST[[#All],[UNIT COST]])</f>
        <v>13.59</v>
      </c>
      <c r="Q220" s="1176">
        <f t="shared" si="56"/>
        <v>13.59</v>
      </c>
      <c r="R220" s="1176">
        <f t="shared" si="57"/>
        <v>0</v>
      </c>
    </row>
    <row r="221" spans="1:19">
      <c r="A221" s="155">
        <v>2</v>
      </c>
      <c r="B221" s="1157">
        <v>501588</v>
      </c>
      <c r="C221" s="1687" t="s">
        <v>1259</v>
      </c>
      <c r="D221" s="1687"/>
      <c r="E221" s="1687"/>
      <c r="F221" s="156" t="s">
        <v>911</v>
      </c>
      <c r="G221" s="155"/>
      <c r="H221" s="155"/>
      <c r="I221" s="155"/>
      <c r="J221" s="155"/>
      <c r="K221" s="155">
        <v>1</v>
      </c>
      <c r="L221" s="157" t="s">
        <v>1014</v>
      </c>
      <c r="M221" s="157">
        <f t="shared" si="53"/>
        <v>2</v>
      </c>
      <c r="N221" s="157">
        <f t="shared" si="54"/>
        <v>0</v>
      </c>
      <c r="O221" s="158"/>
      <c r="P221" s="1121" cm="1">
        <f t="array" ref="P221">_xlfn.XLOOKUP(B221,PP_COST[[#All],[PART NUMBER]],PP_COST[[#All],[UNIT COST]])</f>
        <v>11.15</v>
      </c>
      <c r="Q221" s="1121">
        <f t="shared" si="56"/>
        <v>22.3</v>
      </c>
      <c r="R221" s="1121">
        <f t="shared" si="57"/>
        <v>0</v>
      </c>
    </row>
    <row r="222" spans="1:19">
      <c r="A222" s="260">
        <v>2</v>
      </c>
      <c r="B222" s="1178">
        <v>501587</v>
      </c>
      <c r="C222" s="1747" t="s">
        <v>1260</v>
      </c>
      <c r="D222" s="1747"/>
      <c r="E222" s="1747"/>
      <c r="F222" s="260" t="s">
        <v>911</v>
      </c>
      <c r="G222" s="260" t="s">
        <v>1254</v>
      </c>
      <c r="H222" s="260"/>
      <c r="I222" s="260"/>
      <c r="J222" s="260"/>
      <c r="K222" s="260">
        <v>1</v>
      </c>
      <c r="L222" s="262" t="s">
        <v>1014</v>
      </c>
      <c r="M222" s="262">
        <f t="shared" si="53"/>
        <v>2</v>
      </c>
      <c r="N222" s="262">
        <f t="shared" si="54"/>
        <v>0</v>
      </c>
      <c r="O222" s="263"/>
      <c r="P222" s="1176" cm="1">
        <f t="array" ref="P222">_xlfn.XLOOKUP(B222,PP_COST[[#All],[PART NUMBER]],PP_COST[[#All],[UNIT COST]])</f>
        <v>29.26</v>
      </c>
      <c r="Q222" s="1176">
        <f t="shared" si="56"/>
        <v>58.52</v>
      </c>
      <c r="R222" s="1176">
        <f t="shared" si="57"/>
        <v>0</v>
      </c>
    </row>
    <row r="223" spans="1:19">
      <c r="A223" s="155">
        <v>2</v>
      </c>
      <c r="B223" s="1157">
        <v>501605</v>
      </c>
      <c r="C223" s="1687" t="s">
        <v>1261</v>
      </c>
      <c r="D223" s="1687"/>
      <c r="E223" s="1687"/>
      <c r="F223" s="155" t="s">
        <v>911</v>
      </c>
      <c r="G223" s="155" t="s">
        <v>1262</v>
      </c>
      <c r="H223" s="155"/>
      <c r="I223" s="155"/>
      <c r="J223" s="155"/>
      <c r="K223" s="155">
        <v>1</v>
      </c>
      <c r="L223" s="157" t="s">
        <v>1014</v>
      </c>
      <c r="M223" s="157">
        <f t="shared" si="53"/>
        <v>2</v>
      </c>
      <c r="N223" s="157">
        <f t="shared" si="54"/>
        <v>0</v>
      </c>
      <c r="O223" s="158"/>
      <c r="P223" s="1121" cm="1">
        <f t="array" ref="P223">_xlfn.XLOOKUP(B223,PP_COST[[#All],[PART NUMBER]],PP_COST[[#All],[UNIT COST]])</f>
        <v>7.4</v>
      </c>
      <c r="Q223" s="1121">
        <f t="shared" si="56"/>
        <v>14.8</v>
      </c>
      <c r="R223" s="1121">
        <f t="shared" si="57"/>
        <v>0</v>
      </c>
    </row>
    <row r="224" spans="1:19">
      <c r="A224" s="260">
        <v>12</v>
      </c>
      <c r="B224" s="1179">
        <v>501655</v>
      </c>
      <c r="C224" s="1751" t="s">
        <v>810</v>
      </c>
      <c r="D224" s="1747"/>
      <c r="E224" s="1747"/>
      <c r="F224" s="260" t="s">
        <v>911</v>
      </c>
      <c r="G224" s="260">
        <v>0</v>
      </c>
      <c r="H224" s="260"/>
      <c r="I224" s="260"/>
      <c r="J224" s="260"/>
      <c r="K224" s="260">
        <v>1</v>
      </c>
      <c r="L224" s="262" t="s">
        <v>1014</v>
      </c>
      <c r="M224" s="262">
        <f t="shared" si="53"/>
        <v>12</v>
      </c>
      <c r="N224" s="262">
        <f t="shared" si="54"/>
        <v>0</v>
      </c>
      <c r="O224" s="263"/>
      <c r="P224" s="1176" cm="1">
        <f t="array" ref="P224">_xlfn.XLOOKUP(B224,PP_COST[[#All],[PART NUMBER]],PP_COST[[#All],[UNIT COST]])</f>
        <v>22.61</v>
      </c>
      <c r="Q224" s="1176">
        <f t="shared" si="56"/>
        <v>271.32</v>
      </c>
      <c r="R224" s="1176">
        <f t="shared" si="57"/>
        <v>0</v>
      </c>
    </row>
    <row r="225" spans="1:23">
      <c r="A225" s="155">
        <v>1</v>
      </c>
      <c r="B225" s="155" t="s">
        <v>824</v>
      </c>
      <c r="C225" s="1689" t="s">
        <v>824</v>
      </c>
      <c r="D225" s="1689"/>
      <c r="E225" s="1689"/>
      <c r="F225" s="155" t="s">
        <v>911</v>
      </c>
      <c r="G225" s="155"/>
      <c r="H225" s="155"/>
      <c r="I225" s="155"/>
      <c r="J225" s="155"/>
      <c r="K225" s="157">
        <v>1</v>
      </c>
      <c r="L225" s="157" t="s">
        <v>1014</v>
      </c>
      <c r="M225" s="157">
        <f t="shared" si="53"/>
        <v>1</v>
      </c>
      <c r="N225" s="157">
        <f t="shared" si="54"/>
        <v>0</v>
      </c>
      <c r="O225" s="158"/>
      <c r="P225" s="1121" cm="1">
        <f t="array" ref="P225">_xlfn.XLOOKUP(B225,HW_COST[[#All],[PART NUMBER]],HW_COST[[#All],[UNIT COST]])</f>
        <v>100</v>
      </c>
      <c r="Q225" s="1121">
        <f t="shared" si="56"/>
        <v>100</v>
      </c>
      <c r="R225" s="1121">
        <f t="shared" si="57"/>
        <v>0</v>
      </c>
    </row>
    <row r="226" spans="1:23">
      <c r="A226" s="260"/>
      <c r="B226" s="1179"/>
      <c r="C226" s="1752" t="s">
        <v>920</v>
      </c>
      <c r="D226" s="1752"/>
      <c r="E226" s="1752"/>
      <c r="F226" s="260"/>
      <c r="G226" s="260">
        <v>15</v>
      </c>
      <c r="H226" s="260" t="s">
        <v>1017</v>
      </c>
      <c r="I226" s="260"/>
      <c r="J226" s="260"/>
      <c r="K226" s="260"/>
      <c r="L226" s="262"/>
      <c r="M226" s="262"/>
      <c r="N226" s="262"/>
      <c r="O226" s="263"/>
      <c r="P226" s="268"/>
      <c r="Q226" s="268"/>
      <c r="R226" s="264"/>
    </row>
    <row r="227" spans="1:23">
      <c r="A227" s="155"/>
      <c r="B227" s="155"/>
      <c r="C227" s="673"/>
      <c r="D227" s="673"/>
      <c r="E227" s="673" t="s">
        <v>911</v>
      </c>
      <c r="F227" s="1121">
        <f>SUMIF($F187:$F225,E227,$Q187:$Q225)</f>
        <v>2077.5748000000003</v>
      </c>
      <c r="G227" s="155" t="s">
        <v>1005</v>
      </c>
      <c r="H227" s="1121" t="e">
        <f>SUMIF($F187:$F225,G227,$Q187:$Q225)</f>
        <v>#VALUE!</v>
      </c>
      <c r="I227" s="155" t="s">
        <v>914</v>
      </c>
      <c r="J227" s="155"/>
      <c r="K227" s="1121">
        <f>SUMIF($F187:$F225,J227,$Q187:$Q225)</f>
        <v>0</v>
      </c>
      <c r="L227" s="157"/>
      <c r="M227" s="157"/>
      <c r="N227" s="674" t="s">
        <v>1018</v>
      </c>
      <c r="O227" s="158" t="e">
        <f>SUM(O187:O226)</f>
        <v>#VALUE!</v>
      </c>
      <c r="P227" s="265" t="s">
        <v>1019</v>
      </c>
      <c r="Q227" s="1121" t="e">
        <f>SUM(Q187:Q226)</f>
        <v>#VALUE!</v>
      </c>
      <c r="R227" s="1121" t="e">
        <f>SUM(R187:R226)</f>
        <v>#VALUE!</v>
      </c>
    </row>
    <row r="228" spans="1:23" ht="15.75" thickBot="1">
      <c r="Q228" s="358"/>
    </row>
    <row r="229" spans="1:23">
      <c r="H229" s="100"/>
      <c r="S229" s="126"/>
      <c r="T229" s="269" t="s">
        <v>908</v>
      </c>
      <c r="U229" s="269" t="s">
        <v>920</v>
      </c>
      <c r="V229" s="269" t="s">
        <v>911</v>
      </c>
      <c r="W229" s="270" t="s">
        <v>914</v>
      </c>
    </row>
    <row r="230" spans="1:23" ht="15.75" thickBot="1">
      <c r="S230" s="129" t="s">
        <v>1052</v>
      </c>
      <c r="T230" s="130" t="e">
        <f>SUM(T3,T23,T43,T61,T82,T108,T124,T135,T149,T159,T186)</f>
        <v>#N/A</v>
      </c>
      <c r="U230" s="649">
        <f>SUM(U3,U23,U43,U61,U82,U108,U124,U135,U149,U159,U186)</f>
        <v>0</v>
      </c>
      <c r="V230" s="130" t="e">
        <f>SUM(V3,V23,V43,V61,V82,V108,V124,V135,V149,V159,V186)</f>
        <v>#N/A</v>
      </c>
      <c r="W230" s="131">
        <f>SUM(W3,W23,W43,W61,W82,W108,W124,W135,W149,W159,W186)</f>
        <v>0</v>
      </c>
    </row>
    <row r="234" spans="1:23">
      <c r="B234" s="359" t="s">
        <v>1053</v>
      </c>
    </row>
    <row r="235" spans="1:23">
      <c r="B235" s="360" t="s">
        <v>763</v>
      </c>
      <c r="C235" s="360" t="s">
        <v>544</v>
      </c>
      <c r="D235" s="360" t="s">
        <v>985</v>
      </c>
      <c r="E235" s="360"/>
      <c r="F235" s="360"/>
      <c r="G235" s="360"/>
      <c r="H235" s="360" t="s">
        <v>623</v>
      </c>
      <c r="I235" s="360" t="s">
        <v>728</v>
      </c>
      <c r="J235" s="360" t="s">
        <v>765</v>
      </c>
      <c r="K235" s="360" t="s">
        <v>766</v>
      </c>
    </row>
    <row r="236" spans="1:23">
      <c r="B236" cm="1">
        <f t="array" ref="B236">_xlfn.XLOOKUP(C236,SM_TBL[[#All],[Thickness]],SM_TBL[[#All],[MoC_PN]])</f>
        <v>101869</v>
      </c>
      <c r="C236" s="6">
        <v>0.12</v>
      </c>
      <c r="D236" s="56" t="str" cm="1">
        <f t="array" ref="D236">_xlfn.XLOOKUP(B236,RAW_100[[#All],[PartNum]],RAW_100[[#All],[PartDescription]])</f>
        <v>SHEET 0.120" 11GA T-316L SS PER A240 2B FINISH</v>
      </c>
      <c r="H236" s="635" t="e">
        <f>SUMIF(B$4:B$226,B236,N$4:N$226)</f>
        <v>#VALUE!</v>
      </c>
      <c r="I236" s="1109" t="s">
        <v>768</v>
      </c>
      <c r="J236" s="1110" cm="1">
        <f t="array" ref="J236">_xlfn.XLOOKUP(B236,MET_PRICE[[#All],[Part Number]],MET_PRICE[[#All],[Price ($/lb) Domestic]])</f>
        <v>2.89</v>
      </c>
      <c r="K236" s="378" t="e">
        <f>H236*J236</f>
        <v>#VALUE!</v>
      </c>
    </row>
    <row r="237" spans="1:23">
      <c r="B237" cm="1">
        <f t="array" ref="B237">_xlfn.XLOOKUP(C237,SM_TBL[[#All],[Thickness]],SM_TBL[[#All],[MoC_PN]])</f>
        <v>101871</v>
      </c>
      <c r="C237" s="6">
        <v>7.51E-2</v>
      </c>
      <c r="D237" s="56" t="str" cm="1">
        <f t="array" ref="D237">_xlfn.XLOOKUP(B237,RAW_100[[#All],[PartNum]],RAW_100[[#All],[PartDescription]])</f>
        <v>SHEET 0.075" 14GA T-316L SS PER A240 2B FINISH</v>
      </c>
      <c r="H237" s="635" t="e">
        <f t="shared" ref="H237:H251" si="58">SUMIF(B$4:B$226,B237,N$4:N$226)</f>
        <v>#VALUE!</v>
      </c>
      <c r="I237" s="1109" t="s">
        <v>768</v>
      </c>
      <c r="J237" s="1110" cm="1">
        <f t="array" ref="J237">_xlfn.XLOOKUP(B237,MET_PRICE[[#All],[Part Number]],MET_PRICE[[#All],[Price ($/lb) Domestic]])</f>
        <v>2.89</v>
      </c>
      <c r="K237" s="378" t="e">
        <f t="shared" ref="K237:K251" si="59">H237*J237</f>
        <v>#VALUE!</v>
      </c>
    </row>
    <row r="238" spans="1:23">
      <c r="B238" cm="1">
        <f t="array" ref="B238">_xlfn.XLOOKUP(C238,SM_TBL[[#All],[Thickness]],SM_TBL[[#All],[MoC_PN]])</f>
        <v>101872</v>
      </c>
      <c r="C238" s="6">
        <v>5.9499999999999997E-2</v>
      </c>
      <c r="D238" s="56" t="str" cm="1">
        <f t="array" ref="D238">_xlfn.XLOOKUP(B238,RAW_100[[#All],[PartNum]],RAW_100[[#All],[PartDescription]])</f>
        <v>SHEET 0.059" 16GA T-316L SS PER A240 2B FINISH</v>
      </c>
      <c r="H238" s="635">
        <f t="shared" si="58"/>
        <v>0</v>
      </c>
      <c r="I238" s="1109" t="s">
        <v>768</v>
      </c>
      <c r="J238" s="1110" cm="1">
        <f t="array" ref="J238">_xlfn.XLOOKUP(B238,MET_PRICE[[#All],[Part Number]],MET_PRICE[[#All],[Price ($/lb) Domestic]])</f>
        <v>2.9</v>
      </c>
      <c r="K238" s="378">
        <f t="shared" si="59"/>
        <v>0</v>
      </c>
    </row>
    <row r="239" spans="1:23">
      <c r="B239" cm="1">
        <f t="array" ref="B239">_xlfn.XLOOKUP(C239,SM_TBL[[#All],[Thickness]],SM_TBL[[#All],[MoC_PN]])</f>
        <v>101874</v>
      </c>
      <c r="C239" s="6">
        <v>3.5000000000000003E-2</v>
      </c>
      <c r="D239" s="56" t="str" cm="1">
        <f t="array" ref="D239">_xlfn.XLOOKUP(B239,RAW_100[[#All],[PartNum]],RAW_100[[#All],[PartDescription]])</f>
        <v>SHEET 0.035" 20GA T-316L SS PER A240 2B FINISH</v>
      </c>
      <c r="H239" s="635">
        <f t="shared" si="58"/>
        <v>0</v>
      </c>
      <c r="I239" s="1109" t="s">
        <v>768</v>
      </c>
      <c r="J239" s="1110" cm="1">
        <f t="array" ref="J239">_xlfn.XLOOKUP(B239,MET_PRICE[[#All],[Part Number]],MET_PRICE[[#All],[Price ($/lb) Domestic]])</f>
        <v>2.97</v>
      </c>
      <c r="K239" s="378">
        <f t="shared" si="59"/>
        <v>0</v>
      </c>
    </row>
    <row r="240" spans="1:23">
      <c r="B240" cm="1">
        <f t="array" ref="B240">_xlfn.XLOOKUP(C240,SM_TBL[[#All],[Thickness]],SM_TBL[[#All],[MoC_PN]])</f>
        <v>101961</v>
      </c>
      <c r="C240" s="6">
        <v>0.375</v>
      </c>
      <c r="D240" s="56" t="str" cm="1">
        <f t="array" ref="D240">_xlfn.XLOOKUP(B240,RAW_100[[#All],[PartNum]],RAW_100[[#All],[PartDescription]])</f>
        <v>PLATE 3/8" T-316L SS PER A240 2B FINISH</v>
      </c>
      <c r="H240" s="635" t="e">
        <f t="shared" si="58"/>
        <v>#VALUE!</v>
      </c>
      <c r="I240" s="1109" t="s">
        <v>768</v>
      </c>
      <c r="J240" s="1110" cm="1">
        <f t="array" ref="J240">_xlfn.XLOOKUP(B240,MET_PRICE[[#All],[Part Number]],MET_PRICE[[#All],[Price ($/lb) Domestic]])</f>
        <v>2.7</v>
      </c>
      <c r="K240" s="378" t="e">
        <f t="shared" si="59"/>
        <v>#VALUE!</v>
      </c>
    </row>
    <row r="241" spans="2:11">
      <c r="B241" cm="1">
        <f t="array" ref="B241">_xlfn.XLOOKUP(C241,SM_TBL[[#All],[Thickness]],SM_TBL[[#All],[MoC_PN]])</f>
        <v>101963</v>
      </c>
      <c r="C241" s="6">
        <v>0.25</v>
      </c>
      <c r="D241" s="56" t="str" cm="1">
        <f t="array" ref="D241">_xlfn.XLOOKUP(B241,RAW_100[[#All],[PartNum]],RAW_100[[#All],[PartDescription]])</f>
        <v>PLATE 1/4" T-316L SS PER A240 2B FINISH</v>
      </c>
      <c r="H241" s="635" t="e">
        <f t="shared" si="58"/>
        <v>#N/A</v>
      </c>
      <c r="I241" s="1109" t="s">
        <v>768</v>
      </c>
      <c r="J241" s="1110" cm="1">
        <f t="array" ref="J241">_xlfn.XLOOKUP(B241,MET_PRICE[[#All],[Part Number]],MET_PRICE[[#All],[Price ($/lb) Domestic]])</f>
        <v>2.65</v>
      </c>
      <c r="K241" s="378" t="e">
        <f t="shared" si="59"/>
        <v>#N/A</v>
      </c>
    </row>
    <row r="242" spans="2:11">
      <c r="B242" cm="1">
        <f t="array" ref="B242">_xlfn.XLOOKUP(C242,SM_TBL[[#All],[Thickness]],SM_TBL[[#All],[MoC_PN]])</f>
        <v>101964</v>
      </c>
      <c r="C242" s="6">
        <v>0.1875</v>
      </c>
      <c r="D242" s="56" t="str" cm="1">
        <f t="array" ref="D242">_xlfn.XLOOKUP(B242,RAW_100[[#All],[PartNum]],RAW_100[[#All],[PartDescription]])</f>
        <v>PLATE 3/16" T-316L SS PER A240 2B FINISH</v>
      </c>
      <c r="H242" s="635">
        <f t="shared" si="58"/>
        <v>0</v>
      </c>
      <c r="I242" s="1109" t="s">
        <v>768</v>
      </c>
      <c r="J242" s="1110" cm="1">
        <f t="array" ref="J242">_xlfn.XLOOKUP(B242,MET_PRICE[[#All],[Part Number]],MET_PRICE[[#All],[Price ($/lb) Domestic]])</f>
        <v>2.59</v>
      </c>
      <c r="K242" s="378">
        <f t="shared" si="59"/>
        <v>0</v>
      </c>
    </row>
    <row r="243" spans="2:11">
      <c r="B243" s="918">
        <v>103761</v>
      </c>
      <c r="C243" s="6"/>
      <c r="D243" s="56" t="str" cm="1">
        <f t="array" ref="D243">_xlfn.XLOOKUP(B243,RAW_100[[#All],[PartNum]],RAW_100[[#All],[PartDescription]])</f>
        <v>BAR SQ 1 1/4" T-316L SS PER A276 MILL FINISH</v>
      </c>
      <c r="H243" s="635" t="e">
        <f t="shared" si="58"/>
        <v>#VALUE!</v>
      </c>
      <c r="I243" s="1109" t="s">
        <v>28</v>
      </c>
      <c r="J243" s="1110">
        <v>32</v>
      </c>
      <c r="K243" s="378" t="e">
        <f t="shared" si="59"/>
        <v>#VALUE!</v>
      </c>
    </row>
    <row r="244" spans="2:11">
      <c r="B244">
        <f>'MATERIAL COST'!F86</f>
        <v>104748</v>
      </c>
      <c r="C244" s="6"/>
      <c r="D244" s="56" t="str" cm="1">
        <f t="array" ref="D244">_xlfn.XLOOKUP(B244,RAW_100[[#All],[PartNum]],RAW_100[[#All],[PartDescription]])</f>
        <v>BAR RD Ø1 1/2" OD T-316L SS PER A276 MILL FINISH</v>
      </c>
      <c r="H244" s="635">
        <f t="shared" si="58"/>
        <v>0</v>
      </c>
      <c r="I244" s="1109" t="s">
        <v>28</v>
      </c>
      <c r="J244" s="1110" cm="1">
        <f t="array" ref="J244">_xlfn.XLOOKUP(B244,RAW_100[[#All],[PartNum]],RAW_100[[#All],[UnitCost]])</f>
        <v>57</v>
      </c>
      <c r="K244" s="378">
        <f t="shared" si="59"/>
        <v>0</v>
      </c>
    </row>
    <row r="245" spans="2:11">
      <c r="B245">
        <f>'MATERIAL COST'!F85</f>
        <v>104752</v>
      </c>
      <c r="C245" s="6"/>
      <c r="D245" s="56" t="str" cm="1">
        <f t="array" ref="D245">_xlfn.XLOOKUP(B245,RAW_100[[#All],[PartNum]],RAW_100[[#All],[PartDescription]])</f>
        <v>BAR RD Ø1 1/4" OD T-316L SS PER A276 MILL FINISH</v>
      </c>
      <c r="H245" s="635" t="e">
        <f t="shared" si="58"/>
        <v>#VALUE!</v>
      </c>
      <c r="I245" s="1109" t="s">
        <v>28</v>
      </c>
      <c r="J245" s="1180">
        <v>44.5</v>
      </c>
      <c r="K245" s="378" t="e">
        <f t="shared" si="59"/>
        <v>#VALUE!</v>
      </c>
    </row>
    <row r="246" spans="2:11">
      <c r="B246">
        <f>'MATERIAL COST'!F84</f>
        <v>104755</v>
      </c>
      <c r="C246" s="6"/>
      <c r="D246" s="56" t="str" cm="1">
        <f t="array" ref="D246">_xlfn.XLOOKUP(B246,RAW_100[[#All],[PartNum]],RAW_100[[#All],[PartDescription]])</f>
        <v>BAR RD Ø3/4" OD T-316L SS PER A276 MILL FINISH</v>
      </c>
      <c r="H246" s="635">
        <f t="shared" si="58"/>
        <v>0</v>
      </c>
      <c r="I246" s="1109" t="s">
        <v>28</v>
      </c>
      <c r="J246" s="1110" cm="1">
        <f t="array" ref="J246">_xlfn.XLOOKUP(B246,RAW_100[[#All],[PartNum]],RAW_100[[#All],[UnitCost]])</f>
        <v>6.3</v>
      </c>
      <c r="K246" s="378">
        <f t="shared" si="59"/>
        <v>0</v>
      </c>
    </row>
    <row r="247" spans="2:11">
      <c r="B247">
        <f>'MATERIAL COST'!F77</f>
        <v>105467</v>
      </c>
      <c r="C247" s="6"/>
      <c r="D247" s="56" t="str" cm="1">
        <f t="array" ref="D247">_xlfn.XLOOKUP(B247,RAW_100[[#All],[PartNum]],RAW_100[[#All],[PartDescription]])</f>
        <v>PIPE Ø2" NOM X .343" SCH 160 T-316L SS PER A312 MILL FINISH</v>
      </c>
      <c r="H247" s="635">
        <f t="shared" si="58"/>
        <v>0</v>
      </c>
      <c r="I247" s="1109" t="s">
        <v>28</v>
      </c>
      <c r="J247" s="1110" cm="1">
        <f t="array" ref="J247">_xlfn.XLOOKUP(B247,RAW_100[[#All],[PartNum]],RAW_100[[#All],[UnitCost]])</f>
        <v>97.5</v>
      </c>
      <c r="K247" s="378">
        <f t="shared" si="59"/>
        <v>0</v>
      </c>
    </row>
    <row r="248" spans="2:11">
      <c r="B248">
        <f>'MATERIAL COST'!F79</f>
        <v>105627</v>
      </c>
      <c r="C248" s="6"/>
      <c r="D248" s="56" t="str" cm="1">
        <f t="array" ref="D248">_xlfn.XLOOKUP(B248,RAW_100[[#All],[PartNum]],RAW_100[[#All],[PartDescription]])</f>
        <v>PIPE Ø6" NOM X .280" SCH 40 T-316L SS PER A312 MILL FINISH</v>
      </c>
      <c r="H248" s="635" t="e">
        <f t="shared" si="58"/>
        <v>#VALUE!</v>
      </c>
      <c r="I248" s="1109" t="s">
        <v>28</v>
      </c>
      <c r="J248" s="1110" cm="1">
        <f t="array" ref="J248">_xlfn.XLOOKUP(B248,RAW_100[[#All],[PartNum]],RAW_100[[#All],[UnitCost]])</f>
        <v>70</v>
      </c>
      <c r="K248" s="378" t="e">
        <f t="shared" si="59"/>
        <v>#VALUE!</v>
      </c>
    </row>
    <row r="249" spans="2:11">
      <c r="B249">
        <f>'MATERIAL COST'!F76</f>
        <v>105771</v>
      </c>
      <c r="C249" s="6"/>
      <c r="D249" s="56" t="str" cm="1">
        <f t="array" ref="D249">_xlfn.XLOOKUP(B249,RAW_100[[#All],[PartNum]],RAW_100[[#All],[PartDescription]])</f>
        <v>PIPE Ø1" NOM X .133" SCH 40 T-316L SS PER A312 MILL FINISH</v>
      </c>
      <c r="H249" s="635" t="e">
        <f t="shared" si="58"/>
        <v>#VALUE!</v>
      </c>
      <c r="I249" s="1109" t="s">
        <v>28</v>
      </c>
      <c r="J249" s="1110" cm="1">
        <f t="array" ref="J249">_xlfn.XLOOKUP(B249,RAW_100[[#All],[PartNum]],RAW_100[[#All],[UnitCost]])</f>
        <v>9</v>
      </c>
      <c r="K249" s="378" t="e">
        <f t="shared" si="59"/>
        <v>#VALUE!</v>
      </c>
    </row>
    <row r="250" spans="2:11">
      <c r="B250">
        <f>'MATERIAL COST'!F75</f>
        <v>105787</v>
      </c>
      <c r="C250" s="6"/>
      <c r="D250" s="56" t="str" cm="1">
        <f t="array" ref="D250">_xlfn.XLOOKUP(B250,RAW_100[[#All],[PartNum]],RAW_100[[#All],[PartDescription]])</f>
        <v>PIPE Ø3/4" NOM X .113" SCH 40 T-316L SS PER A312 MILL FINISH</v>
      </c>
      <c r="H250" s="635">
        <f t="shared" si="58"/>
        <v>0</v>
      </c>
      <c r="I250" s="1109" t="s">
        <v>28</v>
      </c>
      <c r="J250" s="1180">
        <v>30</v>
      </c>
      <c r="K250" s="378">
        <f t="shared" si="59"/>
        <v>0</v>
      </c>
    </row>
    <row r="251" spans="2:11">
      <c r="B251" cm="1">
        <f t="array" ref="B251">Table12[MoC_PN]</f>
        <v>109640</v>
      </c>
      <c r="C251" s="6"/>
      <c r="D251" s="56" t="str" cm="1">
        <f t="array" ref="D251">_xlfn.XLOOKUP(B251,RAW_100[[#All],[PartNum]],RAW_100[[#All],[PartDescription]])</f>
        <v>ANGLE L2 1/2" X 2 1/2" X 1/4" T-316L SS PER A276 MILL FINISH</v>
      </c>
      <c r="H251" s="635" t="e">
        <f t="shared" si="58"/>
        <v>#N/A</v>
      </c>
      <c r="I251" s="1109" t="s">
        <v>28</v>
      </c>
      <c r="J251" s="1110" cm="1">
        <f t="array" ref="J251">_xlfn.XLOOKUP(B251,RAW_100[[#All],[PartNum]],RAW_100[[#All],[UnitCost]])</f>
        <v>15.2</v>
      </c>
      <c r="K251" s="378" t="e">
        <f t="shared" si="59"/>
        <v>#N/A</v>
      </c>
    </row>
    <row r="253" spans="2:11">
      <c r="J253" s="358" t="s">
        <v>917</v>
      </c>
      <c r="K253" s="675" t="e">
        <f>SUM(K236:K252)</f>
        <v>#VALUE!</v>
      </c>
    </row>
    <row r="256" spans="2:11">
      <c r="B256" s="359" t="s">
        <v>1054</v>
      </c>
    </row>
    <row r="257" spans="2:13">
      <c r="B257" s="360" t="s">
        <v>763</v>
      </c>
      <c r="C257" s="360"/>
      <c r="D257" s="360" t="s">
        <v>985</v>
      </c>
      <c r="E257" s="360"/>
      <c r="F257" s="360"/>
      <c r="G257" s="360"/>
      <c r="H257" s="360" t="s">
        <v>623</v>
      </c>
      <c r="I257" s="360" t="s">
        <v>728</v>
      </c>
      <c r="J257" s="360" t="s">
        <v>765</v>
      </c>
      <c r="K257" s="360" t="s">
        <v>766</v>
      </c>
    </row>
    <row r="258" spans="2:13">
      <c r="B258">
        <v>131858</v>
      </c>
      <c r="D258" s="56" t="s">
        <v>772</v>
      </c>
      <c r="H258" s="669">
        <f t="shared" ref="H258:H265" si="60">SUMIF(B$4:B$226,B258,N$4:N$226)</f>
        <v>0</v>
      </c>
      <c r="I258" s="274" t="s">
        <v>1210</v>
      </c>
      <c r="J258" s="1110" cm="1">
        <f t="array" ref="J258">_xlfn.XLOOKUP(B258,RAW_100[[#All],[PartNum]],RAW_100[[#All],[UnitCost]])</f>
        <v>16.7347</v>
      </c>
      <c r="K258" s="378">
        <f>H258*J258</f>
        <v>0</v>
      </c>
    </row>
    <row r="259" spans="2:13">
      <c r="B259">
        <v>131861</v>
      </c>
      <c r="D259" s="56" t="s">
        <v>774</v>
      </c>
      <c r="H259" s="669" t="e">
        <f t="shared" si="60"/>
        <v>#VALUE!</v>
      </c>
      <c r="I259" s="274" t="s">
        <v>1210</v>
      </c>
      <c r="J259" s="1110" cm="1">
        <f t="array" ref="J259">_xlfn.XLOOKUP(B259,RAW_100[[#All],[PartNum]],RAW_100[[#All],[UnitCost]])</f>
        <v>8.5350000000000001</v>
      </c>
      <c r="K259" s="378" t="e">
        <f t="shared" ref="K259:K265" si="61">H259*J259</f>
        <v>#VALUE!</v>
      </c>
    </row>
    <row r="260" spans="2:13">
      <c r="B260">
        <v>131862</v>
      </c>
      <c r="D260" s="56" t="s">
        <v>775</v>
      </c>
      <c r="H260" s="669" t="e">
        <f t="shared" si="60"/>
        <v>#VALUE!</v>
      </c>
      <c r="I260" s="274" t="s">
        <v>1210</v>
      </c>
      <c r="J260" s="1110" cm="1">
        <f t="array" ref="J260">_xlfn.XLOOKUP(B260,RAW_100[[#All],[PartNum]],RAW_100[[#All],[UnitCost]])</f>
        <v>6.9522000000000004</v>
      </c>
      <c r="K260" s="378" t="e">
        <f t="shared" si="61"/>
        <v>#VALUE!</v>
      </c>
    </row>
    <row r="261" spans="2:13">
      <c r="B261">
        <v>131864</v>
      </c>
      <c r="D261" s="56" t="s">
        <v>776</v>
      </c>
      <c r="H261" s="669">
        <f t="shared" si="60"/>
        <v>0</v>
      </c>
      <c r="I261" s="274" t="s">
        <v>1210</v>
      </c>
      <c r="J261" s="1110" cm="1">
        <f t="array" ref="J261">_xlfn.XLOOKUP(B261,RAW_100[[#All],[PartNum]],RAW_100[[#All],[UnitCost]])</f>
        <v>4</v>
      </c>
      <c r="K261" s="378">
        <f t="shared" si="61"/>
        <v>0</v>
      </c>
    </row>
    <row r="262" spans="2:13">
      <c r="B262">
        <v>131905</v>
      </c>
      <c r="D262" s="56" t="s">
        <v>777</v>
      </c>
      <c r="H262" s="669" t="e">
        <f t="shared" si="60"/>
        <v>#VALUE!</v>
      </c>
      <c r="I262" s="274" t="s">
        <v>1210</v>
      </c>
      <c r="J262" s="1110" cm="1">
        <f t="array" ref="J262">_xlfn.XLOOKUP(B262,RAW_100[[#All],[PartNum]],RAW_100[[#All],[UnitCost]])</f>
        <v>13.92</v>
      </c>
      <c r="K262" s="378" t="e">
        <f t="shared" si="61"/>
        <v>#VALUE!</v>
      </c>
    </row>
    <row r="263" spans="2:13">
      <c r="B263">
        <v>133659</v>
      </c>
      <c r="D263" s="56" t="s">
        <v>778</v>
      </c>
      <c r="H263" s="669">
        <f t="shared" si="60"/>
        <v>0</v>
      </c>
      <c r="I263" s="1109" t="s">
        <v>28</v>
      </c>
      <c r="J263" s="1110">
        <v>4</v>
      </c>
      <c r="K263" s="378">
        <f t="shared" si="61"/>
        <v>0</v>
      </c>
    </row>
    <row r="264" spans="2:13">
      <c r="B264">
        <v>133691</v>
      </c>
      <c r="D264" s="56" t="s">
        <v>780</v>
      </c>
      <c r="H264" s="669" t="e">
        <f t="shared" si="60"/>
        <v>#VALUE!</v>
      </c>
      <c r="I264" s="274" t="s">
        <v>28</v>
      </c>
      <c r="J264" s="1110" cm="1">
        <f t="array" ref="J264">_xlfn.XLOOKUP(B264,RAW_100[[#All],[PartNum]],RAW_100[[#All],[UnitCost]])</f>
        <v>10.16</v>
      </c>
      <c r="K264" s="378" t="e">
        <f t="shared" si="61"/>
        <v>#VALUE!</v>
      </c>
    </row>
    <row r="265" spans="2:13">
      <c r="B265">
        <v>135799</v>
      </c>
      <c r="D265" s="56" t="s">
        <v>781</v>
      </c>
      <c r="H265" s="669">
        <f t="shared" si="60"/>
        <v>0</v>
      </c>
      <c r="I265" s="274" t="s">
        <v>28</v>
      </c>
      <c r="J265" s="1181">
        <v>4</v>
      </c>
      <c r="K265" s="378">
        <f t="shared" si="61"/>
        <v>0</v>
      </c>
    </row>
    <row r="267" spans="2:13">
      <c r="J267" s="358" t="s">
        <v>917</v>
      </c>
      <c r="K267" s="588" t="e">
        <f>SUM(K258:K266)</f>
        <v>#VALUE!</v>
      </c>
    </row>
    <row r="269" spans="2:13">
      <c r="B269" s="359" t="s">
        <v>1055</v>
      </c>
    </row>
    <row r="270" spans="2:13">
      <c r="B270" s="360" t="s">
        <v>763</v>
      </c>
      <c r="C270" s="360"/>
      <c r="D270" s="360" t="s">
        <v>985</v>
      </c>
      <c r="E270" s="360"/>
      <c r="F270" s="360"/>
      <c r="G270" s="360"/>
      <c r="H270" s="360" t="s">
        <v>623</v>
      </c>
      <c r="I270" s="360" t="s">
        <v>728</v>
      </c>
      <c r="J270" s="360" t="s">
        <v>765</v>
      </c>
      <c r="K270" s="360" t="s">
        <v>766</v>
      </c>
    </row>
    <row r="271" spans="2:13">
      <c r="B271" s="56">
        <v>501423</v>
      </c>
      <c r="D271" s="56" t="s">
        <v>795</v>
      </c>
      <c r="H271" s="274">
        <f>SUMIF($B$4:$B$226,$B271,$N$4:$N$226)</f>
        <v>0</v>
      </c>
      <c r="I271" s="1109" t="s">
        <v>1014</v>
      </c>
      <c r="J271" s="1180" cm="1">
        <f t="array" ref="J271">_xlfn.XLOOKUP(B271,PP_COST[[#All],[PART NUMBER]],PP_COST[[#All],[UNIT COST]])</f>
        <v>4.5</v>
      </c>
      <c r="K271" s="1110">
        <f>H271*J271</f>
        <v>0</v>
      </c>
      <c r="L271" s="1111"/>
      <c r="M271" s="378"/>
    </row>
    <row r="272" spans="2:13">
      <c r="B272" s="56">
        <v>501494</v>
      </c>
      <c r="D272" s="56" t="s">
        <v>796</v>
      </c>
      <c r="H272" s="274">
        <f t="shared" ref="H272:H322" si="62">SUMIF($B$4:$B$226,$B272,$N$4:$N$226)</f>
        <v>0</v>
      </c>
      <c r="I272" s="1109" t="s">
        <v>1014</v>
      </c>
      <c r="J272" s="1180" cm="1">
        <f t="array" ref="J272">_xlfn.XLOOKUP(B272,PP_COST[[#All],[PART NUMBER]],PP_COST[[#All],[UNIT COST]])</f>
        <v>11</v>
      </c>
      <c r="K272" s="1110">
        <f t="shared" ref="K272:K322" si="63">H272*J272</f>
        <v>0</v>
      </c>
      <c r="L272" s="1111"/>
      <c r="M272" s="378"/>
    </row>
    <row r="273" spans="2:13">
      <c r="B273" s="56">
        <v>501048</v>
      </c>
      <c r="D273" s="56" t="s">
        <v>789</v>
      </c>
      <c r="H273" s="274">
        <f t="shared" si="62"/>
        <v>0</v>
      </c>
      <c r="I273" s="1109" t="s">
        <v>1014</v>
      </c>
      <c r="J273" s="1111" cm="1">
        <f t="array" ref="J273">_xlfn.XLOOKUP(B273,PP_COST[[#All],[PART NUMBER]],PP_COST[[#All],[UNIT COST]])</f>
        <v>26.56</v>
      </c>
      <c r="K273" s="1110">
        <f t="shared" si="63"/>
        <v>0</v>
      </c>
      <c r="L273" s="1111"/>
      <c r="M273" s="378"/>
    </row>
    <row r="274" spans="2:13">
      <c r="B274" s="56">
        <v>501143</v>
      </c>
      <c r="D274" s="56" t="s">
        <v>792</v>
      </c>
      <c r="H274" s="274">
        <f t="shared" si="62"/>
        <v>0</v>
      </c>
      <c r="I274" s="1109" t="s">
        <v>1014</v>
      </c>
      <c r="J274" s="1111" cm="1">
        <f t="array" ref="J274">_xlfn.XLOOKUP(B274,PP_COST[[#All],[PART NUMBER]],PP_COST[[#All],[UNIT COST]])</f>
        <v>59.31</v>
      </c>
      <c r="K274" s="1110">
        <f t="shared" si="63"/>
        <v>0</v>
      </c>
      <c r="L274" s="1111"/>
      <c r="M274" s="378"/>
    </row>
    <row r="275" spans="2:13">
      <c r="B275" s="56">
        <v>501337</v>
      </c>
      <c r="D275" s="56" t="s">
        <v>793</v>
      </c>
      <c r="H275" s="274">
        <f t="shared" si="62"/>
        <v>0</v>
      </c>
      <c r="I275" s="1109" t="s">
        <v>1014</v>
      </c>
      <c r="J275" s="1111" cm="1">
        <f t="array" ref="J275">_xlfn.XLOOKUP(B275,PP_COST[[#All],[PART NUMBER]],PP_COST[[#All],[UNIT COST]])</f>
        <v>0.7</v>
      </c>
      <c r="K275" s="1110">
        <f t="shared" si="63"/>
        <v>0</v>
      </c>
      <c r="L275" s="1111"/>
      <c r="M275" s="378"/>
    </row>
    <row r="276" spans="2:13">
      <c r="B276" s="56">
        <v>501338</v>
      </c>
      <c r="D276" s="56" t="s">
        <v>794</v>
      </c>
      <c r="H276" s="274">
        <f t="shared" si="62"/>
        <v>0</v>
      </c>
      <c r="I276" s="1109" t="s">
        <v>1014</v>
      </c>
      <c r="J276" s="1111" cm="1">
        <f t="array" ref="J276">_xlfn.XLOOKUP(B276,PP_COST[[#All],[PART NUMBER]],PP_COST[[#All],[UNIT COST]])</f>
        <v>0.65</v>
      </c>
      <c r="K276" s="1110">
        <f t="shared" si="63"/>
        <v>0</v>
      </c>
      <c r="L276" s="1111"/>
      <c r="M276" s="378"/>
    </row>
    <row r="277" spans="2:13">
      <c r="B277" s="56" t="e">
        <f>MR_PN</f>
        <v>#N/A</v>
      </c>
      <c r="D277" s="56" t="s">
        <v>1263</v>
      </c>
      <c r="H277" s="274">
        <f t="shared" si="62"/>
        <v>0</v>
      </c>
      <c r="I277" s="1109" t="s">
        <v>1014</v>
      </c>
      <c r="J277" s="1111" t="e" cm="1">
        <f t="array" ref="J277">_xlfn.XLOOKUP(B277,PP_COST[[#All],[PART NUMBER]],PP_COST[[#All],[UNIT COST]])</f>
        <v>#N/A</v>
      </c>
      <c r="K277" s="1110" t="e">
        <f t="shared" si="63"/>
        <v>#N/A</v>
      </c>
      <c r="L277" s="1111"/>
      <c r="M277" s="378"/>
    </row>
    <row r="278" spans="2:13">
      <c r="B278" s="964" t="e">
        <f>RI_PN</f>
        <v>#N/A</v>
      </c>
      <c r="D278" s="56" t="s">
        <v>1264</v>
      </c>
      <c r="H278" s="274">
        <f t="shared" si="62"/>
        <v>0</v>
      </c>
      <c r="I278" s="1109" t="s">
        <v>1014</v>
      </c>
      <c r="J278" s="1111" t="e" cm="1">
        <f t="array" ref="J278">_xlfn.XLOOKUP(B278,PP_COST[[#All],[PART NUMBER]],PP_COST[[#All],[UNIT COST]])</f>
        <v>#N/A</v>
      </c>
      <c r="K278" s="1110" t="e">
        <f t="shared" si="63"/>
        <v>#N/A</v>
      </c>
      <c r="L278" s="1111"/>
      <c r="M278" s="378"/>
    </row>
    <row r="279" spans="2:13">
      <c r="B279" s="56">
        <v>501526</v>
      </c>
      <c r="D279" s="56" t="s">
        <v>797</v>
      </c>
      <c r="H279" s="274">
        <f t="shared" si="62"/>
        <v>0</v>
      </c>
      <c r="I279" s="1109" t="s">
        <v>1014</v>
      </c>
      <c r="J279" s="1111" cm="1">
        <f t="array" ref="J279">_xlfn.XLOOKUP(B279,PP_COST[[#All],[PART NUMBER]],PP_COST[[#All],[UNIT COST]])</f>
        <v>28.63</v>
      </c>
      <c r="K279" s="1110">
        <f t="shared" si="63"/>
        <v>0</v>
      </c>
      <c r="L279" s="1111"/>
      <c r="M279" s="378"/>
    </row>
    <row r="280" spans="2:13">
      <c r="B280" s="56">
        <v>501540</v>
      </c>
      <c r="D280" s="56" t="s">
        <v>798</v>
      </c>
      <c r="H280" s="274">
        <f t="shared" si="62"/>
        <v>0</v>
      </c>
      <c r="I280" s="1109" t="s">
        <v>1014</v>
      </c>
      <c r="J280" s="1111" cm="1">
        <f t="array" ref="J280">_xlfn.XLOOKUP(B280,PP_COST[[#All],[PART NUMBER]],PP_COST[[#All],[UNIT COST]])</f>
        <v>3.4615999999999998</v>
      </c>
      <c r="K280" s="1110">
        <f t="shared" si="63"/>
        <v>0</v>
      </c>
      <c r="L280" s="1111"/>
      <c r="M280" s="378"/>
    </row>
    <row r="281" spans="2:13">
      <c r="B281" s="56">
        <v>501543</v>
      </c>
      <c r="D281" s="56" t="s">
        <v>799</v>
      </c>
      <c r="H281" s="274">
        <f t="shared" si="62"/>
        <v>0</v>
      </c>
      <c r="I281" s="1109" t="s">
        <v>1014</v>
      </c>
      <c r="J281" s="1111" cm="1">
        <f t="array" ref="J281">_xlfn.XLOOKUP(B281,PP_COST[[#All],[PART NUMBER]],PP_COST[[#All],[UNIT COST]])</f>
        <v>15.67</v>
      </c>
      <c r="K281" s="1110">
        <f t="shared" si="63"/>
        <v>0</v>
      </c>
      <c r="L281" s="1111"/>
      <c r="M281" s="378"/>
    </row>
    <row r="282" spans="2:13">
      <c r="B282" s="56">
        <v>501564</v>
      </c>
      <c r="D282" s="56" t="s">
        <v>800</v>
      </c>
      <c r="H282" s="274">
        <f t="shared" si="62"/>
        <v>0</v>
      </c>
      <c r="I282" s="1109" t="s">
        <v>1014</v>
      </c>
      <c r="J282" s="1111" cm="1">
        <f t="array" ref="J282">_xlfn.XLOOKUP(B282,PP_COST[[#All],[PART NUMBER]],PP_COST[[#All],[UNIT COST]])</f>
        <v>4.4400000000000004</v>
      </c>
      <c r="K282" s="1110">
        <f t="shared" si="63"/>
        <v>0</v>
      </c>
      <c r="L282" s="1111"/>
      <c r="M282" s="378"/>
    </row>
    <row r="283" spans="2:13">
      <c r="B283" s="56">
        <v>501577</v>
      </c>
      <c r="D283" s="56" t="s">
        <v>801</v>
      </c>
      <c r="H283" s="274">
        <f t="shared" si="62"/>
        <v>0</v>
      </c>
      <c r="I283" s="1109" t="s">
        <v>1014</v>
      </c>
      <c r="J283" s="1111" cm="1">
        <f t="array" ref="J283">_xlfn.XLOOKUP(B283,PP_COST[[#All],[PART NUMBER]],PP_COST[[#All],[UNIT COST]])</f>
        <v>28.47</v>
      </c>
      <c r="K283" s="1110">
        <f t="shared" si="63"/>
        <v>0</v>
      </c>
      <c r="L283" s="1111"/>
      <c r="M283" s="378"/>
    </row>
    <row r="284" spans="2:13">
      <c r="B284" s="56">
        <v>501583</v>
      </c>
      <c r="D284" s="56" t="s">
        <v>802</v>
      </c>
      <c r="H284" s="274">
        <f t="shared" si="62"/>
        <v>0</v>
      </c>
      <c r="I284" s="1109" t="s">
        <v>1014</v>
      </c>
      <c r="J284" s="1111" cm="1">
        <f t="array" ref="J284">_xlfn.XLOOKUP(B284,PP_COST[[#All],[PART NUMBER]],PP_COST[[#All],[UNIT COST]])</f>
        <v>4.63</v>
      </c>
      <c r="K284" s="1110">
        <f t="shared" si="63"/>
        <v>0</v>
      </c>
      <c r="L284" s="1111"/>
      <c r="M284" s="378"/>
    </row>
    <row r="285" spans="2:13">
      <c r="B285" s="56">
        <v>501587</v>
      </c>
      <c r="D285" s="56" t="s">
        <v>803</v>
      </c>
      <c r="H285" s="274">
        <f t="shared" si="62"/>
        <v>0</v>
      </c>
      <c r="I285" s="1109" t="s">
        <v>1014</v>
      </c>
      <c r="J285" s="1111" cm="1">
        <f t="array" ref="J285">_xlfn.XLOOKUP(B285,PP_COST[[#All],[PART NUMBER]],PP_COST[[#All],[UNIT COST]])</f>
        <v>29.26</v>
      </c>
      <c r="K285" s="1110">
        <f t="shared" si="63"/>
        <v>0</v>
      </c>
      <c r="L285" s="1111"/>
      <c r="M285" s="378"/>
    </row>
    <row r="286" spans="2:13">
      <c r="B286" s="56">
        <v>501588</v>
      </c>
      <c r="D286" s="56" t="s">
        <v>804</v>
      </c>
      <c r="H286" s="274">
        <f t="shared" si="62"/>
        <v>0</v>
      </c>
      <c r="I286" s="1109" t="s">
        <v>1014</v>
      </c>
      <c r="J286" s="1111" cm="1">
        <f t="array" ref="J286">_xlfn.XLOOKUP(B286,PP_COST[[#All],[PART NUMBER]],PP_COST[[#All],[UNIT COST]])</f>
        <v>11.15</v>
      </c>
      <c r="K286" s="1110">
        <f t="shared" si="63"/>
        <v>0</v>
      </c>
      <c r="L286" s="1111"/>
      <c r="M286" s="378"/>
    </row>
    <row r="287" spans="2:13">
      <c r="B287" s="56">
        <v>501589</v>
      </c>
      <c r="D287" s="56" t="s">
        <v>805</v>
      </c>
      <c r="H287" s="274">
        <f t="shared" si="62"/>
        <v>0</v>
      </c>
      <c r="I287" s="1109" t="s">
        <v>1014</v>
      </c>
      <c r="J287" s="1111" cm="1">
        <f t="array" ref="J287">_xlfn.XLOOKUP(B287,PP_COST[[#All],[PART NUMBER]],PP_COST[[#All],[UNIT COST]])</f>
        <v>13.59</v>
      </c>
      <c r="K287" s="1110">
        <f t="shared" si="63"/>
        <v>0</v>
      </c>
      <c r="L287" s="1111"/>
      <c r="M287" s="378"/>
    </row>
    <row r="288" spans="2:13">
      <c r="B288" s="56">
        <v>501596</v>
      </c>
      <c r="D288" s="56" t="s">
        <v>806</v>
      </c>
      <c r="H288" s="274">
        <f t="shared" si="62"/>
        <v>0</v>
      </c>
      <c r="I288" s="1109" t="s">
        <v>1014</v>
      </c>
      <c r="J288" s="1111" cm="1">
        <f t="array" ref="J288">_xlfn.XLOOKUP(B288,PP_COST[[#All],[PART NUMBER]],PP_COST[[#All],[UNIT COST]])</f>
        <v>0.375</v>
      </c>
      <c r="K288" s="1110">
        <f t="shared" si="63"/>
        <v>0</v>
      </c>
      <c r="L288" s="1111"/>
      <c r="M288" s="378"/>
    </row>
    <row r="289" spans="2:13">
      <c r="B289" s="56">
        <v>501598</v>
      </c>
      <c r="D289" s="56" t="s">
        <v>807</v>
      </c>
      <c r="H289" s="274">
        <f t="shared" si="62"/>
        <v>0</v>
      </c>
      <c r="I289" s="1109" t="s">
        <v>1014</v>
      </c>
      <c r="J289" s="1111" cm="1">
        <f t="array" ref="J289">_xlfn.XLOOKUP(B289,PP_COST[[#All],[PART NUMBER]],PP_COST[[#All],[UNIT COST]])</f>
        <v>1.804</v>
      </c>
      <c r="K289" s="1110">
        <f t="shared" si="63"/>
        <v>0</v>
      </c>
      <c r="L289" s="1111"/>
      <c r="M289" s="378"/>
    </row>
    <row r="290" spans="2:13">
      <c r="B290" s="56">
        <v>501600</v>
      </c>
      <c r="D290" s="56" t="s">
        <v>808</v>
      </c>
      <c r="H290" s="274">
        <f t="shared" si="62"/>
        <v>0</v>
      </c>
      <c r="I290" s="1109" t="s">
        <v>1014</v>
      </c>
      <c r="J290" s="1111" cm="1">
        <f t="array" ref="J290">_xlfn.XLOOKUP(B290,PP_COST[[#All],[PART NUMBER]],PP_COST[[#All],[UNIT COST]])</f>
        <v>199.53</v>
      </c>
      <c r="K290" s="1110">
        <f t="shared" si="63"/>
        <v>0</v>
      </c>
      <c r="L290" s="1111"/>
      <c r="M290" s="378"/>
    </row>
    <row r="291" spans="2:13">
      <c r="B291" s="56">
        <v>501605</v>
      </c>
      <c r="D291" s="56" t="s">
        <v>809</v>
      </c>
      <c r="H291" s="274">
        <f t="shared" si="62"/>
        <v>0</v>
      </c>
      <c r="I291" s="1109" t="s">
        <v>1014</v>
      </c>
      <c r="J291" s="1111" cm="1">
        <f t="array" ref="J291">_xlfn.XLOOKUP(B291,PP_COST[[#All],[PART NUMBER]],PP_COST[[#All],[UNIT COST]])</f>
        <v>7.4</v>
      </c>
      <c r="K291" s="1110">
        <f t="shared" si="63"/>
        <v>0</v>
      </c>
      <c r="L291" s="1111"/>
      <c r="M291" s="378"/>
    </row>
    <row r="292" spans="2:13">
      <c r="B292" s="56">
        <v>501655</v>
      </c>
      <c r="D292" s="661" t="s">
        <v>810</v>
      </c>
      <c r="H292" s="274">
        <f t="shared" si="62"/>
        <v>0</v>
      </c>
      <c r="I292" s="1109" t="s">
        <v>1014</v>
      </c>
      <c r="J292" s="1180" cm="1">
        <f t="array" ref="J292">_xlfn.XLOOKUP(B292,PP_COST[[#All],[PART NUMBER]],PP_COST[[#All],[UNIT COST]])</f>
        <v>22.61</v>
      </c>
      <c r="K292" s="1110">
        <f t="shared" si="63"/>
        <v>0</v>
      </c>
      <c r="L292" s="1111"/>
      <c r="M292" s="378"/>
    </row>
    <row r="293" spans="2:13">
      <c r="B293" s="56">
        <v>501688</v>
      </c>
      <c r="D293" s="56" t="s">
        <v>811</v>
      </c>
      <c r="H293" s="274">
        <f t="shared" si="62"/>
        <v>0</v>
      </c>
      <c r="I293" s="1109" t="s">
        <v>1014</v>
      </c>
      <c r="J293" s="1111" cm="1">
        <f t="array" ref="J293">_xlfn.XLOOKUP(B293,PP_COST[[#All],[PART NUMBER]],PP_COST[[#All],[UNIT COST]])</f>
        <v>28.86</v>
      </c>
      <c r="K293" s="1110">
        <f t="shared" si="63"/>
        <v>0</v>
      </c>
      <c r="L293" s="1111"/>
      <c r="M293" s="378"/>
    </row>
    <row r="294" spans="2:13">
      <c r="B294" s="56">
        <v>501781</v>
      </c>
      <c r="D294" s="56" t="s">
        <v>812</v>
      </c>
      <c r="H294" s="274">
        <f t="shared" si="62"/>
        <v>0</v>
      </c>
      <c r="I294" s="1109" t="s">
        <v>1014</v>
      </c>
      <c r="J294" s="1111" cm="1">
        <f t="array" ref="J294">_xlfn.XLOOKUP(B294,PP_COST[[#All],[PART NUMBER]],PP_COST[[#All],[UNIT COST]])</f>
        <v>3.13</v>
      </c>
      <c r="K294" s="1110">
        <f t="shared" si="63"/>
        <v>0</v>
      </c>
      <c r="L294" s="1111"/>
      <c r="M294" s="378"/>
    </row>
    <row r="295" spans="2:13">
      <c r="B295" s="56">
        <v>501783</v>
      </c>
      <c r="D295" s="56" t="s">
        <v>813</v>
      </c>
      <c r="H295" s="274">
        <f t="shared" si="62"/>
        <v>0</v>
      </c>
      <c r="I295" s="1109" t="s">
        <v>1014</v>
      </c>
      <c r="J295" s="1111" cm="1">
        <f t="array" ref="J295">_xlfn.XLOOKUP(B295,PP_COST[[#All],[PART NUMBER]],PP_COST[[#All],[UNIT COST]])</f>
        <v>4.1900000000000004</v>
      </c>
      <c r="K295" s="1110">
        <f t="shared" si="63"/>
        <v>0</v>
      </c>
      <c r="L295" s="1111"/>
      <c r="M295" s="378"/>
    </row>
    <row r="296" spans="2:13">
      <c r="B296" s="56">
        <v>501784</v>
      </c>
      <c r="D296" s="56" t="s">
        <v>814</v>
      </c>
      <c r="H296" s="274">
        <f t="shared" si="62"/>
        <v>0</v>
      </c>
      <c r="I296" s="1109" t="s">
        <v>1014</v>
      </c>
      <c r="J296" s="1111" cm="1">
        <f t="array" ref="J296">_xlfn.XLOOKUP(B296,PP_COST[[#All],[PART NUMBER]],PP_COST[[#All],[UNIT COST]])</f>
        <v>4.72</v>
      </c>
      <c r="K296" s="1110">
        <f t="shared" si="63"/>
        <v>0</v>
      </c>
      <c r="L296" s="1111"/>
      <c r="M296" s="378"/>
    </row>
    <row r="297" spans="2:13">
      <c r="B297" s="56">
        <v>502209</v>
      </c>
      <c r="D297" s="56" t="s">
        <v>815</v>
      </c>
      <c r="H297" s="274">
        <f t="shared" si="62"/>
        <v>0</v>
      </c>
      <c r="I297" s="1109" t="s">
        <v>1014</v>
      </c>
      <c r="J297" s="1111" cm="1">
        <f t="array" ref="J297">_xlfn.XLOOKUP(B297,PP_COST[[#All],[PART NUMBER]],PP_COST[[#All],[UNIT COST]])</f>
        <v>69.33</v>
      </c>
      <c r="K297" s="1110">
        <f t="shared" si="63"/>
        <v>0</v>
      </c>
      <c r="L297" s="1111"/>
      <c r="M297" s="378"/>
    </row>
    <row r="298" spans="2:13">
      <c r="B298" s="56">
        <v>502212</v>
      </c>
      <c r="D298" s="56" t="s">
        <v>816</v>
      </c>
      <c r="H298" s="274">
        <f t="shared" si="62"/>
        <v>0</v>
      </c>
      <c r="I298" s="1109" t="s">
        <v>1014</v>
      </c>
      <c r="J298" s="1111" cm="1">
        <f t="array" ref="J298">_xlfn.XLOOKUP(B298,PP_COST[[#All],[PART NUMBER]],PP_COST[[#All],[UNIT COST]])</f>
        <v>1288</v>
      </c>
      <c r="K298" s="1110">
        <f t="shared" si="63"/>
        <v>0</v>
      </c>
      <c r="L298" s="1111"/>
      <c r="M298" s="378"/>
    </row>
    <row r="299" spans="2:13">
      <c r="B299" s="56">
        <v>502240</v>
      </c>
      <c r="D299" s="56" t="s">
        <v>817</v>
      </c>
      <c r="H299" s="274">
        <f t="shared" si="62"/>
        <v>0</v>
      </c>
      <c r="I299" s="1109" t="s">
        <v>1014</v>
      </c>
      <c r="J299" s="1111" cm="1">
        <f t="array" ref="J299">_xlfn.XLOOKUP(B299,PP_COST[[#All],[PART NUMBER]],PP_COST[[#All],[UNIT COST]])</f>
        <v>74.62</v>
      </c>
      <c r="K299" s="1110">
        <f t="shared" si="63"/>
        <v>0</v>
      </c>
      <c r="L299" s="1111"/>
      <c r="M299" s="378"/>
    </row>
    <row r="300" spans="2:13">
      <c r="B300" s="56">
        <v>502363</v>
      </c>
      <c r="D300" s="56" t="s">
        <v>818</v>
      </c>
      <c r="H300" s="274">
        <f t="shared" si="62"/>
        <v>0</v>
      </c>
      <c r="I300" s="1109" t="s">
        <v>1014</v>
      </c>
      <c r="J300" s="1111" cm="1">
        <f t="array" ref="J300">_xlfn.XLOOKUP(B300,PP_COST[[#All],[PART NUMBER]],PP_COST[[#All],[UNIT COST]])</f>
        <v>181.33</v>
      </c>
      <c r="K300" s="1110">
        <f t="shared" si="63"/>
        <v>0</v>
      </c>
      <c r="L300" s="1111"/>
      <c r="M300" s="378"/>
    </row>
    <row r="301" spans="2:13">
      <c r="B301" s="56">
        <v>502364</v>
      </c>
      <c r="D301" s="56" t="s">
        <v>819</v>
      </c>
      <c r="H301" s="274">
        <f t="shared" si="62"/>
        <v>0</v>
      </c>
      <c r="I301" s="1109" t="s">
        <v>1014</v>
      </c>
      <c r="J301" s="1111" cm="1">
        <f t="array" ref="J301">_xlfn.XLOOKUP(B301,PP_COST[[#All],[PART NUMBER]],PP_COST[[#All],[UNIT COST]])</f>
        <v>69.81</v>
      </c>
      <c r="K301" s="1110">
        <f t="shared" si="63"/>
        <v>0</v>
      </c>
      <c r="L301" s="1111"/>
      <c r="M301" s="378"/>
    </row>
    <row r="302" spans="2:13">
      <c r="B302" s="1093" t="s">
        <v>828</v>
      </c>
      <c r="H302" s="274">
        <f t="shared" si="62"/>
        <v>0</v>
      </c>
      <c r="I302" s="1109" t="s">
        <v>1014</v>
      </c>
      <c r="J302" s="1111" cm="1">
        <f t="array" ref="J302">_xlfn.XLOOKUP(B302,HW_COST[[#All],[PART NUMBER]],HW_COST[[#All],[UNIT COST]])</f>
        <v>0.29759999999999998</v>
      </c>
      <c r="K302" s="1110">
        <f t="shared" si="63"/>
        <v>0</v>
      </c>
      <c r="L302" s="1111"/>
      <c r="M302" s="378"/>
    </row>
    <row r="303" spans="2:13">
      <c r="B303" s="1093" t="s">
        <v>829</v>
      </c>
      <c r="H303" s="274">
        <f t="shared" si="62"/>
        <v>0</v>
      </c>
      <c r="I303" s="1109" t="s">
        <v>1014</v>
      </c>
      <c r="J303" s="1111" cm="1">
        <f t="array" ref="J303">_xlfn.XLOOKUP(B303,HW_COST[[#All],[PART NUMBER]],HW_COST[[#All],[UNIT COST]])</f>
        <v>0.22439999999999999</v>
      </c>
      <c r="K303" s="1110">
        <f t="shared" si="63"/>
        <v>0</v>
      </c>
      <c r="L303" s="1111"/>
      <c r="M303" s="378"/>
    </row>
    <row r="304" spans="2:13">
      <c r="B304" s="56" t="s">
        <v>830</v>
      </c>
      <c r="H304" s="274">
        <f t="shared" si="62"/>
        <v>0</v>
      </c>
      <c r="I304" s="1109" t="s">
        <v>1014</v>
      </c>
      <c r="J304" s="1111" cm="1">
        <f t="array" ref="J304">_xlfn.XLOOKUP(B304,HW_COST[[#All],[PART NUMBER]],HW_COST[[#All],[UNIT COST]])</f>
        <v>1.3707</v>
      </c>
      <c r="K304" s="1110">
        <f t="shared" si="63"/>
        <v>0</v>
      </c>
      <c r="L304" s="1111"/>
      <c r="M304" s="378"/>
    </row>
    <row r="305" spans="2:13">
      <c r="B305" t="s">
        <v>1265</v>
      </c>
      <c r="H305" s="274">
        <f t="shared" si="62"/>
        <v>0</v>
      </c>
      <c r="I305" s="1109" t="s">
        <v>1014</v>
      </c>
      <c r="J305" s="1182" t="e" cm="1">
        <f t="array" ref="J305">_xlfn.XLOOKUP(B305,HW_COST[[#All],[PART NUMBER]],HW_COST[[#All],[UNIT COST]])</f>
        <v>#N/A</v>
      </c>
      <c r="K305" s="1180" t="e">
        <f t="shared" ref="K305" si="64">H305*J305</f>
        <v>#N/A</v>
      </c>
      <c r="L305" s="1111"/>
      <c r="M305" s="378"/>
    </row>
    <row r="306" spans="2:13">
      <c r="B306" s="1093" t="s">
        <v>832</v>
      </c>
      <c r="H306" s="274">
        <f t="shared" si="62"/>
        <v>0</v>
      </c>
      <c r="I306" s="1109" t="s">
        <v>1014</v>
      </c>
      <c r="J306" s="1111" cm="1">
        <f t="array" ref="J306">_xlfn.XLOOKUP(B306,HW_COST[[#All],[PART NUMBER]],HW_COST[[#All],[UNIT COST]])</f>
        <v>2.1</v>
      </c>
      <c r="K306" s="1110">
        <f t="shared" si="63"/>
        <v>0</v>
      </c>
      <c r="L306" s="1111"/>
      <c r="M306" s="378"/>
    </row>
    <row r="307" spans="2:13">
      <c r="B307" s="1093" t="s">
        <v>834</v>
      </c>
      <c r="H307" s="274">
        <f t="shared" si="62"/>
        <v>0</v>
      </c>
      <c r="I307" s="1109" t="s">
        <v>1014</v>
      </c>
      <c r="J307" s="1111" cm="1">
        <f t="array" ref="J307">_xlfn.XLOOKUP(B307,HW_COST[[#All],[PART NUMBER]],HW_COST[[#All],[UNIT COST]])</f>
        <v>0.06</v>
      </c>
      <c r="K307" s="1110">
        <f t="shared" si="63"/>
        <v>0</v>
      </c>
      <c r="L307" s="1111"/>
      <c r="M307" s="378"/>
    </row>
    <row r="308" spans="2:13">
      <c r="B308" s="56" t="s">
        <v>836</v>
      </c>
      <c r="H308" s="274">
        <f t="shared" si="62"/>
        <v>0</v>
      </c>
      <c r="I308" s="1109" t="s">
        <v>1014</v>
      </c>
      <c r="J308" s="1111" cm="1">
        <f t="array" ref="J308">_xlfn.XLOOKUP(B308,HW_COST[[#All],[PART NUMBER]],HW_COST[[#All],[UNIT COST]])</f>
        <v>0.57999999999999996</v>
      </c>
      <c r="K308" s="1110">
        <f t="shared" si="63"/>
        <v>0</v>
      </c>
      <c r="L308" s="1111"/>
      <c r="M308" s="378"/>
    </row>
    <row r="309" spans="2:13">
      <c r="B309" s="56" t="s">
        <v>822</v>
      </c>
      <c r="H309" s="274">
        <f t="shared" si="62"/>
        <v>0</v>
      </c>
      <c r="I309" s="1109" t="s">
        <v>1014</v>
      </c>
      <c r="J309" s="1111" cm="1">
        <f t="array" ref="J309">_xlfn.XLOOKUP(B309,PP_COST[[#All],[PART NUMBER]],PP_COST[[#All],[UNIT COST]])</f>
        <v>260</v>
      </c>
      <c r="K309" s="1110">
        <f t="shared" si="63"/>
        <v>0</v>
      </c>
      <c r="L309" s="1111"/>
      <c r="M309" s="378"/>
    </row>
    <row r="310" spans="2:13">
      <c r="B310" s="1093" t="s">
        <v>840</v>
      </c>
      <c r="H310" s="274">
        <f t="shared" si="62"/>
        <v>0</v>
      </c>
      <c r="I310" s="1109" t="s">
        <v>1014</v>
      </c>
      <c r="J310" s="1111" cm="1">
        <f t="array" ref="J310">_xlfn.XLOOKUP(B310,HW_COST[[#All],[PART NUMBER]],HW_COST[[#All],[UNIT COST]])</f>
        <v>0.76580000000000004</v>
      </c>
      <c r="K310" s="1110">
        <f t="shared" si="63"/>
        <v>0</v>
      </c>
      <c r="L310" s="1111"/>
      <c r="M310" s="378"/>
    </row>
    <row r="311" spans="2:13">
      <c r="B311" s="1093" t="s">
        <v>842</v>
      </c>
      <c r="H311" s="274">
        <f t="shared" si="62"/>
        <v>0</v>
      </c>
      <c r="I311" s="1109" t="s">
        <v>1014</v>
      </c>
      <c r="J311" s="1111" cm="1">
        <f t="array" ref="J311">_xlfn.XLOOKUP(B311,HW_COST[[#All],[PART NUMBER]],HW_COST[[#All],[UNIT COST]])</f>
        <v>0.85319999999999996</v>
      </c>
      <c r="K311" s="1110">
        <f t="shared" si="63"/>
        <v>0</v>
      </c>
      <c r="L311" s="1111"/>
      <c r="M311" s="378"/>
    </row>
    <row r="312" spans="2:13">
      <c r="B312" s="1093" t="s">
        <v>846</v>
      </c>
      <c r="H312" s="274">
        <f t="shared" si="62"/>
        <v>0</v>
      </c>
      <c r="I312" s="1109" t="s">
        <v>1014</v>
      </c>
      <c r="J312" s="1111" cm="1">
        <f t="array" ref="J312">_xlfn.XLOOKUP(B312,HW_COST[[#All],[PART NUMBER]],HW_COST[[#All],[UNIT COST]])</f>
        <v>1.06</v>
      </c>
      <c r="K312" s="1110">
        <f t="shared" si="63"/>
        <v>0</v>
      </c>
      <c r="L312" s="1111"/>
      <c r="M312" s="378"/>
    </row>
    <row r="313" spans="2:13">
      <c r="B313" s="56" t="s">
        <v>848</v>
      </c>
      <c r="H313" s="274">
        <f t="shared" si="62"/>
        <v>0</v>
      </c>
      <c r="I313" s="1109" t="s">
        <v>1014</v>
      </c>
      <c r="J313" s="1111" cm="1">
        <f t="array" ref="J313">_xlfn.XLOOKUP(B313,HW_COST[[#All],[PART NUMBER]],HW_COST[[#All],[UNIT COST]])</f>
        <v>0.32250000000000001</v>
      </c>
      <c r="K313" s="1110">
        <f t="shared" si="63"/>
        <v>0</v>
      </c>
      <c r="L313" s="1111"/>
      <c r="M313" s="378"/>
    </row>
    <row r="314" spans="2:13">
      <c r="B314" s="56" t="s">
        <v>850</v>
      </c>
      <c r="H314" s="274">
        <f t="shared" si="62"/>
        <v>0</v>
      </c>
      <c r="I314" s="1109" t="s">
        <v>1014</v>
      </c>
      <c r="J314" s="1111" cm="1">
        <f t="array" ref="J314">_xlfn.XLOOKUP(B314,HW_COST[[#All],[PART NUMBER]],HW_COST[[#All],[UNIT COST]])</f>
        <v>1.46</v>
      </c>
      <c r="K314" s="1110">
        <f t="shared" si="63"/>
        <v>0</v>
      </c>
      <c r="L314" s="1111"/>
      <c r="M314" s="378"/>
    </row>
    <row r="315" spans="2:13">
      <c r="B315" s="1093" t="s">
        <v>854</v>
      </c>
      <c r="H315" s="274">
        <f t="shared" si="62"/>
        <v>0</v>
      </c>
      <c r="I315" s="1109" t="s">
        <v>1014</v>
      </c>
      <c r="J315" s="1111" cm="1">
        <f t="array" ref="J315">_xlfn.XLOOKUP(B315,HW_COST[[#All],[PART NUMBER]],HW_COST[[#All],[UNIT COST]])</f>
        <v>1.665</v>
      </c>
      <c r="K315" s="1110">
        <f t="shared" si="63"/>
        <v>0</v>
      </c>
      <c r="L315" s="1111"/>
      <c r="M315" s="378"/>
    </row>
    <row r="316" spans="2:13">
      <c r="B316" s="1093" t="s">
        <v>860</v>
      </c>
      <c r="H316" s="274">
        <f t="shared" si="62"/>
        <v>0</v>
      </c>
      <c r="I316" s="1109" t="s">
        <v>1014</v>
      </c>
      <c r="J316" s="1111" cm="1">
        <f t="array" ref="J316">_xlfn.XLOOKUP(B316,HW_COST[[#All],[PART NUMBER]],HW_COST[[#All],[UNIT COST]])</f>
        <v>3.1977000000000002</v>
      </c>
      <c r="K316" s="1110">
        <f t="shared" si="63"/>
        <v>0</v>
      </c>
      <c r="L316" s="1111"/>
      <c r="M316" s="378"/>
    </row>
    <row r="317" spans="2:13">
      <c r="B317" s="56" t="s">
        <v>864</v>
      </c>
      <c r="H317" s="274">
        <f t="shared" si="62"/>
        <v>0</v>
      </c>
      <c r="I317" s="1109" t="s">
        <v>1014</v>
      </c>
      <c r="J317" s="1111" cm="1">
        <f t="array" ref="J317">_xlfn.XLOOKUP(B317,HW_COST[[#All],[PART NUMBER]],HW_COST[[#All],[UNIT COST]])</f>
        <v>0.39290000000000003</v>
      </c>
      <c r="K317" s="1110">
        <f t="shared" si="63"/>
        <v>0</v>
      </c>
      <c r="L317" s="1111"/>
      <c r="M317" s="378"/>
    </row>
    <row r="318" spans="2:13">
      <c r="B318" s="1093" t="s">
        <v>866</v>
      </c>
      <c r="H318" s="274">
        <f t="shared" si="62"/>
        <v>0</v>
      </c>
      <c r="I318" s="1109" t="s">
        <v>1014</v>
      </c>
      <c r="J318" s="1111" cm="1">
        <f t="array" ref="J318">_xlfn.XLOOKUP(B318,HW_COST[[#All],[PART NUMBER]],HW_COST[[#All],[UNIT COST]])</f>
        <v>0</v>
      </c>
      <c r="K318" s="1110">
        <f t="shared" si="63"/>
        <v>0</v>
      </c>
      <c r="L318" s="1111"/>
      <c r="M318" s="378"/>
    </row>
    <row r="319" spans="2:13">
      <c r="B319" s="1093" t="s">
        <v>868</v>
      </c>
      <c r="H319" s="274">
        <f t="shared" si="62"/>
        <v>0</v>
      </c>
      <c r="I319" s="1109" t="s">
        <v>1014</v>
      </c>
      <c r="J319" s="1111" cm="1">
        <f t="array" ref="J319">_xlfn.XLOOKUP(B319,HW_COST[[#All],[PART NUMBER]],HW_COST[[#All],[UNIT COST]])</f>
        <v>0</v>
      </c>
      <c r="K319" s="1110">
        <f t="shared" si="63"/>
        <v>0</v>
      </c>
      <c r="L319" s="1111"/>
      <c r="M319" s="378"/>
    </row>
    <row r="320" spans="2:13">
      <c r="B320" s="1093" t="s">
        <v>870</v>
      </c>
      <c r="H320" s="274">
        <f t="shared" si="62"/>
        <v>0</v>
      </c>
      <c r="I320" s="1109" t="s">
        <v>1014</v>
      </c>
      <c r="J320" s="1111" cm="1">
        <f t="array" ref="J320">_xlfn.XLOOKUP(B320,HW_COST[[#All],[PART NUMBER]],HW_COST[[#All],[UNIT COST]])</f>
        <v>4.2103000000000002</v>
      </c>
      <c r="K320" s="1110">
        <f t="shared" si="63"/>
        <v>0</v>
      </c>
      <c r="L320" s="1111"/>
      <c r="M320" s="378"/>
    </row>
    <row r="321" spans="2:13">
      <c r="B321" s="56" t="s">
        <v>824</v>
      </c>
      <c r="H321" s="274">
        <f t="shared" si="62"/>
        <v>0</v>
      </c>
      <c r="I321" s="1109" t="s">
        <v>1014</v>
      </c>
      <c r="J321" s="1111" cm="1">
        <f t="array" ref="J321">_xlfn.XLOOKUP(B321,HW_COST[[#All],[PART NUMBER]],HW_COST[[#All],[UNIT COST]])</f>
        <v>100</v>
      </c>
      <c r="K321" s="1110">
        <f t="shared" si="63"/>
        <v>0</v>
      </c>
      <c r="L321" s="1111"/>
      <c r="M321" s="378"/>
    </row>
    <row r="322" spans="2:13">
      <c r="B322" s="56" t="s">
        <v>1221</v>
      </c>
      <c r="H322" s="274">
        <f t="shared" si="62"/>
        <v>0</v>
      </c>
      <c r="I322" s="1109" t="s">
        <v>1014</v>
      </c>
      <c r="J322" s="1111" t="e" cm="1">
        <f t="array" ref="J322">_xlfn.XLOOKUP(B322,PP_COST[[#All],[PART NUMBER]],PP_COST[[#All],[UNIT COST]])</f>
        <v>#N/A</v>
      </c>
      <c r="K322" s="1110" t="e">
        <f t="shared" si="63"/>
        <v>#N/A</v>
      </c>
      <c r="L322" s="1111"/>
      <c r="M322" s="378"/>
    </row>
    <row r="324" spans="2:13">
      <c r="J324" s="358" t="s">
        <v>917</v>
      </c>
      <c r="K324" s="675" t="e">
        <f>SUM(K271:K323)</f>
        <v>#N/A</v>
      </c>
      <c r="M324" s="69" t="e">
        <f>V230</f>
        <v>#N/A</v>
      </c>
    </row>
  </sheetData>
  <autoFilter ref="A2:R227" xr:uid="{5AEB82E8-8C99-44AE-9ED9-299148BA931C}">
    <filterColumn colId="2" showButton="0"/>
    <filterColumn colId="3" showButton="0"/>
  </autoFilter>
  <mergeCells count="153">
    <mergeCell ref="C222:E222"/>
    <mergeCell ref="C223:E223"/>
    <mergeCell ref="C224:E224"/>
    <mergeCell ref="C225:E225"/>
    <mergeCell ref="C226:E226"/>
    <mergeCell ref="C216:E216"/>
    <mergeCell ref="C217:E217"/>
    <mergeCell ref="C218:E218"/>
    <mergeCell ref="C219:E219"/>
    <mergeCell ref="C220:E220"/>
    <mergeCell ref="C221:E221"/>
    <mergeCell ref="C210:E210"/>
    <mergeCell ref="C183:E183"/>
    <mergeCell ref="C209:E209"/>
    <mergeCell ref="C211:E211"/>
    <mergeCell ref="C212:E212"/>
    <mergeCell ref="C213:E213"/>
    <mergeCell ref="C215:E215"/>
    <mergeCell ref="C206:E206"/>
    <mergeCell ref="C199:E199"/>
    <mergeCell ref="C200:E200"/>
    <mergeCell ref="C207:E207"/>
    <mergeCell ref="C208:E208"/>
    <mergeCell ref="C201:E201"/>
    <mergeCell ref="C214:E214"/>
    <mergeCell ref="C205:E205"/>
    <mergeCell ref="I184:J184"/>
    <mergeCell ref="C187:E187"/>
    <mergeCell ref="C203:E203"/>
    <mergeCell ref="C204:E204"/>
    <mergeCell ref="C177:E177"/>
    <mergeCell ref="C178:E178"/>
    <mergeCell ref="C179:E179"/>
    <mergeCell ref="C180:E180"/>
    <mergeCell ref="C181:E181"/>
    <mergeCell ref="C182:E182"/>
    <mergeCell ref="C194:E194"/>
    <mergeCell ref="C195:E195"/>
    <mergeCell ref="C196:E196"/>
    <mergeCell ref="C197:E197"/>
    <mergeCell ref="C198:E198"/>
    <mergeCell ref="C188:E188"/>
    <mergeCell ref="C189:E189"/>
    <mergeCell ref="C190:E190"/>
    <mergeCell ref="C191:E191"/>
    <mergeCell ref="C192:E192"/>
    <mergeCell ref="C193:E193"/>
    <mergeCell ref="C202:E202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60:E160"/>
    <mergeCell ref="C161:E161"/>
    <mergeCell ref="C162:E162"/>
    <mergeCell ref="C163:E163"/>
    <mergeCell ref="C164:E164"/>
    <mergeCell ref="C152:E152"/>
    <mergeCell ref="C153:E153"/>
    <mergeCell ref="C154:E154"/>
    <mergeCell ref="C155:E155"/>
    <mergeCell ref="C156:E156"/>
    <mergeCell ref="I157:J157"/>
    <mergeCell ref="C145:E145"/>
    <mergeCell ref="C146:E146"/>
    <mergeCell ref="I147:J147"/>
    <mergeCell ref="C150:E150"/>
    <mergeCell ref="C151:E151"/>
    <mergeCell ref="C139:E139"/>
    <mergeCell ref="C140:E140"/>
    <mergeCell ref="C141:E141"/>
    <mergeCell ref="C142:E142"/>
    <mergeCell ref="C143:E143"/>
    <mergeCell ref="C144:E144"/>
    <mergeCell ref="C132:E132"/>
    <mergeCell ref="I133:J133"/>
    <mergeCell ref="C136:E136"/>
    <mergeCell ref="C137:E137"/>
    <mergeCell ref="C138:E138"/>
    <mergeCell ref="C126:E126"/>
    <mergeCell ref="C127:E127"/>
    <mergeCell ref="C128:E128"/>
    <mergeCell ref="C129:E129"/>
    <mergeCell ref="C130:E130"/>
    <mergeCell ref="C131:E131"/>
    <mergeCell ref="C95:E95"/>
    <mergeCell ref="C96:E96"/>
    <mergeCell ref="C115:E115"/>
    <mergeCell ref="C116:E116"/>
    <mergeCell ref="C117:E117"/>
    <mergeCell ref="I118:J118"/>
    <mergeCell ref="C125:E125"/>
    <mergeCell ref="C109:E109"/>
    <mergeCell ref="C110:E110"/>
    <mergeCell ref="C111:E111"/>
    <mergeCell ref="C112:E112"/>
    <mergeCell ref="C113:E113"/>
    <mergeCell ref="C114:E114"/>
    <mergeCell ref="I72:J72"/>
    <mergeCell ref="C89:E89"/>
    <mergeCell ref="C90:E90"/>
    <mergeCell ref="C91:E91"/>
    <mergeCell ref="C92:E92"/>
    <mergeCell ref="C93:E93"/>
    <mergeCell ref="C94:E94"/>
    <mergeCell ref="C83:E83"/>
    <mergeCell ref="C84:E84"/>
    <mergeCell ref="C85:E85"/>
    <mergeCell ref="C86:E86"/>
    <mergeCell ref="C87:E87"/>
    <mergeCell ref="C88:E88"/>
    <mergeCell ref="C63:E63"/>
    <mergeCell ref="C64:E64"/>
    <mergeCell ref="C65:E65"/>
    <mergeCell ref="C68:E68"/>
    <mergeCell ref="C69:E69"/>
    <mergeCell ref="C70:E70"/>
    <mergeCell ref="C71:E71"/>
    <mergeCell ref="C66:E66"/>
    <mergeCell ref="C67:E67"/>
    <mergeCell ref="C26:E26"/>
    <mergeCell ref="C27:E27"/>
    <mergeCell ref="C28:E28"/>
    <mergeCell ref="I29:J29"/>
    <mergeCell ref="C24:E24"/>
    <mergeCell ref="C25:E25"/>
    <mergeCell ref="C62:E62"/>
    <mergeCell ref="C47:E47"/>
    <mergeCell ref="C48:E48"/>
    <mergeCell ref="I49:J49"/>
    <mergeCell ref="C44:E44"/>
    <mergeCell ref="C45:E45"/>
    <mergeCell ref="C46:E46"/>
    <mergeCell ref="A1:R1"/>
    <mergeCell ref="C2:E2"/>
    <mergeCell ref="C4:E4"/>
    <mergeCell ref="C5:E5"/>
    <mergeCell ref="C6:E6"/>
    <mergeCell ref="I13:J13"/>
    <mergeCell ref="C7:E7"/>
    <mergeCell ref="C8:E8"/>
    <mergeCell ref="C9:E9"/>
    <mergeCell ref="C10:E10"/>
    <mergeCell ref="C11:E11"/>
    <mergeCell ref="C12:E12"/>
  </mergeCells>
  <conditionalFormatting sqref="B258:B265">
    <cfRule type="duplicateValues" dxfId="90" priority="1"/>
  </conditionalFormatting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DD547-7E7B-4413-A62B-6DA4542568DD}">
  <sheetPr codeName="Sheet16">
    <tabColor theme="9" tint="0.39997558519241921"/>
  </sheetPr>
  <dimension ref="A1:X168"/>
  <sheetViews>
    <sheetView zoomScaleNormal="100" workbookViewId="0">
      <pane ySplit="2" topLeftCell="A108" activePane="bottomLeft" state="frozen"/>
      <selection activeCell="B38" sqref="B38"/>
      <selection pane="bottomLeft" activeCell="B38" sqref="B38"/>
    </sheetView>
  </sheetViews>
  <sheetFormatPr defaultRowHeight="15" outlineLevelRow="1"/>
  <cols>
    <col min="1" max="1" width="9.140625" style="56"/>
    <col min="2" max="2" width="20.140625" style="56" customWidth="1"/>
    <col min="3" max="3" width="10.5703125" style="56" bestFit="1" customWidth="1"/>
    <col min="4" max="4" width="12.7109375" style="56" bestFit="1" customWidth="1"/>
    <col min="5" max="5" width="9.140625" style="56"/>
    <col min="6" max="6" width="13.5703125" style="56" customWidth="1"/>
    <col min="7" max="7" width="11.42578125" style="56" customWidth="1"/>
    <col min="8" max="9" width="9.140625" style="56"/>
    <col min="10" max="10" width="11.85546875" style="56" customWidth="1"/>
    <col min="11" max="11" width="11.5703125" style="56" customWidth="1"/>
    <col min="12" max="14" width="13.28515625" style="56" customWidth="1"/>
    <col min="15" max="15" width="11.5703125" style="56" customWidth="1"/>
    <col min="16" max="17" width="11.28515625" style="56" customWidth="1"/>
    <col min="18" max="18" width="15" style="56" customWidth="1"/>
    <col min="19" max="19" width="10" style="56" bestFit="1" customWidth="1"/>
    <col min="20" max="20" width="10.85546875" style="56" customWidth="1"/>
    <col min="21" max="21" width="10.5703125" style="56" customWidth="1"/>
    <col min="22" max="22" width="12.5703125" style="56" customWidth="1"/>
    <col min="23" max="23" width="12.85546875" style="56" customWidth="1"/>
    <col min="24" max="27" width="9.140625" style="56"/>
    <col min="28" max="28" width="11.85546875" style="56" customWidth="1"/>
    <col min="29" max="31" width="9.140625" style="56"/>
    <col min="32" max="32" width="10.5703125" style="56" customWidth="1"/>
    <col min="33" max="16384" width="9.140625" style="56"/>
  </cols>
  <sheetData>
    <row r="1" spans="1:23" ht="15.75" thickBot="1">
      <c r="A1" s="678" t="s">
        <v>1266</v>
      </c>
      <c r="B1" s="679"/>
      <c r="C1" s="679"/>
      <c r="D1" s="679"/>
      <c r="E1" s="679"/>
      <c r="F1" s="679"/>
      <c r="G1" s="679"/>
      <c r="H1" s="679"/>
      <c r="I1" s="679"/>
      <c r="J1" s="679"/>
      <c r="K1" s="679"/>
      <c r="L1" s="679"/>
      <c r="M1" s="679"/>
      <c r="N1" s="679"/>
      <c r="O1" s="679"/>
      <c r="P1" s="679"/>
      <c r="Q1" s="679"/>
      <c r="R1" s="680"/>
    </row>
    <row r="2" spans="1:23" ht="39.75" customHeight="1" thickBot="1">
      <c r="A2" s="71" t="s">
        <v>715</v>
      </c>
      <c r="B2" s="351" t="s">
        <v>763</v>
      </c>
      <c r="C2" s="1646" t="s">
        <v>985</v>
      </c>
      <c r="D2" s="1647"/>
      <c r="E2" s="1647"/>
      <c r="F2" s="71" t="s">
        <v>986</v>
      </c>
      <c r="G2" s="72" t="s">
        <v>987</v>
      </c>
      <c r="H2" s="72" t="s">
        <v>988</v>
      </c>
      <c r="I2" s="72" t="s">
        <v>989</v>
      </c>
      <c r="J2" s="72" t="s">
        <v>990</v>
      </c>
      <c r="K2" s="72" t="s">
        <v>991</v>
      </c>
      <c r="L2" s="72" t="s">
        <v>992</v>
      </c>
      <c r="M2" s="72" t="s">
        <v>993</v>
      </c>
      <c r="N2" s="72" t="s">
        <v>994</v>
      </c>
      <c r="O2" s="72" t="s">
        <v>995</v>
      </c>
      <c r="P2" s="72" t="s">
        <v>996</v>
      </c>
      <c r="Q2" s="72" t="s">
        <v>997</v>
      </c>
      <c r="R2" s="72" t="s">
        <v>998</v>
      </c>
      <c r="S2" s="272" t="s">
        <v>623</v>
      </c>
      <c r="T2" s="272" t="s">
        <v>999</v>
      </c>
      <c r="U2" s="272" t="s">
        <v>1000</v>
      </c>
      <c r="V2" s="272" t="s">
        <v>1001</v>
      </c>
      <c r="W2" s="273" t="s">
        <v>1002</v>
      </c>
    </row>
    <row r="3" spans="1:23" ht="15.75" thickBot="1">
      <c r="A3" s="354" t="str">
        <f>Belt_W&amp;" IN. BELT"</f>
        <v xml:space="preserve"> IN. BELT</v>
      </c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74">
        <f>DP_L/10</f>
        <v>0</v>
      </c>
      <c r="T3" s="133">
        <f>H8*S3</f>
        <v>0</v>
      </c>
      <c r="U3" s="134">
        <f>G7*S3</f>
        <v>0</v>
      </c>
      <c r="V3" s="133">
        <f>F8*S3</f>
        <v>0</v>
      </c>
      <c r="W3" s="133">
        <f>K8*S3</f>
        <v>0</v>
      </c>
    </row>
    <row r="4" spans="1:23" outlineLevel="1">
      <c r="A4" s="135">
        <v>1</v>
      </c>
      <c r="B4" s="135" cm="1">
        <f t="array" ref="B4">_xlfn.XLOOKUP(G4,SM_TBL[[#All],[Thickness]],SM_TBL[[#All],[MoC_PN]])</f>
        <v>101871</v>
      </c>
      <c r="C4" s="1755" t="s">
        <v>1267</v>
      </c>
      <c r="D4" s="1755"/>
      <c r="E4" s="1755"/>
      <c r="F4" s="136" t="s">
        <v>1005</v>
      </c>
      <c r="G4" s="137">
        <v>7.51E-2</v>
      </c>
      <c r="H4" s="137">
        <f>Belt_W+19.25</f>
        <v>19.25</v>
      </c>
      <c r="I4" s="137">
        <v>121.5</v>
      </c>
      <c r="J4" s="135">
        <v>0.28899999999999998</v>
      </c>
      <c r="K4" s="138">
        <f>G4*H4*I4*J4</f>
        <v>50.762709112499998</v>
      </c>
      <c r="L4" s="1113" t="s">
        <v>92</v>
      </c>
      <c r="M4" s="138">
        <f>A4*K4</f>
        <v>50.762709112499998</v>
      </c>
      <c r="N4" s="138">
        <f>$S$3*M4</f>
        <v>0</v>
      </c>
      <c r="O4" s="139">
        <f>M4</f>
        <v>50.762709112499998</v>
      </c>
      <c r="P4" s="1114" cm="1">
        <f t="array" ref="P4">_xlfn.XLOOKUP(B4,MET_PRICE[[#All],[Part Number]],MET_PRICE[[#All],[Price ($/lb) Domestic]])</f>
        <v>2.89</v>
      </c>
      <c r="Q4" s="1114">
        <f>P4*M4</f>
        <v>146.70422933512501</v>
      </c>
      <c r="R4" s="1114">
        <f>N4*P4</f>
        <v>0</v>
      </c>
    </row>
    <row r="5" spans="1:23" outlineLevel="1">
      <c r="A5" s="142">
        <v>8</v>
      </c>
      <c r="B5" s="142" cm="1">
        <f t="array" ref="B5">_xlfn.XLOOKUP(G5,SM_TBL[[#All],[Thickness]],SM_TBL[[#All],[MoC_PN]])</f>
        <v>101871</v>
      </c>
      <c r="C5" s="1754" t="s">
        <v>1268</v>
      </c>
      <c r="D5" s="1754"/>
      <c r="E5" s="1754"/>
      <c r="F5" s="143" t="s">
        <v>1005</v>
      </c>
      <c r="G5" s="142">
        <v>7.51E-2</v>
      </c>
      <c r="H5" s="142">
        <v>2</v>
      </c>
      <c r="I5" s="142">
        <v>11</v>
      </c>
      <c r="J5" s="142">
        <v>0.28899999999999998</v>
      </c>
      <c r="K5" s="144">
        <f>G5*H5*I5*J5</f>
        <v>0.47748580000000002</v>
      </c>
      <c r="L5" s="144" t="s">
        <v>92</v>
      </c>
      <c r="M5" s="144">
        <f t="shared" ref="M5:M6" si="0">A5*K5</f>
        <v>3.8198864000000001</v>
      </c>
      <c r="N5" s="144">
        <f>$S$3*M5</f>
        <v>0</v>
      </c>
      <c r="O5" s="145">
        <f>M5</f>
        <v>3.8198864000000001</v>
      </c>
      <c r="P5" s="1116" cm="1">
        <f t="array" ref="P5">_xlfn.XLOOKUP(B5,MET_PRICE[[#All],[Part Number]],MET_PRICE[[#All],[Price ($/lb) Domestic]])</f>
        <v>2.89</v>
      </c>
      <c r="Q5" s="1116">
        <f t="shared" ref="Q5:Q6" si="1">P5*M5</f>
        <v>11.039471696000001</v>
      </c>
      <c r="R5" s="1116">
        <f t="shared" ref="R5:R6" si="2">N5*P5</f>
        <v>0</v>
      </c>
    </row>
    <row r="6" spans="1:23" outlineLevel="1">
      <c r="A6" s="135">
        <v>16</v>
      </c>
      <c r="B6" s="1112" t="s">
        <v>840</v>
      </c>
      <c r="C6" s="1757" t="s">
        <v>1269</v>
      </c>
      <c r="D6" s="1685"/>
      <c r="E6" s="1685"/>
      <c r="F6" s="135" t="s">
        <v>911</v>
      </c>
      <c r="G6" s="1112" t="s">
        <v>824</v>
      </c>
      <c r="H6" s="135"/>
      <c r="I6" s="135"/>
      <c r="J6" s="135"/>
      <c r="K6" s="135">
        <v>1</v>
      </c>
      <c r="L6" s="1112" t="s">
        <v>1014</v>
      </c>
      <c r="M6" s="135">
        <f t="shared" si="0"/>
        <v>16</v>
      </c>
      <c r="N6" s="135">
        <f>$S$3*M6</f>
        <v>0</v>
      </c>
      <c r="O6" s="135"/>
      <c r="P6" s="1114" cm="1">
        <f t="array" ref="P6">_xlfn.XLOOKUP(B6,HW_COST[[#All],[PART NUMBER]],HW_COST[[#All],[UNIT COST]])</f>
        <v>0.76580000000000004</v>
      </c>
      <c r="Q6" s="1114">
        <f t="shared" si="1"/>
        <v>12.252800000000001</v>
      </c>
      <c r="R6" s="1114">
        <f t="shared" si="2"/>
        <v>0</v>
      </c>
    </row>
    <row r="7" spans="1:23" outlineLevel="1">
      <c r="A7" s="142"/>
      <c r="B7" s="142"/>
      <c r="C7" s="1753" t="s">
        <v>920</v>
      </c>
      <c r="D7" s="1753"/>
      <c r="E7" s="1753"/>
      <c r="F7" s="142"/>
      <c r="G7" s="142">
        <v>3</v>
      </c>
      <c r="H7" s="142" t="s">
        <v>1017</v>
      </c>
      <c r="I7" s="142"/>
      <c r="J7" s="142"/>
      <c r="K7" s="142"/>
      <c r="L7" s="142"/>
      <c r="M7" s="142"/>
      <c r="N7" s="142"/>
      <c r="O7" s="142"/>
      <c r="P7" s="142"/>
      <c r="Q7" s="142"/>
      <c r="R7" s="142"/>
    </row>
    <row r="8" spans="1:23">
      <c r="A8" s="254"/>
      <c r="B8" s="254"/>
      <c r="C8" s="254"/>
      <c r="D8" s="254"/>
      <c r="E8" s="255" t="s">
        <v>911</v>
      </c>
      <c r="F8" s="256">
        <f>SUMIF($F4:$F6,E8,$Q4:$Q6)</f>
        <v>12.252800000000001</v>
      </c>
      <c r="G8" s="255" t="s">
        <v>1005</v>
      </c>
      <c r="H8" s="256">
        <f>SUMIF($F4:$F6,G8,$Q4:$Q6)</f>
        <v>157.743701031125</v>
      </c>
      <c r="I8" s="254"/>
      <c r="J8" s="255" t="s">
        <v>914</v>
      </c>
      <c r="K8" s="256">
        <f>SUMIF($F4:$F6,J8,$Q4:$Q6)</f>
        <v>0</v>
      </c>
      <c r="L8" s="254"/>
      <c r="M8" s="254"/>
      <c r="N8" s="254" t="s">
        <v>1018</v>
      </c>
      <c r="O8" s="139">
        <f>SUM(O4:O7)</f>
        <v>54.582595512499999</v>
      </c>
      <c r="P8" s="257" t="s">
        <v>1019</v>
      </c>
      <c r="Q8" s="1183">
        <f>SUM(Q4:Q7)</f>
        <v>169.99650103112501</v>
      </c>
      <c r="R8" s="1114">
        <f>SUM(R4:R7)</f>
        <v>0</v>
      </c>
    </row>
    <row r="9" spans="1:23">
      <c r="C9" s="1756"/>
      <c r="D9" s="1756"/>
      <c r="E9" s="1756"/>
      <c r="F9" s="274"/>
    </row>
    <row r="10" spans="1:23" ht="15.75" thickBot="1"/>
    <row r="11" spans="1:23" ht="15.75" thickBot="1">
      <c r="A11" s="681" t="s">
        <v>1270</v>
      </c>
      <c r="B11" s="682"/>
      <c r="C11" s="682"/>
      <c r="D11" s="682"/>
      <c r="E11" s="682"/>
      <c r="F11" s="682"/>
      <c r="G11" s="682"/>
      <c r="H11" s="682"/>
      <c r="I11" s="682"/>
      <c r="J11" s="682"/>
      <c r="K11" s="682"/>
      <c r="L11" s="682"/>
      <c r="M11" s="682"/>
      <c r="N11" s="682"/>
      <c r="O11" s="682"/>
      <c r="P11" s="682"/>
      <c r="Q11" s="682"/>
      <c r="R11" s="683"/>
    </row>
    <row r="12" spans="1:23" ht="15.75" thickBot="1">
      <c r="A12" s="354" t="str">
        <f>Belt_W&amp;" IN. BELT"</f>
        <v xml:space="preserve"> IN. BELT</v>
      </c>
      <c r="B12" s="355"/>
      <c r="C12" s="355"/>
      <c r="D12" s="355"/>
      <c r="E12" s="355"/>
      <c r="F12" s="355"/>
      <c r="G12" s="355"/>
      <c r="H12" s="355"/>
      <c r="I12" s="355"/>
      <c r="J12" s="355"/>
      <c r="K12" s="355"/>
      <c r="L12" s="355"/>
      <c r="M12" s="355"/>
      <c r="N12" s="355"/>
      <c r="O12" s="355"/>
      <c r="P12" s="355"/>
      <c r="Q12" s="355"/>
      <c r="R12" s="355"/>
      <c r="S12" s="97">
        <f>(SB_L*2)/10</f>
        <v>0</v>
      </c>
      <c r="T12" s="153" t="e">
        <f>H20*S12</f>
        <v>#N/A</v>
      </c>
      <c r="U12" s="154">
        <f>G19*S12</f>
        <v>0</v>
      </c>
      <c r="V12" s="153">
        <f>F20*S12</f>
        <v>0</v>
      </c>
      <c r="W12" s="153">
        <f>K20*S12</f>
        <v>0</v>
      </c>
    </row>
    <row r="13" spans="1:23" outlineLevel="1">
      <c r="A13" s="135">
        <v>1</v>
      </c>
      <c r="B13" s="135" cm="1">
        <f t="array" ref="B13">_xlfn.XLOOKUP(G13,SM_TBL[[#All],[Thickness]],SM_TBL[[#All],[MoC_PN]])</f>
        <v>101869</v>
      </c>
      <c r="C13" s="1755" t="s">
        <v>1271</v>
      </c>
      <c r="D13" s="1755"/>
      <c r="E13" s="1755"/>
      <c r="F13" s="136" t="s">
        <v>1005</v>
      </c>
      <c r="G13" s="137">
        <v>0.12</v>
      </c>
      <c r="H13" s="137">
        <v>10.77</v>
      </c>
      <c r="I13" s="137">
        <v>120</v>
      </c>
      <c r="J13" s="135">
        <v>0.28899999999999998</v>
      </c>
      <c r="K13" s="138">
        <f>G13*H13*I13*J13</f>
        <v>44.820431999999997</v>
      </c>
      <c r="L13" s="138" t="s">
        <v>92</v>
      </c>
      <c r="M13" s="138">
        <f t="shared" ref="M13:M18" si="3">A13*K13</f>
        <v>44.820431999999997</v>
      </c>
      <c r="N13" s="138">
        <f>$S$12*M13</f>
        <v>0</v>
      </c>
      <c r="O13" s="139">
        <f>M13</f>
        <v>44.820431999999997</v>
      </c>
      <c r="P13" s="1114" cm="1">
        <f t="array" ref="P13">_xlfn.XLOOKUP(B13,MET_PRICE[[#All],[Part Number]],MET_PRICE[[#All],[Price ($/lb) Domestic]])</f>
        <v>2.89</v>
      </c>
      <c r="Q13" s="1114">
        <f t="shared" ref="Q13:Q18" si="4">P13*M13</f>
        <v>129.53104848000001</v>
      </c>
      <c r="R13" s="1114">
        <f t="shared" ref="R13:R18" si="5">N13*P13</f>
        <v>0</v>
      </c>
    </row>
    <row r="14" spans="1:23" outlineLevel="1">
      <c r="A14" s="142">
        <v>3</v>
      </c>
      <c r="B14" s="142" cm="1">
        <f t="array" ref="B14">_xlfn.XLOOKUP(G14,SM_TBL[[#All],[Thickness]],SM_TBL[[#All],[MoC_PN]])</f>
        <v>101961</v>
      </c>
      <c r="C14" s="1754" t="s">
        <v>1272</v>
      </c>
      <c r="D14" s="1754"/>
      <c r="E14" s="1754"/>
      <c r="F14" s="143" t="s">
        <v>1005</v>
      </c>
      <c r="G14" s="142">
        <v>0.375</v>
      </c>
      <c r="H14" s="142">
        <v>2</v>
      </c>
      <c r="I14" s="142" t="e">
        <f>_xlfn.XLOOKUP(Belt_W,T15:T19,U15:U19)</f>
        <v>#N/A</v>
      </c>
      <c r="J14" s="142">
        <v>0.28899999999999998</v>
      </c>
      <c r="K14" s="144" t="e">
        <f t="shared" ref="K14:K15" si="6">G14*H14*I14*J14</f>
        <v>#N/A</v>
      </c>
      <c r="L14" s="144" t="s">
        <v>92</v>
      </c>
      <c r="M14" s="144" t="e">
        <f t="shared" si="3"/>
        <v>#N/A</v>
      </c>
      <c r="N14" s="144" t="e">
        <f t="shared" ref="N14:N18" si="7">$S$12*M14</f>
        <v>#N/A</v>
      </c>
      <c r="O14" s="145" t="e">
        <f t="shared" ref="O14:O15" si="8">M14</f>
        <v>#N/A</v>
      </c>
      <c r="P14" s="1116" cm="1">
        <f t="array" ref="P14">_xlfn.XLOOKUP(B14,MET_PRICE[[#All],[Part Number]],MET_PRICE[[#All],[Price ($/lb) Domestic]])</f>
        <v>2.7</v>
      </c>
      <c r="Q14" s="1116" t="e">
        <f t="shared" si="4"/>
        <v>#N/A</v>
      </c>
      <c r="R14" s="1116" t="e">
        <f t="shared" si="5"/>
        <v>#N/A</v>
      </c>
      <c r="T14" s="360" t="s">
        <v>1273</v>
      </c>
      <c r="U14" s="360" t="s">
        <v>1274</v>
      </c>
    </row>
    <row r="15" spans="1:23" outlineLevel="1">
      <c r="A15" s="135">
        <v>10</v>
      </c>
      <c r="B15" s="135" cm="1">
        <f t="array" ref="B15">_xlfn.XLOOKUP(G15,SM_TBL[[#All],[Thickness]],SM_TBL[[#All],[MoC_PN]])</f>
        <v>101871</v>
      </c>
      <c r="C15" s="1759" t="s">
        <v>1275</v>
      </c>
      <c r="D15" s="1759"/>
      <c r="E15" s="1759"/>
      <c r="F15" s="147" t="s">
        <v>1005</v>
      </c>
      <c r="G15" s="135">
        <v>7.51E-2</v>
      </c>
      <c r="H15" s="135">
        <v>6</v>
      </c>
      <c r="I15" s="135">
        <v>6</v>
      </c>
      <c r="J15" s="135">
        <v>0.28899999999999998</v>
      </c>
      <c r="K15" s="138">
        <f t="shared" si="6"/>
        <v>0.78134039999999993</v>
      </c>
      <c r="L15" s="138" t="s">
        <v>92</v>
      </c>
      <c r="M15" s="138">
        <f t="shared" si="3"/>
        <v>7.8134039999999993</v>
      </c>
      <c r="N15" s="138">
        <f t="shared" si="7"/>
        <v>0</v>
      </c>
      <c r="O15" s="139">
        <f t="shared" si="8"/>
        <v>7.8134039999999993</v>
      </c>
      <c r="P15" s="1114" cm="1">
        <f t="array" ref="P15">_xlfn.XLOOKUP(B15,MET_PRICE[[#All],[Part Number]],MET_PRICE[[#All],[Price ($/lb) Domestic]])</f>
        <v>2.89</v>
      </c>
      <c r="Q15" s="1114">
        <f t="shared" si="4"/>
        <v>22.580737559999999</v>
      </c>
      <c r="R15" s="1114">
        <f t="shared" si="5"/>
        <v>0</v>
      </c>
      <c r="T15" s="274">
        <v>18</v>
      </c>
      <c r="U15" s="56">
        <v>31.405000000000001</v>
      </c>
    </row>
    <row r="16" spans="1:23" outlineLevel="1">
      <c r="A16" s="142">
        <v>1</v>
      </c>
      <c r="B16" s="142">
        <v>133689</v>
      </c>
      <c r="C16" s="1754" t="s">
        <v>1276</v>
      </c>
      <c r="D16" s="1754"/>
      <c r="E16" s="1754"/>
      <c r="F16" s="143" t="s">
        <v>914</v>
      </c>
      <c r="G16" s="142">
        <v>0.375</v>
      </c>
      <c r="H16" s="142">
        <v>4</v>
      </c>
      <c r="I16" s="142">
        <v>120</v>
      </c>
      <c r="J16" s="142">
        <v>0.61099999999999999</v>
      </c>
      <c r="K16" s="144">
        <f>I16/12</f>
        <v>10</v>
      </c>
      <c r="L16" s="1115" t="s">
        <v>28</v>
      </c>
      <c r="M16" s="144">
        <f t="shared" si="3"/>
        <v>10</v>
      </c>
      <c r="N16" s="144">
        <f t="shared" si="7"/>
        <v>0</v>
      </c>
      <c r="O16" s="145">
        <f>A16*J16</f>
        <v>0.61099999999999999</v>
      </c>
      <c r="P16" s="1116" cm="1">
        <f t="array" ref="P16">_xlfn.XLOOKUP(B16,RAW_100[[#All],[PartNum]],RAW_100[[#All],[UnitCost]])</f>
        <v>2.4500000000000002</v>
      </c>
      <c r="Q16" s="1116">
        <f t="shared" si="4"/>
        <v>24.5</v>
      </c>
      <c r="R16" s="1116">
        <f t="shared" si="5"/>
        <v>0</v>
      </c>
      <c r="T16" s="274">
        <v>24</v>
      </c>
      <c r="U16" s="56">
        <v>32.28</v>
      </c>
    </row>
    <row r="17" spans="1:23" outlineLevel="1">
      <c r="A17" s="135">
        <v>9</v>
      </c>
      <c r="B17" s="1112" t="s">
        <v>852</v>
      </c>
      <c r="C17" s="1685" t="s">
        <v>1277</v>
      </c>
      <c r="D17" s="1685"/>
      <c r="E17" s="1685"/>
      <c r="F17" s="135" t="s">
        <v>911</v>
      </c>
      <c r="G17" s="135" t="s">
        <v>824</v>
      </c>
      <c r="H17" s="135"/>
      <c r="I17" s="135"/>
      <c r="J17" s="135"/>
      <c r="K17" s="135">
        <v>1</v>
      </c>
      <c r="L17" s="1112" t="s">
        <v>1014</v>
      </c>
      <c r="M17" s="135">
        <f t="shared" si="3"/>
        <v>9</v>
      </c>
      <c r="N17" s="135">
        <f t="shared" si="7"/>
        <v>0</v>
      </c>
      <c r="O17" s="135"/>
      <c r="P17" s="1114" cm="1">
        <f t="array" ref="P17">_xlfn.XLOOKUP(B17,HW_COST[[#All],[PART NUMBER]],HW_COST[[#All],[UNIT COST]])</f>
        <v>1.58</v>
      </c>
      <c r="Q17" s="1114">
        <f t="shared" si="4"/>
        <v>14.22</v>
      </c>
      <c r="R17" s="1114">
        <f t="shared" si="5"/>
        <v>0</v>
      </c>
      <c r="T17" s="274">
        <v>30</v>
      </c>
      <c r="U17" s="56">
        <v>32.909999999999997</v>
      </c>
    </row>
    <row r="18" spans="1:23" outlineLevel="1">
      <c r="A18" s="142">
        <v>10</v>
      </c>
      <c r="B18" s="1118" t="s">
        <v>874</v>
      </c>
      <c r="C18" s="1758" t="s">
        <v>1278</v>
      </c>
      <c r="D18" s="1753"/>
      <c r="E18" s="1753"/>
      <c r="F18" s="142" t="s">
        <v>911</v>
      </c>
      <c r="G18" s="142" t="s">
        <v>824</v>
      </c>
      <c r="H18" s="142"/>
      <c r="I18" s="142"/>
      <c r="J18" s="142"/>
      <c r="K18" s="142">
        <v>1</v>
      </c>
      <c r="L18" s="1118" t="s">
        <v>1014</v>
      </c>
      <c r="M18" s="142">
        <f t="shared" si="3"/>
        <v>10</v>
      </c>
      <c r="N18" s="142">
        <f t="shared" si="7"/>
        <v>0</v>
      </c>
      <c r="O18" s="142"/>
      <c r="P18" s="1116" cm="1">
        <f t="array" ref="P18">_xlfn.XLOOKUP(B18,HW_COST[[#All],[PART NUMBER]],HW_COST[[#All],[UNIT COST]])</f>
        <v>1.0802</v>
      </c>
      <c r="Q18" s="1116">
        <f t="shared" si="4"/>
        <v>10.802</v>
      </c>
      <c r="R18" s="1116">
        <f t="shared" si="5"/>
        <v>0</v>
      </c>
      <c r="T18" s="274">
        <v>36</v>
      </c>
      <c r="U18" s="56">
        <v>33.655000000000001</v>
      </c>
    </row>
    <row r="19" spans="1:23" outlineLevel="1">
      <c r="A19" s="135"/>
      <c r="B19" s="135"/>
      <c r="C19" s="1685" t="s">
        <v>920</v>
      </c>
      <c r="D19" s="1685"/>
      <c r="E19" s="1685"/>
      <c r="F19" s="135"/>
      <c r="G19" s="135">
        <v>5</v>
      </c>
      <c r="H19" s="135" t="s">
        <v>1017</v>
      </c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T19" s="274">
        <v>48</v>
      </c>
      <c r="U19" s="56">
        <v>35.155000000000001</v>
      </c>
    </row>
    <row r="20" spans="1:23">
      <c r="A20" s="149"/>
      <c r="B20" s="149"/>
      <c r="C20" s="149"/>
      <c r="D20" s="149"/>
      <c r="E20" s="150" t="s">
        <v>911</v>
      </c>
      <c r="F20" s="151">
        <f>SUMIF($F13:$F18,E20,$Q13:$Q18)</f>
        <v>25.021999999999998</v>
      </c>
      <c r="G20" s="150" t="s">
        <v>1005</v>
      </c>
      <c r="H20" s="151" t="e">
        <f>SUMIF($F13:$F18,G20,$Q13:$Q18)</f>
        <v>#N/A</v>
      </c>
      <c r="I20" s="149"/>
      <c r="J20" s="150" t="s">
        <v>914</v>
      </c>
      <c r="K20" s="151">
        <f>SUMIF($F13:$F18,J20,$Q13:$Q18)</f>
        <v>24.5</v>
      </c>
      <c r="L20" s="149"/>
      <c r="M20" s="149"/>
      <c r="N20" s="149" t="s">
        <v>1018</v>
      </c>
      <c r="O20" s="145">
        <f>SUM(O16:O19)</f>
        <v>0.61099999999999999</v>
      </c>
      <c r="P20" s="152" t="s">
        <v>1019</v>
      </c>
      <c r="Q20" s="1119" t="e">
        <f>SUM(Q13:Q19)</f>
        <v>#N/A</v>
      </c>
      <c r="R20" s="1116" t="e">
        <f>SUM(R13:R19)</f>
        <v>#N/A</v>
      </c>
    </row>
    <row r="21" spans="1:23">
      <c r="C21" s="1756"/>
      <c r="D21" s="1756"/>
      <c r="E21" s="1756"/>
      <c r="F21" s="274"/>
    </row>
    <row r="22" spans="1:23" ht="15.75" thickBot="1"/>
    <row r="23" spans="1:23" ht="15.75" thickBot="1">
      <c r="A23" s="684" t="s">
        <v>1279</v>
      </c>
      <c r="B23" s="685"/>
      <c r="C23" s="685"/>
      <c r="D23" s="685"/>
      <c r="E23" s="685"/>
      <c r="F23" s="685"/>
      <c r="G23" s="685"/>
      <c r="H23" s="685"/>
      <c r="I23" s="685"/>
      <c r="J23" s="685"/>
      <c r="K23" s="685"/>
      <c r="L23" s="685"/>
      <c r="M23" s="685"/>
      <c r="N23" s="685"/>
      <c r="O23" s="685"/>
      <c r="P23" s="685"/>
      <c r="Q23" s="685"/>
      <c r="R23" s="686"/>
    </row>
    <row r="24" spans="1:23" ht="15.75" thickBot="1">
      <c r="A24" s="354" t="str">
        <f>Belt_W&amp;" IN. BELT"</f>
        <v xml:space="preserve"> IN. BELT</v>
      </c>
      <c r="B24" s="355"/>
      <c r="C24" s="355"/>
      <c r="D24" s="355"/>
      <c r="E24" s="355"/>
      <c r="F24" s="355"/>
      <c r="G24" s="355"/>
      <c r="H24" s="355"/>
      <c r="I24" s="355"/>
      <c r="J24" s="355"/>
      <c r="K24" s="355"/>
      <c r="L24" s="355"/>
      <c r="M24" s="355"/>
      <c r="N24" s="355"/>
      <c r="O24" s="355"/>
      <c r="P24" s="355"/>
      <c r="Q24" s="355"/>
      <c r="R24" s="355"/>
      <c r="S24" s="97">
        <f>DP_L/10</f>
        <v>0</v>
      </c>
      <c r="T24" s="153">
        <f>H34*S24</f>
        <v>0</v>
      </c>
      <c r="U24" s="154">
        <f>G33*S24</f>
        <v>0</v>
      </c>
      <c r="V24" s="153">
        <f>F34*S24</f>
        <v>0</v>
      </c>
      <c r="W24" s="153">
        <f>K34*S24</f>
        <v>0</v>
      </c>
    </row>
    <row r="25" spans="1:23" outlineLevel="1">
      <c r="A25" s="135">
        <v>2</v>
      </c>
      <c r="B25" s="135" cm="1">
        <f t="array" ref="B25">_xlfn.XLOOKUP(G25,SM_TBL[[#All],[Thickness]],SM_TBL[[#All],[MoC_PN]])</f>
        <v>101963</v>
      </c>
      <c r="C25" s="1755" t="s">
        <v>1280</v>
      </c>
      <c r="D25" s="1755"/>
      <c r="E25" s="1755"/>
      <c r="F25" s="136" t="s">
        <v>1005</v>
      </c>
      <c r="G25" s="137">
        <v>0.25</v>
      </c>
      <c r="H25" s="137">
        <v>9.01</v>
      </c>
      <c r="I25" s="137">
        <v>120</v>
      </c>
      <c r="J25" s="135">
        <v>0.28899999999999998</v>
      </c>
      <c r="K25" s="138">
        <f>G25*H25*I25*J25</f>
        <v>78.116699999999994</v>
      </c>
      <c r="L25" s="138" t="s">
        <v>92</v>
      </c>
      <c r="M25" s="138">
        <f t="shared" ref="M25:M32" si="9">A25*K25</f>
        <v>156.23339999999999</v>
      </c>
      <c r="N25" s="138">
        <f>$S$24*M25</f>
        <v>0</v>
      </c>
      <c r="O25" s="139">
        <f t="shared" ref="O25:O29" si="10">M25</f>
        <v>156.23339999999999</v>
      </c>
      <c r="P25" s="1114" cm="1">
        <f t="array" ref="P25">_xlfn.XLOOKUP(B25,MET_PRICE[[#All],[Part Number]],MET_PRICE[[#All],[Price ($/lb) Domestic]])</f>
        <v>2.65</v>
      </c>
      <c r="Q25" s="1114">
        <f t="shared" ref="Q25:Q32" si="11">P25*M25</f>
        <v>414.01850999999994</v>
      </c>
      <c r="R25" s="1114">
        <f>N25*P25</f>
        <v>0</v>
      </c>
    </row>
    <row r="26" spans="1:23" outlineLevel="1">
      <c r="A26" s="142">
        <v>1</v>
      </c>
      <c r="B26" s="142" cm="1">
        <f t="array" ref="B26">_xlfn.XLOOKUP(G26,SM_TBL[[#All],[Thickness]],SM_TBL[[#All],[MoC_PN]])</f>
        <v>101871</v>
      </c>
      <c r="C26" s="1754" t="s">
        <v>1281</v>
      </c>
      <c r="D26" s="1754"/>
      <c r="E26" s="1754"/>
      <c r="F26" s="143" t="s">
        <v>1005</v>
      </c>
      <c r="G26" s="142">
        <v>7.51E-2</v>
      </c>
      <c r="H26" s="142">
        <f>Belt_W+12.75</f>
        <v>12.75</v>
      </c>
      <c r="I26" s="142">
        <v>121.72</v>
      </c>
      <c r="J26" s="142">
        <v>0.28899999999999998</v>
      </c>
      <c r="K26" s="144">
        <f t="shared" ref="K26:K27" si="12">G26*H26*I26*J26</f>
        <v>33.682933526999996</v>
      </c>
      <c r="L26" s="144" t="s">
        <v>92</v>
      </c>
      <c r="M26" s="144">
        <f t="shared" si="9"/>
        <v>33.682933526999996</v>
      </c>
      <c r="N26" s="144">
        <f t="shared" ref="N26:N32" si="13">$S$24*M26</f>
        <v>0</v>
      </c>
      <c r="O26" s="145">
        <f t="shared" si="10"/>
        <v>33.682933526999996</v>
      </c>
      <c r="P26" s="1116" cm="1">
        <f t="array" ref="P26">_xlfn.XLOOKUP(B26,MET_PRICE[[#All],[Part Number]],MET_PRICE[[#All],[Price ($/lb) Domestic]])</f>
        <v>2.89</v>
      </c>
      <c r="Q26" s="1116">
        <f t="shared" si="11"/>
        <v>97.343677893029991</v>
      </c>
      <c r="R26" s="1116">
        <f t="shared" ref="R26:R32" si="14">N26*P26</f>
        <v>0</v>
      </c>
    </row>
    <row r="27" spans="1:23" outlineLevel="1">
      <c r="A27" s="135">
        <v>2</v>
      </c>
      <c r="B27" s="135" cm="1">
        <f t="array" ref="B27">_xlfn.XLOOKUP(G27,SM_TBL[[#All],[Thickness]],SM_TBL[[#All],[MoC_PN]])</f>
        <v>101963</v>
      </c>
      <c r="C27" s="1759" t="s">
        <v>1282</v>
      </c>
      <c r="D27" s="1759"/>
      <c r="E27" s="1759"/>
      <c r="F27" s="147" t="s">
        <v>1005</v>
      </c>
      <c r="G27" s="135">
        <v>0.25</v>
      </c>
      <c r="H27" s="135">
        <v>3.52</v>
      </c>
      <c r="I27" s="135">
        <f>Belt_W+13.29</f>
        <v>13.29</v>
      </c>
      <c r="J27" s="135">
        <v>0.28899999999999998</v>
      </c>
      <c r="K27" s="138">
        <f t="shared" si="12"/>
        <v>3.3799127999999996</v>
      </c>
      <c r="L27" s="138" t="s">
        <v>92</v>
      </c>
      <c r="M27" s="138">
        <f t="shared" si="9"/>
        <v>6.7598255999999992</v>
      </c>
      <c r="N27" s="138">
        <f t="shared" si="13"/>
        <v>0</v>
      </c>
      <c r="O27" s="139">
        <f t="shared" si="10"/>
        <v>6.7598255999999992</v>
      </c>
      <c r="P27" s="1114" cm="1">
        <f t="array" ref="P27">_xlfn.XLOOKUP(B27,MET_PRICE[[#All],[Part Number]],MET_PRICE[[#All],[Price ($/lb) Domestic]])</f>
        <v>2.65</v>
      </c>
      <c r="Q27" s="1114">
        <f t="shared" si="11"/>
        <v>17.913537839999996</v>
      </c>
      <c r="R27" s="1114">
        <f>N27*P27</f>
        <v>0</v>
      </c>
      <c r="T27" s="360"/>
    </row>
    <row r="28" spans="1:23" outlineLevel="1">
      <c r="A28" s="142">
        <v>1</v>
      </c>
      <c r="B28" s="1118">
        <v>409802</v>
      </c>
      <c r="C28" s="1754" t="s">
        <v>1283</v>
      </c>
      <c r="D28" s="1754"/>
      <c r="E28" s="1754"/>
      <c r="F28" s="1184" t="s">
        <v>911</v>
      </c>
      <c r="G28" s="142">
        <v>0.3125</v>
      </c>
      <c r="H28" s="142" t="s">
        <v>1011</v>
      </c>
      <c r="I28" s="142">
        <v>240</v>
      </c>
      <c r="J28" s="142">
        <v>9.6000000000000002E-2</v>
      </c>
      <c r="K28" s="144">
        <f>I28/12</f>
        <v>20</v>
      </c>
      <c r="L28" s="1115" t="s">
        <v>28</v>
      </c>
      <c r="M28" s="144">
        <f t="shared" si="9"/>
        <v>20</v>
      </c>
      <c r="N28" s="144">
        <f t="shared" si="13"/>
        <v>0</v>
      </c>
      <c r="O28" s="145">
        <f t="shared" si="10"/>
        <v>20</v>
      </c>
      <c r="P28" s="1116" cm="1">
        <f t="array" ref="P28">_xlfn.XLOOKUP(B28,PP_COST[[#All],[PART NUMBER]],PP_COST[[#All],[UNIT COST]])</f>
        <v>0.56999999999999995</v>
      </c>
      <c r="Q28" s="1116">
        <f t="shared" si="11"/>
        <v>11.399999999999999</v>
      </c>
      <c r="R28" s="1116">
        <f t="shared" si="14"/>
        <v>0</v>
      </c>
    </row>
    <row r="29" spans="1:23" outlineLevel="1">
      <c r="A29" s="135">
        <v>4</v>
      </c>
      <c r="B29" s="135" cm="1">
        <f t="array" ref="B29">_xlfn.XLOOKUP(G29,SM_TBL[[#All],[Thickness]],SM_TBL[[#All],[MoC_PN]])</f>
        <v>101963</v>
      </c>
      <c r="C29" s="1759" t="s">
        <v>1012</v>
      </c>
      <c r="D29" s="1759"/>
      <c r="E29" s="1759"/>
      <c r="F29" s="147" t="s">
        <v>1005</v>
      </c>
      <c r="G29" s="135">
        <v>0.25</v>
      </c>
      <c r="H29" s="135">
        <v>5.15</v>
      </c>
      <c r="I29" s="135">
        <v>33.130000000000003</v>
      </c>
      <c r="J29" s="135">
        <v>0.28899999999999998</v>
      </c>
      <c r="K29" s="138">
        <f>G29*H29*I29*J29</f>
        <v>12.327258875</v>
      </c>
      <c r="L29" s="1113" t="s">
        <v>92</v>
      </c>
      <c r="M29" s="138">
        <f t="shared" si="9"/>
        <v>49.3090355</v>
      </c>
      <c r="N29" s="138">
        <f t="shared" si="13"/>
        <v>0</v>
      </c>
      <c r="O29" s="139">
        <f t="shared" si="10"/>
        <v>49.3090355</v>
      </c>
      <c r="P29" s="1114" cm="1">
        <f t="array" ref="P29">_xlfn.XLOOKUP(B29,MET_PRICE[[#All],[Part Number]],MET_PRICE[[#All],[Price ($/lb) Domestic]])</f>
        <v>2.65</v>
      </c>
      <c r="Q29" s="1114">
        <f t="shared" si="11"/>
        <v>130.66894407499998</v>
      </c>
      <c r="R29" s="1114">
        <f t="shared" si="14"/>
        <v>0</v>
      </c>
    </row>
    <row r="30" spans="1:23" outlineLevel="1">
      <c r="A30" s="142">
        <v>8</v>
      </c>
      <c r="B30" s="1118" t="s">
        <v>850</v>
      </c>
      <c r="C30" s="1753" t="s">
        <v>1284</v>
      </c>
      <c r="D30" s="1753"/>
      <c r="E30" s="1753"/>
      <c r="F30" s="142" t="s">
        <v>911</v>
      </c>
      <c r="G30" s="142" t="s">
        <v>824</v>
      </c>
      <c r="H30" s="142"/>
      <c r="I30" s="142"/>
      <c r="J30" s="142"/>
      <c r="K30" s="142">
        <v>1</v>
      </c>
      <c r="L30" s="1118" t="s">
        <v>1014</v>
      </c>
      <c r="M30" s="142">
        <f t="shared" si="9"/>
        <v>8</v>
      </c>
      <c r="N30" s="142">
        <f t="shared" si="13"/>
        <v>0</v>
      </c>
      <c r="O30" s="142"/>
      <c r="P30" s="1116" cm="1">
        <f t="array" ref="P30">_xlfn.XLOOKUP(B30,HW_COST[[#All],[PART NUMBER]],HW_COST[[#All],[UNIT COST]])</f>
        <v>1.46</v>
      </c>
      <c r="Q30" s="1116">
        <f t="shared" si="11"/>
        <v>11.68</v>
      </c>
      <c r="R30" s="1116">
        <f t="shared" si="14"/>
        <v>0</v>
      </c>
    </row>
    <row r="31" spans="1:23" outlineLevel="1">
      <c r="A31" s="135">
        <v>8</v>
      </c>
      <c r="B31" s="1112" t="s">
        <v>858</v>
      </c>
      <c r="C31" s="1685" t="s">
        <v>1285</v>
      </c>
      <c r="D31" s="1685"/>
      <c r="E31" s="1685"/>
      <c r="F31" s="135" t="s">
        <v>911</v>
      </c>
      <c r="G31" s="135" t="s">
        <v>824</v>
      </c>
      <c r="H31" s="135"/>
      <c r="I31" s="135"/>
      <c r="J31" s="135"/>
      <c r="K31" s="135">
        <v>1</v>
      </c>
      <c r="L31" s="1112" t="s">
        <v>1014</v>
      </c>
      <c r="M31" s="135">
        <f t="shared" si="9"/>
        <v>8</v>
      </c>
      <c r="N31" s="135">
        <f t="shared" si="13"/>
        <v>0</v>
      </c>
      <c r="O31" s="135"/>
      <c r="P31" s="1114" cm="1">
        <f t="array" ref="P31">_xlfn.XLOOKUP(B31,HW_COST[[#All],[PART NUMBER]],HW_COST[[#All],[UNIT COST]])</f>
        <v>3.2113</v>
      </c>
      <c r="Q31" s="1114">
        <f t="shared" si="11"/>
        <v>25.6904</v>
      </c>
      <c r="R31" s="1114">
        <f t="shared" si="14"/>
        <v>0</v>
      </c>
    </row>
    <row r="32" spans="1:23" outlineLevel="1">
      <c r="A32" s="142">
        <v>4</v>
      </c>
      <c r="B32" s="1118" t="s">
        <v>870</v>
      </c>
      <c r="C32" s="1753" t="s">
        <v>1286</v>
      </c>
      <c r="D32" s="1753"/>
      <c r="E32" s="1753"/>
      <c r="F32" s="142" t="s">
        <v>911</v>
      </c>
      <c r="G32" s="142" t="s">
        <v>824</v>
      </c>
      <c r="H32" s="142"/>
      <c r="I32" s="142"/>
      <c r="J32" s="142"/>
      <c r="K32" s="142">
        <v>1</v>
      </c>
      <c r="L32" s="1118" t="s">
        <v>1014</v>
      </c>
      <c r="M32" s="142">
        <f t="shared" si="9"/>
        <v>4</v>
      </c>
      <c r="N32" s="142">
        <f t="shared" si="13"/>
        <v>0</v>
      </c>
      <c r="O32" s="142"/>
      <c r="P32" s="1116" cm="1">
        <f t="array" ref="P32">_xlfn.XLOOKUP(B32,HW_COST[[#All],[PART NUMBER]],HW_COST[[#All],[UNIT COST]])</f>
        <v>4.2103000000000002</v>
      </c>
      <c r="Q32" s="1116">
        <f t="shared" si="11"/>
        <v>16.841200000000001</v>
      </c>
      <c r="R32" s="1116">
        <f t="shared" si="14"/>
        <v>0</v>
      </c>
    </row>
    <row r="33" spans="1:24" outlineLevel="1">
      <c r="A33" s="135"/>
      <c r="B33" s="135"/>
      <c r="C33" s="1685" t="s">
        <v>920</v>
      </c>
      <c r="D33" s="1685"/>
      <c r="E33" s="1685"/>
      <c r="F33" s="135"/>
      <c r="G33" s="135">
        <v>15</v>
      </c>
      <c r="H33" s="135" t="s">
        <v>1017</v>
      </c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1:24">
      <c r="A34" s="149"/>
      <c r="B34" s="149"/>
      <c r="C34" s="149"/>
      <c r="D34" s="149"/>
      <c r="E34" s="150" t="s">
        <v>911</v>
      </c>
      <c r="F34" s="151">
        <f>SUMIF($F25:$F32,E34,$Q25:$Q32)</f>
        <v>65.611599999999996</v>
      </c>
      <c r="G34" s="150" t="s">
        <v>1005</v>
      </c>
      <c r="H34" s="151">
        <f>SUMIF($F25:$F32,G34,$Q25:$Q32)</f>
        <v>659.94466980802997</v>
      </c>
      <c r="I34" s="149"/>
      <c r="J34" s="150" t="s">
        <v>914</v>
      </c>
      <c r="K34" s="151">
        <f>SUMIF($F25:$F32,J34,$Q25:$Q32)</f>
        <v>0</v>
      </c>
      <c r="L34" s="149"/>
      <c r="M34" s="149"/>
      <c r="N34" s="149" t="s">
        <v>1018</v>
      </c>
      <c r="O34" s="145">
        <f>SUM(O25:O33)</f>
        <v>265.985194627</v>
      </c>
      <c r="P34" s="152" t="s">
        <v>1019</v>
      </c>
      <c r="Q34" s="1119">
        <f>SUM(Q25:Q33)</f>
        <v>725.55626980802981</v>
      </c>
      <c r="R34" s="1116">
        <f>SUM(R25:R33)</f>
        <v>0</v>
      </c>
    </row>
    <row r="36" spans="1:24" ht="15.75" thickBot="1"/>
    <row r="37" spans="1:24" ht="15.75" thickBot="1">
      <c r="A37" s="687" t="s">
        <v>1287</v>
      </c>
      <c r="B37" s="688"/>
      <c r="C37" s="688"/>
      <c r="D37" s="688"/>
      <c r="E37" s="688"/>
      <c r="F37" s="688"/>
      <c r="G37" s="688"/>
      <c r="H37" s="688"/>
      <c r="I37" s="688"/>
      <c r="J37" s="688"/>
      <c r="K37" s="688"/>
      <c r="L37" s="688"/>
      <c r="M37" s="688"/>
      <c r="N37" s="688"/>
      <c r="O37" s="688"/>
      <c r="P37" s="688"/>
      <c r="Q37" s="688"/>
      <c r="R37" s="689"/>
    </row>
    <row r="38" spans="1:24" ht="15.75" thickBot="1">
      <c r="A38" s="354" t="str">
        <f>Belt_W&amp;" IN. BELT"</f>
        <v xml:space="preserve"> IN. BELT</v>
      </c>
      <c r="B38" s="355"/>
      <c r="C38" s="355"/>
      <c r="D38" s="355"/>
      <c r="E38" s="355"/>
      <c r="F38" s="355"/>
      <c r="G38" s="355"/>
      <c r="H38" s="355"/>
      <c r="I38" s="355"/>
      <c r="J38" s="355"/>
      <c r="K38" s="355"/>
      <c r="L38" s="355"/>
      <c r="M38" s="355"/>
      <c r="N38" s="355"/>
      <c r="O38" s="355"/>
      <c r="P38" s="355"/>
      <c r="Q38" s="355"/>
      <c r="R38" s="355"/>
      <c r="S38" s="699">
        <f>IF(Cov_Type="Weather",WC_L,0)</f>
        <v>0</v>
      </c>
      <c r="T38" s="153">
        <v>0</v>
      </c>
      <c r="U38" s="154" t="e">
        <f>S38*G40</f>
        <v>#N/A</v>
      </c>
      <c r="V38" s="153" t="e">
        <f>S38*Q41</f>
        <v>#N/A</v>
      </c>
      <c r="W38" s="153">
        <v>0</v>
      </c>
    </row>
    <row r="39" spans="1:24" outlineLevel="1">
      <c r="A39" s="135">
        <v>1</v>
      </c>
      <c r="B39" s="1112" t="s">
        <v>823</v>
      </c>
      <c r="C39" s="1755" t="s">
        <v>1288</v>
      </c>
      <c r="D39" s="1755"/>
      <c r="E39" s="1755"/>
      <c r="F39" s="1185" t="s">
        <v>911</v>
      </c>
      <c r="G39" s="137" t="s">
        <v>1011</v>
      </c>
      <c r="H39" s="137" t="s">
        <v>1011</v>
      </c>
      <c r="I39" s="137" t="s">
        <v>1011</v>
      </c>
      <c r="J39" s="135" t="s">
        <v>1011</v>
      </c>
      <c r="K39" s="138">
        <v>1</v>
      </c>
      <c r="L39" s="1113" t="s">
        <v>1014</v>
      </c>
      <c r="M39" s="138">
        <f>A39*K39</f>
        <v>1</v>
      </c>
      <c r="N39" s="138">
        <f>$S$38*M39</f>
        <v>0</v>
      </c>
      <c r="O39" s="139" t="e">
        <f>_xlfn.XLOOKUP(Belt_W,T41:T46,V41:V46)</f>
        <v>#N/A</v>
      </c>
      <c r="P39" s="1100" t="e">
        <f>IF(MoC="316L",_xlfn.XLOOKUP(Belt_W,T41:T46,X41:X46),_xlfn.XLOOKUP(Belt_W,T41:T46,W41:W46))</f>
        <v>#N/A</v>
      </c>
      <c r="Q39" s="1114" t="e">
        <f t="shared" ref="Q39" si="15">P39*M39</f>
        <v>#N/A</v>
      </c>
      <c r="R39" s="1114" t="e">
        <f>N39*P39</f>
        <v>#N/A</v>
      </c>
    </row>
    <row r="40" spans="1:24" outlineLevel="1">
      <c r="A40" s="142"/>
      <c r="B40" s="142"/>
      <c r="C40" s="1753" t="s">
        <v>920</v>
      </c>
      <c r="D40" s="1753"/>
      <c r="E40" s="1753"/>
      <c r="F40" s="142"/>
      <c r="G40" s="142" t="e">
        <f>_xlfn.XLOOKUP(Belt_W,T41:T46,U41:U46)</f>
        <v>#N/A</v>
      </c>
      <c r="H40" s="142" t="s">
        <v>1017</v>
      </c>
      <c r="I40" s="142"/>
      <c r="J40" s="142"/>
      <c r="K40" s="142"/>
      <c r="L40" s="142"/>
      <c r="M40" s="142"/>
      <c r="N40" s="142"/>
      <c r="O40" s="142"/>
      <c r="P40" s="1116"/>
      <c r="Q40" s="1116"/>
      <c r="R40" s="1116"/>
      <c r="T40" s="360" t="s">
        <v>1273</v>
      </c>
      <c r="U40" s="360" t="s">
        <v>920</v>
      </c>
      <c r="V40" s="360" t="s">
        <v>1289</v>
      </c>
      <c r="W40" s="360" t="s">
        <v>1290</v>
      </c>
      <c r="X40" s="360" t="s">
        <v>1291</v>
      </c>
    </row>
    <row r="41" spans="1:24">
      <c r="A41" s="254"/>
      <c r="B41" s="254"/>
      <c r="C41" s="1759"/>
      <c r="D41" s="1759"/>
      <c r="E41" s="1759"/>
      <c r="F41" s="147"/>
      <c r="G41" s="254"/>
      <c r="H41" s="254"/>
      <c r="I41" s="254"/>
      <c r="J41" s="254"/>
      <c r="K41" s="254"/>
      <c r="L41" s="254" t="s">
        <v>1018</v>
      </c>
      <c r="M41" s="254"/>
      <c r="N41" s="254"/>
      <c r="O41" s="139" t="e">
        <f>SUM(O39:O40)</f>
        <v>#N/A</v>
      </c>
      <c r="P41" s="701" t="s">
        <v>1019</v>
      </c>
      <c r="Q41" s="1183" t="e">
        <f>SUM(Q39:Q40)</f>
        <v>#N/A</v>
      </c>
      <c r="R41" s="1114" t="e">
        <f>SUM(R39:R40)</f>
        <v>#N/A</v>
      </c>
      <c r="T41" s="274">
        <v>18</v>
      </c>
      <c r="U41" s="56">
        <v>0.15</v>
      </c>
      <c r="V41" s="56">
        <v>11.25</v>
      </c>
      <c r="W41" s="56">
        <v>185</v>
      </c>
      <c r="X41" s="56">
        <v>215</v>
      </c>
    </row>
    <row r="42" spans="1:24">
      <c r="T42" s="274">
        <v>24</v>
      </c>
      <c r="U42" s="56">
        <v>0.25</v>
      </c>
      <c r="V42" s="56">
        <v>12.5</v>
      </c>
      <c r="W42" s="56">
        <v>200</v>
      </c>
      <c r="X42" s="56">
        <v>230</v>
      </c>
    </row>
    <row r="43" spans="1:24">
      <c r="A43" s="636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396"/>
      <c r="T43" s="274">
        <v>30</v>
      </c>
      <c r="U43" s="56">
        <v>0.25</v>
      </c>
      <c r="V43" s="56">
        <v>13.5</v>
      </c>
      <c r="W43" s="56">
        <v>205</v>
      </c>
      <c r="X43" s="56">
        <v>235</v>
      </c>
    </row>
    <row r="44" spans="1:24">
      <c r="A44" s="396"/>
      <c r="B44" s="396"/>
      <c r="C44" s="1756"/>
      <c r="D44" s="1756"/>
      <c r="E44" s="1756"/>
      <c r="F44" s="274"/>
      <c r="G44" s="396"/>
      <c r="H44" s="396"/>
      <c r="I44" s="396"/>
      <c r="J44" s="396"/>
      <c r="K44" s="397"/>
      <c r="L44" s="397"/>
      <c r="M44" s="397"/>
      <c r="N44" s="397"/>
      <c r="O44" s="398"/>
      <c r="P44" s="399"/>
      <c r="Q44" s="399"/>
      <c r="R44" s="400"/>
      <c r="T44" s="274">
        <v>36</v>
      </c>
      <c r="U44" s="56">
        <v>0.25</v>
      </c>
      <c r="V44" s="56">
        <v>15.25</v>
      </c>
      <c r="W44" s="56">
        <v>210</v>
      </c>
      <c r="X44" s="56">
        <v>240</v>
      </c>
    </row>
    <row r="45" spans="1:24">
      <c r="A45" s="396"/>
      <c r="B45" s="396"/>
      <c r="C45" s="1760"/>
      <c r="D45" s="1760"/>
      <c r="E45" s="1760"/>
      <c r="F45" s="396"/>
      <c r="G45" s="396"/>
      <c r="H45" s="396"/>
      <c r="I45" s="396"/>
      <c r="J45" s="396"/>
      <c r="K45" s="396"/>
      <c r="L45" s="396"/>
      <c r="M45" s="396"/>
      <c r="N45" s="396"/>
      <c r="O45" s="396"/>
      <c r="P45" s="396"/>
      <c r="Q45" s="396"/>
      <c r="R45" s="396"/>
      <c r="T45" s="274">
        <v>42</v>
      </c>
      <c r="U45" s="56">
        <v>0.25</v>
      </c>
      <c r="V45" s="56">
        <v>16.75</v>
      </c>
      <c r="W45" s="56">
        <v>215</v>
      </c>
      <c r="X45" s="56">
        <v>245</v>
      </c>
    </row>
    <row r="46" spans="1:24">
      <c r="C46" s="1756"/>
      <c r="D46" s="1756"/>
      <c r="E46" s="1756"/>
      <c r="F46" s="274"/>
      <c r="O46" s="398"/>
      <c r="P46" s="401"/>
      <c r="Q46" s="401"/>
      <c r="R46" s="400"/>
      <c r="T46" s="274">
        <v>48</v>
      </c>
      <c r="U46" s="56">
        <v>0.25</v>
      </c>
      <c r="V46" s="56">
        <v>16.75</v>
      </c>
      <c r="W46" s="56">
        <v>220</v>
      </c>
      <c r="X46" s="56">
        <v>250</v>
      </c>
    </row>
    <row r="48" spans="1:24" ht="15.75" thickBot="1"/>
    <row r="49" spans="1:23" ht="15.75" thickBot="1">
      <c r="A49" s="690" t="s">
        <v>1292</v>
      </c>
      <c r="B49" s="691"/>
      <c r="C49" s="691"/>
      <c r="D49" s="691"/>
      <c r="E49" s="691"/>
      <c r="F49" s="691"/>
      <c r="G49" s="691"/>
      <c r="H49" s="691"/>
      <c r="I49" s="691"/>
      <c r="J49" s="691"/>
      <c r="K49" s="691"/>
      <c r="L49" s="691"/>
      <c r="M49" s="691"/>
      <c r="N49" s="691"/>
      <c r="O49" s="691"/>
      <c r="P49" s="691"/>
      <c r="Q49" s="691"/>
      <c r="R49" s="692"/>
    </row>
    <row r="50" spans="1:23" ht="15.75" thickBot="1">
      <c r="A50" s="354" t="s">
        <v>1293</v>
      </c>
      <c r="B50" s="355"/>
      <c r="C50" s="355"/>
      <c r="D50" s="355"/>
      <c r="E50" s="355"/>
      <c r="F50" s="355"/>
      <c r="G50" s="355"/>
      <c r="H50" s="355"/>
      <c r="I50" s="355"/>
      <c r="J50" s="355"/>
      <c r="K50" s="355"/>
      <c r="L50" s="355"/>
      <c r="M50" s="355"/>
      <c r="N50" s="355"/>
      <c r="O50" s="355"/>
      <c r="P50" s="355"/>
      <c r="Q50" s="355"/>
      <c r="R50" s="355"/>
      <c r="S50" s="97"/>
      <c r="T50" s="153">
        <v>0</v>
      </c>
      <c r="U50" s="154">
        <v>0</v>
      </c>
      <c r="V50" s="153">
        <f>R53*S50</f>
        <v>0</v>
      </c>
      <c r="W50" s="153">
        <v>0</v>
      </c>
    </row>
    <row r="51" spans="1:23" outlineLevel="1">
      <c r="A51" s="135">
        <v>1</v>
      </c>
      <c r="B51" s="135"/>
      <c r="C51" s="1755" t="s">
        <v>1294</v>
      </c>
      <c r="D51" s="1755"/>
      <c r="E51" s="1755"/>
      <c r="F51" s="136"/>
      <c r="G51" s="137" t="s">
        <v>1011</v>
      </c>
      <c r="H51" s="137" t="s">
        <v>1011</v>
      </c>
      <c r="I51" s="137" t="s">
        <v>1011</v>
      </c>
      <c r="J51" s="135" t="s">
        <v>1011</v>
      </c>
      <c r="K51" s="138" t="s">
        <v>1011</v>
      </c>
      <c r="L51" s="138" t="s">
        <v>1011</v>
      </c>
      <c r="M51" s="138"/>
      <c r="N51" s="138"/>
      <c r="O51" s="139" t="s">
        <v>1011</v>
      </c>
      <c r="P51" s="140">
        <v>13.76</v>
      </c>
      <c r="Q51" s="140"/>
      <c r="R51" s="141">
        <f>A51*P51</f>
        <v>13.76</v>
      </c>
    </row>
    <row r="52" spans="1:23" outlineLevel="1">
      <c r="A52" s="142"/>
      <c r="B52" s="142"/>
      <c r="C52" s="1753" t="s">
        <v>920</v>
      </c>
      <c r="D52" s="1753"/>
      <c r="E52" s="1753"/>
      <c r="F52" s="142"/>
      <c r="G52" s="142">
        <v>0</v>
      </c>
      <c r="H52" s="142" t="s">
        <v>1017</v>
      </c>
      <c r="I52" s="142"/>
      <c r="J52" s="142"/>
      <c r="K52" s="142"/>
      <c r="L52" s="142"/>
      <c r="M52" s="142"/>
      <c r="N52" s="142"/>
      <c r="O52" s="142"/>
      <c r="P52" s="142"/>
      <c r="Q52" s="142"/>
      <c r="R52" s="142"/>
    </row>
    <row r="53" spans="1:23">
      <c r="A53" s="254"/>
      <c r="B53" s="254"/>
      <c r="C53" s="1759"/>
      <c r="D53" s="1759"/>
      <c r="E53" s="1759"/>
      <c r="F53" s="147"/>
      <c r="G53" s="254"/>
      <c r="H53" s="254"/>
      <c r="I53" s="254"/>
      <c r="J53" s="254"/>
      <c r="K53" s="254"/>
      <c r="L53" s="254" t="s">
        <v>1018</v>
      </c>
      <c r="M53" s="254"/>
      <c r="N53" s="254"/>
      <c r="O53" s="139">
        <f>SUM(O51:O52)</f>
        <v>0</v>
      </c>
      <c r="P53" s="257" t="s">
        <v>1019</v>
      </c>
      <c r="Q53" s="257"/>
      <c r="R53" s="141">
        <f>SUM(R51:R52)</f>
        <v>13.76</v>
      </c>
    </row>
    <row r="54" spans="1:23" ht="15.75" thickBot="1"/>
    <row r="55" spans="1:23" ht="15.75" thickBot="1">
      <c r="A55" s="354" t="s">
        <v>1295</v>
      </c>
      <c r="B55" s="355"/>
      <c r="C55" s="355"/>
      <c r="D55" s="355"/>
      <c r="E55" s="355"/>
      <c r="F55" s="355"/>
      <c r="G55" s="355"/>
      <c r="H55" s="355"/>
      <c r="I55" s="355"/>
      <c r="J55" s="355"/>
      <c r="K55" s="355"/>
      <c r="L55" s="355"/>
      <c r="M55" s="355"/>
      <c r="N55" s="355"/>
      <c r="O55" s="355"/>
      <c r="P55" s="355"/>
      <c r="Q55" s="355"/>
      <c r="R55" s="355"/>
      <c r="S55" s="97"/>
      <c r="T55" s="153">
        <v>0</v>
      </c>
      <c r="U55" s="154">
        <v>0</v>
      </c>
      <c r="V55" s="153">
        <f>R58*S55</f>
        <v>0</v>
      </c>
      <c r="W55" s="153">
        <v>0</v>
      </c>
    </row>
    <row r="56" spans="1:23" outlineLevel="1">
      <c r="A56" s="135">
        <v>1</v>
      </c>
      <c r="B56" s="135"/>
      <c r="C56" s="1755" t="s">
        <v>1294</v>
      </c>
      <c r="D56" s="1755"/>
      <c r="E56" s="1755"/>
      <c r="F56" s="136"/>
      <c r="G56" s="137" t="s">
        <v>1011</v>
      </c>
      <c r="H56" s="137" t="s">
        <v>1011</v>
      </c>
      <c r="I56" s="137" t="s">
        <v>1011</v>
      </c>
      <c r="J56" s="135" t="s">
        <v>1011</v>
      </c>
      <c r="K56" s="138" t="s">
        <v>1011</v>
      </c>
      <c r="L56" s="138" t="s">
        <v>1011</v>
      </c>
      <c r="M56" s="138"/>
      <c r="N56" s="138"/>
      <c r="O56" s="139" t="s">
        <v>1011</v>
      </c>
      <c r="P56" s="140">
        <v>17.98</v>
      </c>
      <c r="Q56" s="140"/>
      <c r="R56" s="141">
        <f>A56*P56</f>
        <v>17.98</v>
      </c>
    </row>
    <row r="57" spans="1:23" outlineLevel="1">
      <c r="A57" s="142"/>
      <c r="B57" s="142"/>
      <c r="C57" s="1753" t="s">
        <v>920</v>
      </c>
      <c r="D57" s="1753"/>
      <c r="E57" s="1753"/>
      <c r="F57" s="142"/>
      <c r="G57" s="142">
        <v>0</v>
      </c>
      <c r="H57" s="142" t="s">
        <v>1017</v>
      </c>
      <c r="I57" s="142"/>
      <c r="J57" s="142"/>
      <c r="K57" s="142"/>
      <c r="L57" s="142"/>
      <c r="M57" s="142"/>
      <c r="N57" s="142"/>
      <c r="O57" s="142"/>
      <c r="P57" s="142"/>
      <c r="Q57" s="142"/>
      <c r="R57" s="142"/>
    </row>
    <row r="58" spans="1:23">
      <c r="A58" s="254"/>
      <c r="B58" s="254"/>
      <c r="C58" s="1759"/>
      <c r="D58" s="1759"/>
      <c r="E58" s="1759"/>
      <c r="F58" s="147"/>
      <c r="G58" s="254"/>
      <c r="H58" s="254"/>
      <c r="I58" s="254"/>
      <c r="J58" s="254"/>
      <c r="K58" s="254"/>
      <c r="L58" s="254" t="s">
        <v>1018</v>
      </c>
      <c r="M58" s="254"/>
      <c r="N58" s="254"/>
      <c r="O58" s="139">
        <f>SUM(O56:O57)</f>
        <v>0</v>
      </c>
      <c r="P58" s="257" t="s">
        <v>1019</v>
      </c>
      <c r="Q58" s="257"/>
      <c r="R58" s="141">
        <f>SUM(R56:R57)</f>
        <v>17.98</v>
      </c>
    </row>
    <row r="59" spans="1:23" ht="15.75" thickBot="1"/>
    <row r="60" spans="1:23" ht="15.75" thickBot="1">
      <c r="A60" s="354" t="s">
        <v>1296</v>
      </c>
      <c r="B60" s="355"/>
      <c r="C60" s="355"/>
      <c r="D60" s="355"/>
      <c r="E60" s="355"/>
      <c r="F60" s="355"/>
      <c r="G60" s="355"/>
      <c r="H60" s="355"/>
      <c r="I60" s="355"/>
      <c r="J60" s="355"/>
      <c r="K60" s="355"/>
      <c r="L60" s="355"/>
      <c r="M60" s="355"/>
      <c r="N60" s="355"/>
      <c r="O60" s="355"/>
      <c r="P60" s="355"/>
      <c r="Q60" s="355"/>
      <c r="R60" s="355"/>
      <c r="S60" s="97"/>
      <c r="T60" s="153">
        <v>0</v>
      </c>
      <c r="U60" s="154">
        <v>0</v>
      </c>
      <c r="V60" s="153">
        <f>R63*S60</f>
        <v>0</v>
      </c>
      <c r="W60" s="153">
        <v>0</v>
      </c>
    </row>
    <row r="61" spans="1:23" outlineLevel="1">
      <c r="A61" s="135">
        <v>1</v>
      </c>
      <c r="B61" s="135"/>
      <c r="C61" s="1755" t="s">
        <v>1294</v>
      </c>
      <c r="D61" s="1755"/>
      <c r="E61" s="1755"/>
      <c r="F61" s="136"/>
      <c r="G61" s="137" t="s">
        <v>1011</v>
      </c>
      <c r="H61" s="137" t="s">
        <v>1011</v>
      </c>
      <c r="I61" s="137" t="s">
        <v>1011</v>
      </c>
      <c r="J61" s="135" t="s">
        <v>1011</v>
      </c>
      <c r="K61" s="138" t="s">
        <v>1011</v>
      </c>
      <c r="L61" s="138" t="s">
        <v>1011</v>
      </c>
      <c r="M61" s="138"/>
      <c r="N61" s="138"/>
      <c r="O61" s="139" t="s">
        <v>1011</v>
      </c>
      <c r="P61" s="140">
        <v>22.78</v>
      </c>
      <c r="Q61" s="140"/>
      <c r="R61" s="141">
        <f>A61*P61</f>
        <v>22.78</v>
      </c>
    </row>
    <row r="62" spans="1:23" outlineLevel="1">
      <c r="A62" s="142"/>
      <c r="B62" s="142"/>
      <c r="C62" s="1753" t="s">
        <v>920</v>
      </c>
      <c r="D62" s="1753"/>
      <c r="E62" s="1753"/>
      <c r="F62" s="142"/>
      <c r="G62" s="142">
        <v>0</v>
      </c>
      <c r="H62" s="142" t="s">
        <v>1017</v>
      </c>
      <c r="I62" s="142"/>
      <c r="J62" s="142"/>
      <c r="K62" s="142"/>
      <c r="L62" s="142"/>
      <c r="M62" s="142"/>
      <c r="N62" s="142"/>
      <c r="O62" s="142"/>
      <c r="P62" s="142"/>
      <c r="Q62" s="142"/>
      <c r="R62" s="142"/>
    </row>
    <row r="63" spans="1:23">
      <c r="A63" s="254"/>
      <c r="B63" s="254"/>
      <c r="C63" s="1759"/>
      <c r="D63" s="1759"/>
      <c r="E63" s="1759"/>
      <c r="F63" s="147"/>
      <c r="G63" s="254"/>
      <c r="H63" s="254"/>
      <c r="I63" s="254"/>
      <c r="J63" s="254"/>
      <c r="K63" s="254"/>
      <c r="L63" s="254" t="s">
        <v>1018</v>
      </c>
      <c r="M63" s="254"/>
      <c r="N63" s="254"/>
      <c r="O63" s="139">
        <f>SUM(O61:O62)</f>
        <v>0</v>
      </c>
      <c r="P63" s="257" t="s">
        <v>1019</v>
      </c>
      <c r="Q63" s="257"/>
      <c r="R63" s="141">
        <f>SUM(R61:R62)</f>
        <v>22.78</v>
      </c>
    </row>
    <row r="64" spans="1:23" ht="15.75" thickBot="1"/>
    <row r="65" spans="1:23" ht="15.75" thickBot="1">
      <c r="A65" s="354" t="s">
        <v>1297</v>
      </c>
      <c r="B65" s="355"/>
      <c r="C65" s="355"/>
      <c r="D65" s="355"/>
      <c r="E65" s="355"/>
      <c r="F65" s="355"/>
      <c r="G65" s="355"/>
      <c r="H65" s="355"/>
      <c r="I65" s="355"/>
      <c r="J65" s="355"/>
      <c r="K65" s="355"/>
      <c r="L65" s="355"/>
      <c r="M65" s="355"/>
      <c r="N65" s="355"/>
      <c r="O65" s="355"/>
      <c r="P65" s="355"/>
      <c r="Q65" s="355"/>
      <c r="R65" s="355"/>
      <c r="S65" s="97"/>
      <c r="T65" s="153">
        <v>0</v>
      </c>
      <c r="U65" s="154">
        <v>0</v>
      </c>
      <c r="V65" s="153">
        <f>R68*S65</f>
        <v>0</v>
      </c>
      <c r="W65" s="153">
        <v>0</v>
      </c>
    </row>
    <row r="66" spans="1:23" outlineLevel="1">
      <c r="A66" s="135">
        <v>1</v>
      </c>
      <c r="B66" s="135"/>
      <c r="C66" s="1755" t="s">
        <v>1294</v>
      </c>
      <c r="D66" s="1755"/>
      <c r="E66" s="1755"/>
      <c r="F66" s="136"/>
      <c r="G66" s="137" t="s">
        <v>1011</v>
      </c>
      <c r="H66" s="137" t="s">
        <v>1011</v>
      </c>
      <c r="I66" s="137" t="s">
        <v>1011</v>
      </c>
      <c r="J66" s="135" t="s">
        <v>1011</v>
      </c>
      <c r="K66" s="138" t="s">
        <v>1011</v>
      </c>
      <c r="L66" s="138" t="s">
        <v>1011</v>
      </c>
      <c r="M66" s="138"/>
      <c r="N66" s="138"/>
      <c r="O66" s="139" t="s">
        <v>1011</v>
      </c>
      <c r="P66" s="140">
        <v>27.06</v>
      </c>
      <c r="Q66" s="140"/>
      <c r="R66" s="141">
        <f>A66*P66</f>
        <v>27.06</v>
      </c>
    </row>
    <row r="67" spans="1:23" outlineLevel="1">
      <c r="A67" s="142"/>
      <c r="B67" s="142"/>
      <c r="C67" s="1753" t="s">
        <v>920</v>
      </c>
      <c r="D67" s="1753"/>
      <c r="E67" s="1753"/>
      <c r="F67" s="142"/>
      <c r="G67" s="142">
        <v>0</v>
      </c>
      <c r="H67" s="142" t="s">
        <v>1017</v>
      </c>
      <c r="I67" s="142"/>
      <c r="J67" s="142"/>
      <c r="K67" s="142"/>
      <c r="L67" s="142"/>
      <c r="M67" s="142"/>
      <c r="N67" s="142"/>
      <c r="O67" s="142"/>
      <c r="P67" s="142"/>
      <c r="Q67" s="142"/>
      <c r="R67" s="142"/>
    </row>
    <row r="68" spans="1:23">
      <c r="A68" s="254"/>
      <c r="B68" s="254"/>
      <c r="C68" s="1759"/>
      <c r="D68" s="1759"/>
      <c r="E68" s="1759"/>
      <c r="F68" s="147"/>
      <c r="G68" s="254"/>
      <c r="H68" s="254"/>
      <c r="I68" s="254"/>
      <c r="J68" s="254"/>
      <c r="K68" s="254"/>
      <c r="L68" s="254" t="s">
        <v>1018</v>
      </c>
      <c r="M68" s="254"/>
      <c r="N68" s="254"/>
      <c r="O68" s="139">
        <f>SUM(O66:O67)</f>
        <v>0</v>
      </c>
      <c r="P68" s="257" t="s">
        <v>1019</v>
      </c>
      <c r="Q68" s="257"/>
      <c r="R68" s="141">
        <f>SUM(R66:R67)</f>
        <v>27.06</v>
      </c>
    </row>
    <row r="69" spans="1:23" ht="15.75" thickBot="1"/>
    <row r="70" spans="1:23" ht="15.75" thickBot="1">
      <c r="A70" s="354" t="s">
        <v>1298</v>
      </c>
      <c r="B70" s="355"/>
      <c r="C70" s="355"/>
      <c r="D70" s="355"/>
      <c r="E70" s="355"/>
      <c r="F70" s="355"/>
      <c r="G70" s="355"/>
      <c r="H70" s="355"/>
      <c r="I70" s="355"/>
      <c r="J70" s="355"/>
      <c r="K70" s="355"/>
      <c r="L70" s="355"/>
      <c r="M70" s="355"/>
      <c r="N70" s="355"/>
      <c r="O70" s="355"/>
      <c r="P70" s="355"/>
      <c r="Q70" s="355"/>
      <c r="R70" s="355"/>
      <c r="S70" s="97"/>
      <c r="T70" s="153">
        <v>0</v>
      </c>
      <c r="U70" s="154">
        <v>0</v>
      </c>
      <c r="V70" s="153">
        <f>R73*S70</f>
        <v>0</v>
      </c>
      <c r="W70" s="153">
        <v>0</v>
      </c>
    </row>
    <row r="71" spans="1:23" outlineLevel="1">
      <c r="A71" s="135">
        <v>1</v>
      </c>
      <c r="B71" s="135"/>
      <c r="C71" s="1755" t="s">
        <v>1294</v>
      </c>
      <c r="D71" s="1755"/>
      <c r="E71" s="1755"/>
      <c r="F71" s="136"/>
      <c r="G71" s="137" t="s">
        <v>1011</v>
      </c>
      <c r="H71" s="137" t="s">
        <v>1011</v>
      </c>
      <c r="I71" s="137" t="s">
        <v>1011</v>
      </c>
      <c r="J71" s="135" t="s">
        <v>1011</v>
      </c>
      <c r="K71" s="138" t="s">
        <v>1011</v>
      </c>
      <c r="L71" s="138" t="s">
        <v>1011</v>
      </c>
      <c r="M71" s="138"/>
      <c r="N71" s="138"/>
      <c r="O71" s="139" t="s">
        <v>1011</v>
      </c>
      <c r="P71" s="140">
        <v>36.21</v>
      </c>
      <c r="Q71" s="140"/>
      <c r="R71" s="141">
        <f>A71*P71</f>
        <v>36.21</v>
      </c>
    </row>
    <row r="72" spans="1:23" outlineLevel="1">
      <c r="A72" s="142"/>
      <c r="B72" s="142"/>
      <c r="C72" s="1753" t="s">
        <v>920</v>
      </c>
      <c r="D72" s="1753"/>
      <c r="E72" s="1753"/>
      <c r="F72" s="142"/>
      <c r="G72" s="142">
        <v>0</v>
      </c>
      <c r="H72" s="142" t="s">
        <v>1017</v>
      </c>
      <c r="I72" s="142"/>
      <c r="J72" s="142"/>
      <c r="K72" s="142"/>
      <c r="L72" s="142"/>
      <c r="M72" s="142"/>
      <c r="N72" s="142"/>
      <c r="O72" s="142"/>
      <c r="P72" s="142"/>
      <c r="Q72" s="142"/>
      <c r="R72" s="142"/>
    </row>
    <row r="73" spans="1:23">
      <c r="A73" s="254"/>
      <c r="B73" s="254"/>
      <c r="C73" s="1759"/>
      <c r="D73" s="1759"/>
      <c r="E73" s="1759"/>
      <c r="F73" s="147"/>
      <c r="G73" s="254"/>
      <c r="H73" s="254"/>
      <c r="I73" s="254"/>
      <c r="J73" s="254"/>
      <c r="K73" s="254"/>
      <c r="L73" s="254" t="s">
        <v>1018</v>
      </c>
      <c r="M73" s="254"/>
      <c r="N73" s="254"/>
      <c r="O73" s="139">
        <f>SUM(O71:O72)</f>
        <v>0</v>
      </c>
      <c r="P73" s="257" t="s">
        <v>1019</v>
      </c>
      <c r="Q73" s="257"/>
      <c r="R73" s="141">
        <f>SUM(R71:R72)</f>
        <v>36.21</v>
      </c>
    </row>
    <row r="74" spans="1:23" ht="15.75" thickBot="1"/>
    <row r="75" spans="1:23">
      <c r="A75" s="684" t="s">
        <v>1299</v>
      </c>
      <c r="B75" s="685"/>
      <c r="C75" s="685"/>
      <c r="D75" s="685"/>
      <c r="E75" s="685"/>
      <c r="F75" s="685"/>
      <c r="G75" s="685"/>
      <c r="H75" s="685"/>
      <c r="I75" s="685"/>
      <c r="J75" s="685"/>
      <c r="K75" s="685"/>
      <c r="L75" s="685"/>
      <c r="M75" s="685"/>
      <c r="N75" s="685"/>
      <c r="O75" s="685"/>
      <c r="P75" s="685"/>
      <c r="Q75" s="685"/>
      <c r="R75" s="686"/>
    </row>
    <row r="76" spans="1:23" ht="15.75" thickBot="1">
      <c r="A76" s="696" t="s">
        <v>1300</v>
      </c>
      <c r="B76" s="697"/>
      <c r="C76" s="698"/>
      <c r="D76" s="698"/>
      <c r="E76" s="698"/>
      <c r="F76" s="698"/>
      <c r="G76" s="698"/>
      <c r="H76" s="698"/>
      <c r="I76" s="698"/>
      <c r="J76" s="698"/>
      <c r="K76" s="698"/>
      <c r="L76" s="698"/>
      <c r="M76" s="698"/>
      <c r="N76" s="698"/>
      <c r="O76" s="698"/>
      <c r="P76" s="698"/>
      <c r="Q76" s="698"/>
      <c r="R76" s="663" t="s">
        <v>1300</v>
      </c>
      <c r="S76" s="700">
        <v>24</v>
      </c>
    </row>
    <row r="77" spans="1:23" ht="15.75" thickBot="1">
      <c r="A77" s="354" t="s">
        <v>1301</v>
      </c>
      <c r="B77" s="355"/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5"/>
      <c r="O77" s="355"/>
      <c r="P77" s="355"/>
      <c r="Q77" s="355"/>
      <c r="R77" s="355"/>
      <c r="S77" s="292">
        <f>SUP_2</f>
        <v>0</v>
      </c>
      <c r="T77" s="153">
        <f>H84*S77</f>
        <v>0</v>
      </c>
      <c r="U77" s="154">
        <f>G83*S77</f>
        <v>0</v>
      </c>
      <c r="V77" s="153">
        <f>F84*S77</f>
        <v>0</v>
      </c>
      <c r="W77" s="153">
        <v>0</v>
      </c>
    </row>
    <row r="78" spans="1:23" outlineLevel="1">
      <c r="A78" s="135">
        <v>2</v>
      </c>
      <c r="B78" s="135" cm="1">
        <f t="array" ref="B78">_xlfn.XLOOKUP(G78,SM_TBL[[#All],[Thickness]],SM_TBL[[#All],[MoC_PN]])</f>
        <v>101963</v>
      </c>
      <c r="C78" s="1755" t="s">
        <v>1302</v>
      </c>
      <c r="D78" s="1755"/>
      <c r="E78" s="1755"/>
      <c r="F78" s="136" t="s">
        <v>1005</v>
      </c>
      <c r="G78" s="137">
        <v>0.25</v>
      </c>
      <c r="H78" s="137">
        <v>9.51</v>
      </c>
      <c r="I78" s="276">
        <f>S76</f>
        <v>24</v>
      </c>
      <c r="J78" s="135">
        <v>0.28899999999999998</v>
      </c>
      <c r="K78" s="138">
        <f>G78*H78*I78*J78</f>
        <v>16.49034</v>
      </c>
      <c r="L78" s="1113" t="s">
        <v>92</v>
      </c>
      <c r="M78" s="138">
        <f>A78*K78</f>
        <v>32.98068</v>
      </c>
      <c r="N78" s="138">
        <f>$S$77*M78</f>
        <v>0</v>
      </c>
      <c r="O78" s="139">
        <f>M78</f>
        <v>32.98068</v>
      </c>
      <c r="P78" s="1114" cm="1">
        <f t="array" ref="P78">_xlfn.XLOOKUP(B78,MET_PRICE[[#All],[Part Number]],MET_PRICE[[#All],[Price ($/lb) Domestic]])</f>
        <v>2.65</v>
      </c>
      <c r="Q78" s="1114">
        <f t="shared" ref="Q78:Q82" si="16">P78*M78</f>
        <v>87.398801999999989</v>
      </c>
      <c r="R78" s="1114">
        <f t="shared" ref="R78:R82" si="17">N78*P78</f>
        <v>0</v>
      </c>
    </row>
    <row r="79" spans="1:23" outlineLevel="1">
      <c r="A79" s="142">
        <v>2</v>
      </c>
      <c r="B79" s="142" cm="1">
        <f t="array" ref="B79">_xlfn.XLOOKUP(G79,SM_TBL[[#All],[Thickness]],SM_TBL[[#All],[MoC_PN]])</f>
        <v>101963</v>
      </c>
      <c r="C79" s="1754" t="s">
        <v>1303</v>
      </c>
      <c r="D79" s="1754"/>
      <c r="E79" s="1754"/>
      <c r="F79" s="143" t="s">
        <v>1005</v>
      </c>
      <c r="G79" s="142">
        <v>0.25</v>
      </c>
      <c r="H79" s="142">
        <v>4.5</v>
      </c>
      <c r="I79" s="142">
        <v>7.5</v>
      </c>
      <c r="J79" s="142">
        <v>0.28899999999999998</v>
      </c>
      <c r="K79" s="144">
        <f>G79*H79*I79*J79</f>
        <v>2.4384375</v>
      </c>
      <c r="L79" s="1115" t="s">
        <v>92</v>
      </c>
      <c r="M79" s="144">
        <f>A79*K79</f>
        <v>4.8768750000000001</v>
      </c>
      <c r="N79" s="144">
        <f>$S$77*M79</f>
        <v>0</v>
      </c>
      <c r="O79" s="145">
        <f>M79</f>
        <v>4.8768750000000001</v>
      </c>
      <c r="P79" s="1116" cm="1">
        <f t="array" ref="P79">_xlfn.XLOOKUP(B79,MET_PRICE[[#All],[Part Number]],MET_PRICE[[#All],[Price ($/lb) Domestic]])</f>
        <v>2.65</v>
      </c>
      <c r="Q79" s="1116">
        <f t="shared" si="16"/>
        <v>12.923718749999999</v>
      </c>
      <c r="R79" s="1116">
        <f t="shared" si="17"/>
        <v>0</v>
      </c>
    </row>
    <row r="80" spans="1:23" outlineLevel="1">
      <c r="A80" s="135">
        <v>8</v>
      </c>
      <c r="B80" s="1112" t="s">
        <v>856</v>
      </c>
      <c r="C80" s="1757" t="s">
        <v>1304</v>
      </c>
      <c r="D80" s="1685"/>
      <c r="E80" s="1685"/>
      <c r="F80" s="135" t="s">
        <v>911</v>
      </c>
      <c r="G80" s="1112" t="s">
        <v>824</v>
      </c>
      <c r="H80" s="135"/>
      <c r="I80" s="135"/>
      <c r="J80" s="135"/>
      <c r="K80" s="135">
        <v>1</v>
      </c>
      <c r="L80" s="1112" t="s">
        <v>1014</v>
      </c>
      <c r="M80" s="135">
        <f t="shared" ref="M80:M82" si="18">A80*K80</f>
        <v>8</v>
      </c>
      <c r="N80" s="135">
        <f t="shared" ref="N80:N82" si="19">$S$77*M80</f>
        <v>0</v>
      </c>
      <c r="O80" s="135"/>
      <c r="P80" s="1114" cm="1">
        <f t="array" ref="P80">_xlfn.XLOOKUP(B80,HW_COST[[#All],[PART NUMBER]],HW_COST[[#All],[UNIT COST]])</f>
        <v>2.83</v>
      </c>
      <c r="Q80" s="1114">
        <f t="shared" si="16"/>
        <v>22.64</v>
      </c>
      <c r="R80" s="1114">
        <f t="shared" si="17"/>
        <v>0</v>
      </c>
    </row>
    <row r="81" spans="1:23" outlineLevel="1">
      <c r="A81" s="142">
        <v>2</v>
      </c>
      <c r="B81" s="1118" t="s">
        <v>862</v>
      </c>
      <c r="C81" s="1758" t="s">
        <v>1305</v>
      </c>
      <c r="D81" s="1753"/>
      <c r="E81" s="1753"/>
      <c r="F81" s="142" t="s">
        <v>911</v>
      </c>
      <c r="G81" s="142">
        <v>0.625</v>
      </c>
      <c r="H81" s="142"/>
      <c r="I81" s="142">
        <v>10</v>
      </c>
      <c r="J81" s="142"/>
      <c r="K81" s="142">
        <v>1</v>
      </c>
      <c r="L81" s="1118" t="s">
        <v>1014</v>
      </c>
      <c r="M81" s="142">
        <f t="shared" si="18"/>
        <v>2</v>
      </c>
      <c r="N81" s="142">
        <f t="shared" si="19"/>
        <v>0</v>
      </c>
      <c r="O81" s="142"/>
      <c r="P81" s="1116" cm="1">
        <f t="array" ref="P81">_xlfn.XLOOKUP(B81,HW_COST[[#All],[PART NUMBER]],HW_COST[[#All],[UNIT COST]])</f>
        <v>11.115</v>
      </c>
      <c r="Q81" s="1116">
        <f t="shared" si="16"/>
        <v>22.23</v>
      </c>
      <c r="R81" s="1116">
        <f t="shared" si="17"/>
        <v>0</v>
      </c>
    </row>
    <row r="82" spans="1:23" outlineLevel="1">
      <c r="A82" s="135">
        <v>0.5</v>
      </c>
      <c r="B82" s="135">
        <v>501005</v>
      </c>
      <c r="C82" s="1685" t="s">
        <v>1306</v>
      </c>
      <c r="D82" s="1685"/>
      <c r="E82" s="1685"/>
      <c r="F82" s="135" t="s">
        <v>911</v>
      </c>
      <c r="G82" s="135"/>
      <c r="H82" s="135"/>
      <c r="I82" s="135"/>
      <c r="J82" s="135"/>
      <c r="K82" s="135">
        <v>1</v>
      </c>
      <c r="L82" s="1112" t="s">
        <v>1014</v>
      </c>
      <c r="M82" s="135">
        <f t="shared" si="18"/>
        <v>0.5</v>
      </c>
      <c r="N82" s="135">
        <f t="shared" si="19"/>
        <v>0</v>
      </c>
      <c r="O82" s="135"/>
      <c r="P82" s="1114" cm="1">
        <f t="array" ref="P82">_xlfn.XLOOKUP(B82,PP_COST[[#All],[PART NUMBER]],PP_COST[[#All],[UNIT COST]])</f>
        <v>30.007999999999999</v>
      </c>
      <c r="Q82" s="1114">
        <f t="shared" si="16"/>
        <v>15.004</v>
      </c>
      <c r="R82" s="1114">
        <f t="shared" si="17"/>
        <v>0</v>
      </c>
    </row>
    <row r="83" spans="1:23" outlineLevel="1">
      <c r="A83" s="142"/>
      <c r="B83" s="142"/>
      <c r="C83" s="1753" t="s">
        <v>920</v>
      </c>
      <c r="D83" s="1753"/>
      <c r="E83" s="1753"/>
      <c r="F83" s="142"/>
      <c r="G83" s="142">
        <v>2</v>
      </c>
      <c r="H83" s="142" t="s">
        <v>1017</v>
      </c>
      <c r="I83" s="142"/>
      <c r="J83" s="142"/>
      <c r="K83" s="142"/>
      <c r="L83" s="142"/>
      <c r="M83" s="142"/>
      <c r="N83" s="142"/>
      <c r="O83" s="142"/>
      <c r="P83" s="142"/>
      <c r="Q83" s="142"/>
      <c r="R83" s="142"/>
    </row>
    <row r="84" spans="1:23">
      <c r="A84" s="254"/>
      <c r="B84" s="254"/>
      <c r="C84" s="254"/>
      <c r="D84" s="254"/>
      <c r="E84" s="255" t="s">
        <v>911</v>
      </c>
      <c r="F84" s="256">
        <f>SUMIF($F78:$F82,E84,$Q78:$Q82)</f>
        <v>59.874000000000002</v>
      </c>
      <c r="G84" s="255" t="s">
        <v>1005</v>
      </c>
      <c r="H84" s="256">
        <f>SUMIF($F78:$F82,G84,$Q78:$Q82)</f>
        <v>100.32252075</v>
      </c>
      <c r="I84" s="254"/>
      <c r="J84" s="254" t="s">
        <v>914</v>
      </c>
      <c r="K84" s="256">
        <f>SUMIF($F78:$F82,J84,$Q78:$Q82)</f>
        <v>0</v>
      </c>
      <c r="L84" s="254"/>
      <c r="M84" s="254"/>
      <c r="N84" s="254" t="s">
        <v>1018</v>
      </c>
      <c r="O84" s="139">
        <f>SUM(O78:O83)</f>
        <v>37.857554999999998</v>
      </c>
      <c r="P84" s="257" t="s">
        <v>1019</v>
      </c>
      <c r="Q84" s="1175">
        <f>SUM(Q78:Q83)</f>
        <v>160.19652074999999</v>
      </c>
      <c r="R84" s="1114">
        <f>SUM(R78:R83)</f>
        <v>0</v>
      </c>
    </row>
    <row r="85" spans="1:23" ht="15.75" thickBot="1"/>
    <row r="86" spans="1:23">
      <c r="A86" s="684" t="s">
        <v>1307</v>
      </c>
      <c r="B86" s="685"/>
      <c r="C86" s="685"/>
      <c r="D86" s="685"/>
      <c r="E86" s="685"/>
      <c r="F86" s="685"/>
      <c r="G86" s="685"/>
      <c r="H86" s="685"/>
      <c r="I86" s="685"/>
      <c r="J86" s="685"/>
      <c r="K86" s="685"/>
      <c r="L86" s="685"/>
      <c r="M86" s="685"/>
      <c r="N86" s="685"/>
      <c r="O86" s="685"/>
      <c r="P86" s="685"/>
      <c r="Q86" s="685"/>
      <c r="R86" s="686"/>
    </row>
    <row r="87" spans="1:23" ht="15.75" thickBot="1">
      <c r="A87" s="696"/>
      <c r="B87" s="697"/>
      <c r="C87" s="698"/>
      <c r="D87" s="698"/>
      <c r="E87" s="698"/>
      <c r="F87" s="698"/>
      <c r="G87" s="698"/>
      <c r="H87" s="698"/>
      <c r="I87" s="698"/>
      <c r="J87" s="698"/>
      <c r="K87" s="698"/>
      <c r="L87" s="698"/>
      <c r="M87" s="698"/>
      <c r="N87" s="698"/>
      <c r="O87" s="698"/>
      <c r="P87" s="698"/>
      <c r="Q87" s="698"/>
      <c r="R87" s="663" t="s">
        <v>1308</v>
      </c>
      <c r="S87" s="700">
        <v>60</v>
      </c>
    </row>
    <row r="88" spans="1:23" ht="15.75" thickBot="1">
      <c r="A88" s="354" t="s">
        <v>1301</v>
      </c>
      <c r="B88" s="355"/>
      <c r="C88" s="355"/>
      <c r="D88" s="355"/>
      <c r="E88" s="355"/>
      <c r="F88" s="355"/>
      <c r="G88" s="355"/>
      <c r="H88" s="355"/>
      <c r="I88" s="355"/>
      <c r="J88" s="355"/>
      <c r="K88" s="355"/>
      <c r="L88" s="355"/>
      <c r="M88" s="355"/>
      <c r="N88" s="355"/>
      <c r="O88" s="355"/>
      <c r="P88" s="355"/>
      <c r="Q88" s="355"/>
      <c r="R88" s="355"/>
      <c r="S88" s="292">
        <f>SUP_5</f>
        <v>0</v>
      </c>
      <c r="T88" s="153">
        <f>H95*S88</f>
        <v>0</v>
      </c>
      <c r="U88" s="154">
        <f>G94*S88</f>
        <v>0</v>
      </c>
      <c r="V88" s="153">
        <f>F95*S88</f>
        <v>0</v>
      </c>
      <c r="W88" s="153">
        <v>0</v>
      </c>
    </row>
    <row r="89" spans="1:23" outlineLevel="1">
      <c r="A89" s="135">
        <v>2</v>
      </c>
      <c r="B89" s="135" cm="1">
        <f t="array" ref="B89">_xlfn.XLOOKUP(G89,SM_TBL[[#All],[Thickness]],SM_TBL[[#All],[MoC_PN]])</f>
        <v>101963</v>
      </c>
      <c r="C89" s="1755" t="s">
        <v>1302</v>
      </c>
      <c r="D89" s="1755"/>
      <c r="E89" s="1755"/>
      <c r="F89" s="136" t="s">
        <v>1005</v>
      </c>
      <c r="G89" s="137">
        <v>0.25</v>
      </c>
      <c r="H89" s="137">
        <v>9.51</v>
      </c>
      <c r="I89" s="276">
        <f>S87</f>
        <v>60</v>
      </c>
      <c r="J89" s="135">
        <v>0.28899999999999998</v>
      </c>
      <c r="K89" s="138">
        <f>G89*H89*I89*J89</f>
        <v>41.225850000000001</v>
      </c>
      <c r="L89" s="138" t="s">
        <v>92</v>
      </c>
      <c r="M89" s="138">
        <f>A89*K89</f>
        <v>82.451700000000002</v>
      </c>
      <c r="N89" s="138">
        <f>$S$88*M89</f>
        <v>0</v>
      </c>
      <c r="O89" s="139">
        <f>M89</f>
        <v>82.451700000000002</v>
      </c>
      <c r="P89" s="1114" cm="1">
        <f t="array" ref="P89">_xlfn.XLOOKUP(B89,MET_PRICE[[#All],[Part Number]],MET_PRICE[[#All],[Price ($/lb) Domestic]])</f>
        <v>2.65</v>
      </c>
      <c r="Q89" s="1114">
        <f t="shared" ref="Q89:Q93" si="20">P89*M89</f>
        <v>218.497005</v>
      </c>
      <c r="R89" s="1114">
        <f t="shared" ref="R89:R93" si="21">N89*P89</f>
        <v>0</v>
      </c>
    </row>
    <row r="90" spans="1:23" outlineLevel="1">
      <c r="A90" s="142">
        <v>2</v>
      </c>
      <c r="B90" s="142" cm="1">
        <f t="array" ref="B90">_xlfn.XLOOKUP(G90,SM_TBL[[#All],[Thickness]],SM_TBL[[#All],[MoC_PN]])</f>
        <v>101963</v>
      </c>
      <c r="C90" s="1754" t="s">
        <v>1303</v>
      </c>
      <c r="D90" s="1754"/>
      <c r="E90" s="1754"/>
      <c r="F90" s="143" t="s">
        <v>1005</v>
      </c>
      <c r="G90" s="142">
        <v>0.25</v>
      </c>
      <c r="H90" s="142">
        <v>4.5</v>
      </c>
      <c r="I90" s="142">
        <v>7.5</v>
      </c>
      <c r="J90" s="142">
        <v>0.28899999999999998</v>
      </c>
      <c r="K90" s="144">
        <f>G90*H90*I90*J90</f>
        <v>2.4384375</v>
      </c>
      <c r="L90" s="144" t="s">
        <v>92</v>
      </c>
      <c r="M90" s="144">
        <f>A90*K90</f>
        <v>4.8768750000000001</v>
      </c>
      <c r="N90" s="144">
        <f t="shared" ref="N90:N93" si="22">$S$88*M90</f>
        <v>0</v>
      </c>
      <c r="O90" s="145">
        <f>M90</f>
        <v>4.8768750000000001</v>
      </c>
      <c r="P90" s="1116" cm="1">
        <f t="array" ref="P90">_xlfn.XLOOKUP(B90,MET_PRICE[[#All],[Part Number]],MET_PRICE[[#All],[Price ($/lb) Domestic]])</f>
        <v>2.65</v>
      </c>
      <c r="Q90" s="1116">
        <f t="shared" si="20"/>
        <v>12.923718749999999</v>
      </c>
      <c r="R90" s="1116">
        <f t="shared" si="21"/>
        <v>0</v>
      </c>
    </row>
    <row r="91" spans="1:23" outlineLevel="1">
      <c r="A91" s="135">
        <v>8</v>
      </c>
      <c r="B91" s="1112" t="s">
        <v>856</v>
      </c>
      <c r="C91" s="1685" t="s">
        <v>1304</v>
      </c>
      <c r="D91" s="1685"/>
      <c r="E91" s="1685"/>
      <c r="F91" s="135" t="s">
        <v>911</v>
      </c>
      <c r="G91" s="135" t="s">
        <v>824</v>
      </c>
      <c r="H91" s="135"/>
      <c r="I91" s="135"/>
      <c r="J91" s="135"/>
      <c r="K91" s="135">
        <v>1</v>
      </c>
      <c r="L91" s="135" t="s">
        <v>1014</v>
      </c>
      <c r="M91" s="135">
        <f t="shared" ref="M91:M93" si="23">A91*K91</f>
        <v>8</v>
      </c>
      <c r="N91" s="135">
        <f t="shared" si="22"/>
        <v>0</v>
      </c>
      <c r="O91" s="135"/>
      <c r="P91" s="1114" cm="1">
        <f t="array" ref="P91">_xlfn.XLOOKUP(B91,HW_COST[[#All],[PART NUMBER]],HW_COST[[#All],[UNIT COST]])</f>
        <v>2.83</v>
      </c>
      <c r="Q91" s="1114">
        <f t="shared" si="20"/>
        <v>22.64</v>
      </c>
      <c r="R91" s="1114">
        <f t="shared" si="21"/>
        <v>0</v>
      </c>
    </row>
    <row r="92" spans="1:23" outlineLevel="1">
      <c r="A92" s="142">
        <v>2</v>
      </c>
      <c r="B92" s="1118" t="s">
        <v>862</v>
      </c>
      <c r="C92" s="1753" t="s">
        <v>1305</v>
      </c>
      <c r="D92" s="1753"/>
      <c r="E92" s="1753"/>
      <c r="F92" s="142" t="s">
        <v>911</v>
      </c>
      <c r="G92" s="142">
        <v>0.625</v>
      </c>
      <c r="H92" s="142"/>
      <c r="I92" s="142">
        <v>10</v>
      </c>
      <c r="J92" s="142"/>
      <c r="K92" s="142">
        <v>1</v>
      </c>
      <c r="L92" s="142" t="s">
        <v>1014</v>
      </c>
      <c r="M92" s="142">
        <f t="shared" si="23"/>
        <v>2</v>
      </c>
      <c r="N92" s="142">
        <f t="shared" si="22"/>
        <v>0</v>
      </c>
      <c r="O92" s="142"/>
      <c r="P92" s="1116" cm="1">
        <f t="array" ref="P92">_xlfn.XLOOKUP(B92,HW_COST[[#All],[PART NUMBER]],HW_COST[[#All],[UNIT COST]])</f>
        <v>11.115</v>
      </c>
      <c r="Q92" s="1116">
        <f t="shared" si="20"/>
        <v>22.23</v>
      </c>
      <c r="R92" s="1116">
        <f t="shared" si="21"/>
        <v>0</v>
      </c>
    </row>
    <row r="93" spans="1:23" outlineLevel="1">
      <c r="A93" s="135">
        <v>0.5</v>
      </c>
      <c r="B93" s="135">
        <v>501005</v>
      </c>
      <c r="C93" s="1685" t="s">
        <v>1306</v>
      </c>
      <c r="D93" s="1685"/>
      <c r="E93" s="1685"/>
      <c r="F93" s="135" t="s">
        <v>911</v>
      </c>
      <c r="G93" s="135"/>
      <c r="H93" s="135"/>
      <c r="I93" s="135"/>
      <c r="J93" s="135"/>
      <c r="K93" s="135">
        <v>1</v>
      </c>
      <c r="L93" s="135" t="s">
        <v>1014</v>
      </c>
      <c r="M93" s="135">
        <f t="shared" si="23"/>
        <v>0.5</v>
      </c>
      <c r="N93" s="135">
        <f t="shared" si="22"/>
        <v>0</v>
      </c>
      <c r="O93" s="135"/>
      <c r="P93" s="1114" cm="1">
        <f t="array" ref="P93">_xlfn.XLOOKUP(B93,PP_COST[[#All],[PART NUMBER]],PP_COST[[#All],[UNIT COST]])</f>
        <v>30.007999999999999</v>
      </c>
      <c r="Q93" s="1114">
        <f t="shared" si="20"/>
        <v>15.004</v>
      </c>
      <c r="R93" s="1114">
        <f t="shared" si="21"/>
        <v>0</v>
      </c>
    </row>
    <row r="94" spans="1:23" outlineLevel="1">
      <c r="A94" s="142"/>
      <c r="B94" s="142"/>
      <c r="C94" s="1753" t="s">
        <v>920</v>
      </c>
      <c r="D94" s="1753"/>
      <c r="E94" s="1753"/>
      <c r="F94" s="142"/>
      <c r="G94" s="142">
        <v>2.5</v>
      </c>
      <c r="H94" s="142" t="s">
        <v>1017</v>
      </c>
      <c r="I94" s="142"/>
      <c r="J94" s="142"/>
      <c r="K94" s="142"/>
      <c r="L94" s="142"/>
      <c r="M94" s="142"/>
      <c r="N94" s="142"/>
      <c r="O94" s="142"/>
      <c r="P94" s="142"/>
      <c r="Q94" s="142"/>
      <c r="R94" s="142"/>
    </row>
    <row r="95" spans="1:23">
      <c r="A95" s="254"/>
      <c r="B95" s="254"/>
      <c r="C95" s="254"/>
      <c r="D95" s="254"/>
      <c r="E95" s="255" t="s">
        <v>911</v>
      </c>
      <c r="F95" s="256">
        <f>SUMIF($F89:$F93,E95,$Q89:$Q93)</f>
        <v>59.874000000000002</v>
      </c>
      <c r="G95" s="255" t="s">
        <v>1005</v>
      </c>
      <c r="H95" s="256">
        <f>SUMIF($F89:$F93,G95,$Q89:$Q93)</f>
        <v>231.42072375000001</v>
      </c>
      <c r="I95" s="254"/>
      <c r="J95" s="254" t="s">
        <v>914</v>
      </c>
      <c r="K95" s="256">
        <f>SUMIF($F89:$F93,J95,$Q89:$Q93)</f>
        <v>0</v>
      </c>
      <c r="L95" s="254"/>
      <c r="M95" s="254"/>
      <c r="N95" s="254" t="s">
        <v>1018</v>
      </c>
      <c r="O95" s="139">
        <f>SUM(O89:O94)</f>
        <v>87.328575000000001</v>
      </c>
      <c r="P95" s="257" t="s">
        <v>1019</v>
      </c>
      <c r="Q95" s="1175">
        <f>SUM(Q89:Q94)</f>
        <v>291.29472375000006</v>
      </c>
      <c r="R95" s="1114">
        <f>SUM(R89:R94)</f>
        <v>0</v>
      </c>
    </row>
    <row r="96" spans="1:23" ht="15.75" thickBot="1"/>
    <row r="97" spans="1:23">
      <c r="A97" s="684" t="s">
        <v>1309</v>
      </c>
      <c r="B97" s="685"/>
      <c r="C97" s="685"/>
      <c r="D97" s="685"/>
      <c r="E97" s="685"/>
      <c r="F97" s="685"/>
      <c r="G97" s="685"/>
      <c r="H97" s="685"/>
      <c r="I97" s="685"/>
      <c r="J97" s="685"/>
      <c r="K97" s="685"/>
      <c r="L97" s="685"/>
      <c r="M97" s="685"/>
      <c r="N97" s="685"/>
      <c r="O97" s="685"/>
      <c r="P97" s="685"/>
      <c r="Q97" s="685"/>
      <c r="R97" s="686"/>
    </row>
    <row r="98" spans="1:23" ht="15.75" thickBot="1">
      <c r="A98" s="696"/>
      <c r="B98" s="697"/>
      <c r="C98" s="698"/>
      <c r="D98" s="698"/>
      <c r="E98" s="698"/>
      <c r="F98" s="698"/>
      <c r="G98" s="698"/>
      <c r="H98" s="698"/>
      <c r="I98" s="698"/>
      <c r="J98" s="698"/>
      <c r="K98" s="698"/>
      <c r="L98" s="698"/>
      <c r="M98" s="698"/>
      <c r="N98" s="698"/>
      <c r="O98" s="698"/>
      <c r="P98" s="698"/>
      <c r="Q98" s="698"/>
      <c r="R98" s="663" t="s">
        <v>1310</v>
      </c>
      <c r="S98" s="700">
        <v>120</v>
      </c>
    </row>
    <row r="99" spans="1:23" ht="15.75" thickBot="1">
      <c r="A99" s="354" t="s">
        <v>1301</v>
      </c>
      <c r="B99" s="355"/>
      <c r="C99" s="355"/>
      <c r="D99" s="355"/>
      <c r="E99" s="355"/>
      <c r="F99" s="355"/>
      <c r="G99" s="355"/>
      <c r="H99" s="355"/>
      <c r="I99" s="355"/>
      <c r="J99" s="355"/>
      <c r="K99" s="355"/>
      <c r="L99" s="355"/>
      <c r="M99" s="355"/>
      <c r="N99" s="355"/>
      <c r="O99" s="355"/>
      <c r="P99" s="355"/>
      <c r="Q99" s="355"/>
      <c r="R99" s="355"/>
      <c r="S99" s="292">
        <f>SUP_10</f>
        <v>0</v>
      </c>
      <c r="T99" s="153">
        <f>H106*S99</f>
        <v>0</v>
      </c>
      <c r="U99" s="154">
        <f>G105*S99</f>
        <v>0</v>
      </c>
      <c r="V99" s="153">
        <f>F106*S99</f>
        <v>0</v>
      </c>
      <c r="W99" s="153">
        <v>0</v>
      </c>
    </row>
    <row r="100" spans="1:23" outlineLevel="1">
      <c r="A100" s="135">
        <v>2</v>
      </c>
      <c r="B100" s="135" cm="1">
        <f t="array" ref="B100">_xlfn.XLOOKUP(G100,SM_TBL[[#All],[Thickness]],SM_TBL[[#All],[MoC_PN]])</f>
        <v>101963</v>
      </c>
      <c r="C100" s="1755" t="s">
        <v>1302</v>
      </c>
      <c r="D100" s="1755"/>
      <c r="E100" s="1755"/>
      <c r="F100" s="136" t="s">
        <v>1005</v>
      </c>
      <c r="G100" s="137">
        <v>0.25</v>
      </c>
      <c r="H100" s="137">
        <v>9.51</v>
      </c>
      <c r="I100" s="276">
        <f>S98</f>
        <v>120</v>
      </c>
      <c r="J100" s="135">
        <v>0.28899999999999998</v>
      </c>
      <c r="K100" s="138">
        <f>G100*H100*I100*J100</f>
        <v>82.451700000000002</v>
      </c>
      <c r="L100" s="138" t="s">
        <v>92</v>
      </c>
      <c r="M100" s="138">
        <f>A100*K100</f>
        <v>164.9034</v>
      </c>
      <c r="N100" s="138">
        <f>$S$99*M100</f>
        <v>0</v>
      </c>
      <c r="O100" s="139">
        <f>M100</f>
        <v>164.9034</v>
      </c>
      <c r="P100" s="1114" cm="1">
        <f t="array" ref="P100">_xlfn.XLOOKUP(B100,MET_PRICE[[#All],[Part Number]],MET_PRICE[[#All],[Price ($/lb) Domestic]])</f>
        <v>2.65</v>
      </c>
      <c r="Q100" s="1114">
        <f t="shared" ref="Q100:Q104" si="24">P100*M100</f>
        <v>436.99401</v>
      </c>
      <c r="R100" s="1114">
        <f t="shared" ref="R100:R104" si="25">N100*P100</f>
        <v>0</v>
      </c>
    </row>
    <row r="101" spans="1:23" outlineLevel="1">
      <c r="A101" s="142">
        <v>2</v>
      </c>
      <c r="B101" s="142" cm="1">
        <f t="array" ref="B101">_xlfn.XLOOKUP(G101,SM_TBL[[#All],[Thickness]],SM_TBL[[#All],[MoC_PN]])</f>
        <v>101963</v>
      </c>
      <c r="C101" s="1754" t="s">
        <v>1303</v>
      </c>
      <c r="D101" s="1754"/>
      <c r="E101" s="1754"/>
      <c r="F101" s="143" t="s">
        <v>1005</v>
      </c>
      <c r="G101" s="142">
        <v>0.25</v>
      </c>
      <c r="H101" s="142">
        <v>4.5</v>
      </c>
      <c r="I101" s="142">
        <v>7.5</v>
      </c>
      <c r="J101" s="142">
        <v>0.28899999999999998</v>
      </c>
      <c r="K101" s="144">
        <f>G101*H101*I101*J101</f>
        <v>2.4384375</v>
      </c>
      <c r="L101" s="144" t="s">
        <v>92</v>
      </c>
      <c r="M101" s="144">
        <f>A101*K101</f>
        <v>4.8768750000000001</v>
      </c>
      <c r="N101" s="144">
        <f t="shared" ref="N101:N104" si="26">$S$99*M101</f>
        <v>0</v>
      </c>
      <c r="O101" s="145">
        <f>M101</f>
        <v>4.8768750000000001</v>
      </c>
      <c r="P101" s="1116" cm="1">
        <f t="array" ref="P101">_xlfn.XLOOKUP(B101,MET_PRICE[[#All],[Part Number]],MET_PRICE[[#All],[Price ($/lb) Domestic]])</f>
        <v>2.65</v>
      </c>
      <c r="Q101" s="1116">
        <f t="shared" si="24"/>
        <v>12.923718749999999</v>
      </c>
      <c r="R101" s="1116">
        <f t="shared" si="25"/>
        <v>0</v>
      </c>
    </row>
    <row r="102" spans="1:23" outlineLevel="1">
      <c r="A102" s="135">
        <v>8</v>
      </c>
      <c r="B102" s="1112" t="s">
        <v>856</v>
      </c>
      <c r="C102" s="1685" t="s">
        <v>1304</v>
      </c>
      <c r="D102" s="1685"/>
      <c r="E102" s="1685"/>
      <c r="F102" s="135" t="s">
        <v>911</v>
      </c>
      <c r="G102" s="135" t="s">
        <v>824</v>
      </c>
      <c r="H102" s="135"/>
      <c r="I102" s="135"/>
      <c r="J102" s="135"/>
      <c r="K102" s="135">
        <v>1</v>
      </c>
      <c r="L102" s="135" t="s">
        <v>1014</v>
      </c>
      <c r="M102" s="135">
        <f t="shared" ref="M102:M104" si="27">A102*K102</f>
        <v>8</v>
      </c>
      <c r="N102" s="135">
        <f t="shared" si="26"/>
        <v>0</v>
      </c>
      <c r="O102" s="135"/>
      <c r="P102" s="1114" cm="1">
        <f t="array" ref="P102">_xlfn.XLOOKUP(B102,HW_COST[[#All],[PART NUMBER]],HW_COST[[#All],[UNIT COST]])</f>
        <v>2.83</v>
      </c>
      <c r="Q102" s="1114">
        <f t="shared" si="24"/>
        <v>22.64</v>
      </c>
      <c r="R102" s="1114">
        <f t="shared" si="25"/>
        <v>0</v>
      </c>
    </row>
    <row r="103" spans="1:23" outlineLevel="1">
      <c r="A103" s="142">
        <v>2</v>
      </c>
      <c r="B103" s="1118" t="s">
        <v>862</v>
      </c>
      <c r="C103" s="1753" t="s">
        <v>1305</v>
      </c>
      <c r="D103" s="1753"/>
      <c r="E103" s="1753"/>
      <c r="F103" s="142" t="s">
        <v>911</v>
      </c>
      <c r="G103" s="142">
        <v>0.625</v>
      </c>
      <c r="H103" s="142"/>
      <c r="I103" s="142">
        <v>10</v>
      </c>
      <c r="J103" s="142"/>
      <c r="K103" s="142">
        <v>1</v>
      </c>
      <c r="L103" s="142" t="s">
        <v>1014</v>
      </c>
      <c r="M103" s="142">
        <f t="shared" si="27"/>
        <v>2</v>
      </c>
      <c r="N103" s="142">
        <f t="shared" si="26"/>
        <v>0</v>
      </c>
      <c r="O103" s="142"/>
      <c r="P103" s="1116" cm="1">
        <f t="array" ref="P103">_xlfn.XLOOKUP(B103,HW_COST[[#All],[PART NUMBER]],HW_COST[[#All],[UNIT COST]])</f>
        <v>11.115</v>
      </c>
      <c r="Q103" s="1116">
        <f t="shared" si="24"/>
        <v>22.23</v>
      </c>
      <c r="R103" s="1116">
        <f t="shared" si="25"/>
        <v>0</v>
      </c>
    </row>
    <row r="104" spans="1:23" outlineLevel="1">
      <c r="A104" s="135">
        <v>0.5</v>
      </c>
      <c r="B104" s="135">
        <v>501005</v>
      </c>
      <c r="C104" s="1685" t="s">
        <v>1306</v>
      </c>
      <c r="D104" s="1685"/>
      <c r="E104" s="1685"/>
      <c r="F104" s="135" t="s">
        <v>911</v>
      </c>
      <c r="G104" s="135"/>
      <c r="H104" s="135"/>
      <c r="I104" s="135"/>
      <c r="J104" s="135"/>
      <c r="K104" s="135">
        <v>1</v>
      </c>
      <c r="L104" s="135" t="s">
        <v>1014</v>
      </c>
      <c r="M104" s="135">
        <f t="shared" si="27"/>
        <v>0.5</v>
      </c>
      <c r="N104" s="135">
        <f t="shared" si="26"/>
        <v>0</v>
      </c>
      <c r="O104" s="135"/>
      <c r="P104" s="1114" cm="1">
        <f t="array" ref="P104">_xlfn.XLOOKUP(B104,PP_COST[[#All],[PART NUMBER]],PP_COST[[#All],[UNIT COST]])</f>
        <v>30.007999999999999</v>
      </c>
      <c r="Q104" s="1114">
        <f t="shared" si="24"/>
        <v>15.004</v>
      </c>
      <c r="R104" s="1114">
        <f t="shared" si="25"/>
        <v>0</v>
      </c>
    </row>
    <row r="105" spans="1:23" outlineLevel="1">
      <c r="A105" s="142"/>
      <c r="B105" s="142"/>
      <c r="C105" s="1753" t="s">
        <v>920</v>
      </c>
      <c r="D105" s="1753"/>
      <c r="E105" s="1753"/>
      <c r="F105" s="142"/>
      <c r="G105" s="142">
        <v>3</v>
      </c>
      <c r="H105" s="142" t="s">
        <v>1017</v>
      </c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</row>
    <row r="106" spans="1:23">
      <c r="A106" s="254"/>
      <c r="B106" s="254"/>
      <c r="C106" s="254"/>
      <c r="D106" s="254"/>
      <c r="E106" s="255" t="s">
        <v>911</v>
      </c>
      <c r="F106" s="256">
        <f>SUMIF($F100:$F104,E106,$Q100:$Q104)</f>
        <v>59.874000000000002</v>
      </c>
      <c r="G106" s="255" t="s">
        <v>1005</v>
      </c>
      <c r="H106" s="256">
        <f>SUMIF($F100:$F104,G106,$Q100:$Q104)</f>
        <v>449.91772874999998</v>
      </c>
      <c r="I106" s="254"/>
      <c r="J106" s="254" t="s">
        <v>914</v>
      </c>
      <c r="K106" s="256">
        <f>SUMIF($F100:$F104,J106,$Q100:$Q104)</f>
        <v>0</v>
      </c>
      <c r="L106" s="254"/>
      <c r="M106" s="254"/>
      <c r="N106" s="254" t="s">
        <v>1018</v>
      </c>
      <c r="O106" s="139">
        <f>SUM(O100:O105)</f>
        <v>169.78027500000002</v>
      </c>
      <c r="P106" s="257" t="s">
        <v>1019</v>
      </c>
      <c r="Q106" s="1175">
        <f>SUM(Q100:Q105)</f>
        <v>509.79172875</v>
      </c>
      <c r="R106" s="1114">
        <f>SUM(R100:R105)</f>
        <v>0</v>
      </c>
    </row>
    <row r="107" spans="1:23" ht="15.75" thickBot="1"/>
    <row r="108" spans="1:23">
      <c r="A108" s="684" t="s">
        <v>1311</v>
      </c>
      <c r="B108" s="685"/>
      <c r="C108" s="685"/>
      <c r="D108" s="685"/>
      <c r="E108" s="685"/>
      <c r="F108" s="685"/>
      <c r="G108" s="685"/>
      <c r="H108" s="685"/>
      <c r="I108" s="685"/>
      <c r="J108" s="685"/>
      <c r="K108" s="685"/>
      <c r="L108" s="685"/>
      <c r="M108" s="685"/>
      <c r="N108" s="685"/>
      <c r="O108" s="685"/>
      <c r="P108" s="685"/>
      <c r="Q108" s="685"/>
      <c r="R108" s="686"/>
    </row>
    <row r="109" spans="1:23" ht="15.75" thickBot="1">
      <c r="A109" s="696"/>
      <c r="B109" s="697"/>
      <c r="C109" s="698"/>
      <c r="D109" s="698"/>
      <c r="E109" s="698"/>
      <c r="F109" s="698"/>
      <c r="G109" s="698"/>
      <c r="H109" s="698"/>
      <c r="I109" s="698"/>
      <c r="J109" s="698"/>
      <c r="K109" s="698"/>
      <c r="L109" s="698"/>
      <c r="M109" s="698"/>
      <c r="N109" s="698"/>
      <c r="O109" s="698"/>
      <c r="P109" s="698"/>
      <c r="Q109" s="698"/>
      <c r="R109" s="663" t="s">
        <v>1312</v>
      </c>
      <c r="S109" s="700">
        <f>15*12</f>
        <v>180</v>
      </c>
    </row>
    <row r="110" spans="1:23" ht="15.75" thickBot="1">
      <c r="A110" s="354" t="s">
        <v>1301</v>
      </c>
      <c r="B110" s="355"/>
      <c r="C110" s="355"/>
      <c r="D110" s="355"/>
      <c r="E110" s="355"/>
      <c r="F110" s="355"/>
      <c r="G110" s="355"/>
      <c r="H110" s="355"/>
      <c r="I110" s="355"/>
      <c r="J110" s="355"/>
      <c r="K110" s="355"/>
      <c r="L110" s="355"/>
      <c r="M110" s="355"/>
      <c r="N110" s="355"/>
      <c r="O110" s="355"/>
      <c r="P110" s="355"/>
      <c r="Q110" s="355"/>
      <c r="R110" s="355"/>
      <c r="S110" s="292">
        <f>SUP_15</f>
        <v>0</v>
      </c>
      <c r="T110" s="153">
        <f>H117*S110</f>
        <v>0</v>
      </c>
      <c r="U110" s="154">
        <f>G116*S110</f>
        <v>0</v>
      </c>
      <c r="V110" s="153">
        <f>F117*S110</f>
        <v>0</v>
      </c>
      <c r="W110" s="153">
        <v>0</v>
      </c>
    </row>
    <row r="111" spans="1:23" outlineLevel="1">
      <c r="A111" s="135">
        <v>2</v>
      </c>
      <c r="B111" s="135" cm="1">
        <f t="array" ref="B111">_xlfn.XLOOKUP(G111,SM_TBL[[#All],[Thickness]],SM_TBL[[#All],[MoC_PN]])</f>
        <v>101963</v>
      </c>
      <c r="C111" s="1755" t="s">
        <v>1302</v>
      </c>
      <c r="D111" s="1755"/>
      <c r="E111" s="1755"/>
      <c r="F111" s="136" t="s">
        <v>1005</v>
      </c>
      <c r="G111" s="137">
        <v>0.25</v>
      </c>
      <c r="H111" s="137">
        <v>9.51</v>
      </c>
      <c r="I111" s="276">
        <f>S109</f>
        <v>180</v>
      </c>
      <c r="J111" s="135">
        <v>0.28899999999999998</v>
      </c>
      <c r="K111" s="138">
        <f>G111*H111*I111*J111</f>
        <v>123.67754999999998</v>
      </c>
      <c r="L111" s="138" t="s">
        <v>92</v>
      </c>
      <c r="M111" s="138">
        <f>A111*K111</f>
        <v>247.35509999999996</v>
      </c>
      <c r="N111" s="138">
        <f>$S$110*M111</f>
        <v>0</v>
      </c>
      <c r="O111" s="139">
        <f>M111</f>
        <v>247.35509999999996</v>
      </c>
      <c r="P111" s="1114" cm="1">
        <f t="array" ref="P111">_xlfn.XLOOKUP(B111,MET_PRICE[[#All],[Part Number]],MET_PRICE[[#All],[Price ($/lb) Domestic]])</f>
        <v>2.65</v>
      </c>
      <c r="Q111" s="1114">
        <f t="shared" ref="Q111:Q115" si="28">P111*M111</f>
        <v>655.49101499999983</v>
      </c>
      <c r="R111" s="1114">
        <f t="shared" ref="R111:R115" si="29">N111*P111</f>
        <v>0</v>
      </c>
    </row>
    <row r="112" spans="1:23" outlineLevel="1">
      <c r="A112" s="142">
        <v>2</v>
      </c>
      <c r="B112" s="142" cm="1">
        <f t="array" ref="B112">_xlfn.XLOOKUP(G112,SM_TBL[[#All],[Thickness]],SM_TBL[[#All],[MoC_PN]])</f>
        <v>101963</v>
      </c>
      <c r="C112" s="1754" t="s">
        <v>1303</v>
      </c>
      <c r="D112" s="1754"/>
      <c r="E112" s="1754"/>
      <c r="F112" s="143" t="s">
        <v>1005</v>
      </c>
      <c r="G112" s="142">
        <v>0.25</v>
      </c>
      <c r="H112" s="142">
        <v>4.5</v>
      </c>
      <c r="I112" s="142">
        <v>7.5</v>
      </c>
      <c r="J112" s="142">
        <v>0.28899999999999998</v>
      </c>
      <c r="K112" s="144">
        <f>G112*H112*I112*J112</f>
        <v>2.4384375</v>
      </c>
      <c r="L112" s="144" t="s">
        <v>92</v>
      </c>
      <c r="M112" s="144">
        <f>A112*K112</f>
        <v>4.8768750000000001</v>
      </c>
      <c r="N112" s="144">
        <f t="shared" ref="N112:N115" si="30">$S$110*M112</f>
        <v>0</v>
      </c>
      <c r="O112" s="145">
        <f>M112</f>
        <v>4.8768750000000001</v>
      </c>
      <c r="P112" s="1116" cm="1">
        <f t="array" ref="P112">_xlfn.XLOOKUP(B112,MET_PRICE[[#All],[Part Number]],MET_PRICE[[#All],[Price ($/lb) Domestic]])</f>
        <v>2.65</v>
      </c>
      <c r="Q112" s="1116">
        <f t="shared" si="28"/>
        <v>12.923718749999999</v>
      </c>
      <c r="R112" s="1116">
        <f t="shared" si="29"/>
        <v>0</v>
      </c>
    </row>
    <row r="113" spans="1:23" outlineLevel="1">
      <c r="A113" s="135">
        <v>8</v>
      </c>
      <c r="B113" s="1112" t="s">
        <v>856</v>
      </c>
      <c r="C113" s="1685" t="s">
        <v>1304</v>
      </c>
      <c r="D113" s="1685"/>
      <c r="E113" s="1685"/>
      <c r="F113" s="135" t="s">
        <v>911</v>
      </c>
      <c r="G113" s="1112" t="s">
        <v>824</v>
      </c>
      <c r="H113" s="135"/>
      <c r="I113" s="135"/>
      <c r="J113" s="135"/>
      <c r="K113" s="135">
        <v>1</v>
      </c>
      <c r="L113" s="135" t="s">
        <v>1014</v>
      </c>
      <c r="M113" s="135">
        <f t="shared" ref="M113:M115" si="31">A113*K113</f>
        <v>8</v>
      </c>
      <c r="N113" s="135">
        <f t="shared" si="30"/>
        <v>0</v>
      </c>
      <c r="O113" s="135"/>
      <c r="P113" s="1114" cm="1">
        <f t="array" ref="P113">_xlfn.XLOOKUP(B113,HW_COST[[#All],[PART NUMBER]],HW_COST[[#All],[UNIT COST]])</f>
        <v>2.83</v>
      </c>
      <c r="Q113" s="1114">
        <f t="shared" si="28"/>
        <v>22.64</v>
      </c>
      <c r="R113" s="1114">
        <f t="shared" si="29"/>
        <v>0</v>
      </c>
    </row>
    <row r="114" spans="1:23" outlineLevel="1">
      <c r="A114" s="142">
        <v>2</v>
      </c>
      <c r="B114" s="1118" t="s">
        <v>862</v>
      </c>
      <c r="C114" s="1753" t="s">
        <v>1305</v>
      </c>
      <c r="D114" s="1753"/>
      <c r="E114" s="1753"/>
      <c r="F114" s="142" t="s">
        <v>911</v>
      </c>
      <c r="G114" s="142">
        <v>0.625</v>
      </c>
      <c r="H114" s="142"/>
      <c r="I114" s="142">
        <v>10</v>
      </c>
      <c r="J114" s="142"/>
      <c r="K114" s="142">
        <v>1</v>
      </c>
      <c r="L114" s="142" t="s">
        <v>1014</v>
      </c>
      <c r="M114" s="142">
        <f t="shared" si="31"/>
        <v>2</v>
      </c>
      <c r="N114" s="142">
        <f t="shared" si="30"/>
        <v>0</v>
      </c>
      <c r="O114" s="142"/>
      <c r="P114" s="1116" cm="1">
        <f t="array" ref="P114">_xlfn.XLOOKUP(B114,HW_COST[[#All],[PART NUMBER]],HW_COST[[#All],[UNIT COST]])</f>
        <v>11.115</v>
      </c>
      <c r="Q114" s="1116">
        <f t="shared" si="28"/>
        <v>22.23</v>
      </c>
      <c r="R114" s="1116">
        <f t="shared" si="29"/>
        <v>0</v>
      </c>
    </row>
    <row r="115" spans="1:23" outlineLevel="1">
      <c r="A115" s="135">
        <v>0.5</v>
      </c>
      <c r="B115" s="135">
        <v>501005</v>
      </c>
      <c r="C115" s="1685" t="s">
        <v>1306</v>
      </c>
      <c r="D115" s="1685"/>
      <c r="E115" s="1685"/>
      <c r="F115" s="135" t="s">
        <v>911</v>
      </c>
      <c r="G115" s="135"/>
      <c r="H115" s="135"/>
      <c r="I115" s="135"/>
      <c r="J115" s="135"/>
      <c r="K115" s="135">
        <v>1</v>
      </c>
      <c r="L115" s="135" t="s">
        <v>1014</v>
      </c>
      <c r="M115" s="135">
        <f t="shared" si="31"/>
        <v>0.5</v>
      </c>
      <c r="N115" s="135">
        <f t="shared" si="30"/>
        <v>0</v>
      </c>
      <c r="O115" s="135"/>
      <c r="P115" s="1114" cm="1">
        <f t="array" ref="P115">_xlfn.XLOOKUP(B115,PP_COST[[#All],[PART NUMBER]],PP_COST[[#All],[UNIT COST]])</f>
        <v>30.007999999999999</v>
      </c>
      <c r="Q115" s="1114">
        <f t="shared" si="28"/>
        <v>15.004</v>
      </c>
      <c r="R115" s="1114">
        <f t="shared" si="29"/>
        <v>0</v>
      </c>
    </row>
    <row r="116" spans="1:23" outlineLevel="1">
      <c r="A116" s="142"/>
      <c r="B116" s="142"/>
      <c r="C116" s="1753" t="s">
        <v>920</v>
      </c>
      <c r="D116" s="1753"/>
      <c r="E116" s="1753"/>
      <c r="F116" s="142"/>
      <c r="G116" s="142">
        <v>3.5</v>
      </c>
      <c r="H116" s="142" t="s">
        <v>1017</v>
      </c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</row>
    <row r="117" spans="1:23">
      <c r="A117" s="254"/>
      <c r="B117" s="254"/>
      <c r="C117" s="254"/>
      <c r="D117" s="254"/>
      <c r="E117" s="255" t="s">
        <v>911</v>
      </c>
      <c r="F117" s="256">
        <f>SUMIF($F111:$F115,E117,$Q111:$Q115)</f>
        <v>59.874000000000002</v>
      </c>
      <c r="G117" s="255" t="s">
        <v>1005</v>
      </c>
      <c r="H117" s="256">
        <f>SUMIF($F111:$F115,G117,$Q111:$Q115)</f>
        <v>668.41473374999987</v>
      </c>
      <c r="I117" s="254"/>
      <c r="J117" s="254" t="s">
        <v>914</v>
      </c>
      <c r="K117" s="256">
        <f>SUMIF($F111:$F115,J117,$Q111:$Q115)</f>
        <v>0</v>
      </c>
      <c r="L117" s="254"/>
      <c r="M117" s="254"/>
      <c r="N117" s="254" t="s">
        <v>1018</v>
      </c>
      <c r="O117" s="139">
        <f>SUM(O111:O116)</f>
        <v>252.23197499999998</v>
      </c>
      <c r="P117" s="257" t="s">
        <v>1019</v>
      </c>
      <c r="Q117" s="1175">
        <f>SUM(Q111:Q116)</f>
        <v>728.28873374999989</v>
      </c>
      <c r="R117" s="1114">
        <f>SUM(R111:R116)</f>
        <v>0</v>
      </c>
    </row>
    <row r="118" spans="1:23" ht="15.75" thickBot="1"/>
    <row r="119" spans="1:23">
      <c r="A119" s="684" t="s">
        <v>1313</v>
      </c>
      <c r="B119" s="685"/>
      <c r="C119" s="685"/>
      <c r="D119" s="685"/>
      <c r="E119" s="685"/>
      <c r="F119" s="685"/>
      <c r="G119" s="685"/>
      <c r="H119" s="685"/>
      <c r="I119" s="685"/>
      <c r="J119" s="685"/>
      <c r="K119" s="685"/>
      <c r="L119" s="685"/>
      <c r="M119" s="685"/>
      <c r="N119" s="685"/>
      <c r="O119" s="685"/>
      <c r="P119" s="685"/>
      <c r="Q119" s="685"/>
      <c r="R119" s="686"/>
    </row>
    <row r="120" spans="1:23" ht="15.75" thickBot="1">
      <c r="A120" s="696"/>
      <c r="B120" s="697"/>
      <c r="C120" s="698"/>
      <c r="D120" s="698"/>
      <c r="E120" s="698"/>
      <c r="F120" s="698"/>
      <c r="G120" s="698"/>
      <c r="H120" s="698"/>
      <c r="I120" s="698"/>
      <c r="J120" s="698"/>
      <c r="K120" s="698"/>
      <c r="L120" s="698"/>
      <c r="M120" s="698"/>
      <c r="N120" s="698"/>
      <c r="O120" s="698"/>
      <c r="P120" s="698"/>
      <c r="Q120" s="698"/>
      <c r="R120" s="663" t="s">
        <v>1314</v>
      </c>
      <c r="S120" s="275">
        <v>240</v>
      </c>
    </row>
    <row r="121" spans="1:23" ht="15.75" thickBot="1">
      <c r="A121" s="354" t="s">
        <v>1301</v>
      </c>
      <c r="B121" s="355"/>
      <c r="C121" s="355"/>
      <c r="D121" s="355"/>
      <c r="E121" s="355"/>
      <c r="F121" s="355"/>
      <c r="G121" s="355"/>
      <c r="H121" s="355"/>
      <c r="I121" s="355"/>
      <c r="J121" s="355"/>
      <c r="K121" s="355"/>
      <c r="L121" s="355"/>
      <c r="M121" s="355"/>
      <c r="N121" s="355"/>
      <c r="O121" s="355"/>
      <c r="P121" s="355"/>
      <c r="Q121" s="355"/>
      <c r="R121" s="355"/>
      <c r="S121" s="292">
        <f>SUP_20</f>
        <v>0</v>
      </c>
      <c r="T121" s="153">
        <f>H128*S121</f>
        <v>0</v>
      </c>
      <c r="U121" s="154">
        <f>G127*S121</f>
        <v>0</v>
      </c>
      <c r="V121" s="153">
        <f>F128*S121</f>
        <v>0</v>
      </c>
      <c r="W121" s="153">
        <v>0</v>
      </c>
    </row>
    <row r="122" spans="1:23" outlineLevel="1">
      <c r="A122" s="135">
        <v>2</v>
      </c>
      <c r="B122" s="135" cm="1">
        <f t="array" ref="B122">_xlfn.XLOOKUP(G122,SM_TBL[[#All],[Thickness]],SM_TBL[[#All],[MoC_PN]])</f>
        <v>101963</v>
      </c>
      <c r="C122" s="1755" t="s">
        <v>1302</v>
      </c>
      <c r="D122" s="1755"/>
      <c r="E122" s="1755"/>
      <c r="F122" s="136" t="s">
        <v>1005</v>
      </c>
      <c r="G122" s="137">
        <v>0.25</v>
      </c>
      <c r="H122" s="137">
        <v>9.51</v>
      </c>
      <c r="I122" s="276">
        <f>S120</f>
        <v>240</v>
      </c>
      <c r="J122" s="135">
        <v>0.28899999999999998</v>
      </c>
      <c r="K122" s="138">
        <f>G122*H122*I122*J122</f>
        <v>164.9034</v>
      </c>
      <c r="L122" s="138" t="s">
        <v>92</v>
      </c>
      <c r="M122" s="138">
        <f>A122*K122</f>
        <v>329.80680000000001</v>
      </c>
      <c r="N122" s="138">
        <f>$S$121*M122</f>
        <v>0</v>
      </c>
      <c r="O122" s="139">
        <f>M122</f>
        <v>329.80680000000001</v>
      </c>
      <c r="P122" s="1114" cm="1">
        <f t="array" ref="P122">_xlfn.XLOOKUP(B122,MET_PRICE[[#All],[Part Number]],MET_PRICE[[#All],[Price ($/lb) Domestic]])</f>
        <v>2.65</v>
      </c>
      <c r="Q122" s="1114">
        <f t="shared" ref="Q122:Q126" si="32">P122*M122</f>
        <v>873.98802000000001</v>
      </c>
      <c r="R122" s="1114">
        <f t="shared" ref="R122:R126" si="33">N122*P122</f>
        <v>0</v>
      </c>
    </row>
    <row r="123" spans="1:23" outlineLevel="1">
      <c r="A123" s="142">
        <v>2</v>
      </c>
      <c r="B123" s="142" cm="1">
        <f t="array" ref="B123">_xlfn.XLOOKUP(G123,SM_TBL[[#All],[Thickness]],SM_TBL[[#All],[MoC_PN]])</f>
        <v>101963</v>
      </c>
      <c r="C123" s="1754" t="s">
        <v>1303</v>
      </c>
      <c r="D123" s="1754"/>
      <c r="E123" s="1754"/>
      <c r="F123" s="143" t="s">
        <v>1005</v>
      </c>
      <c r="G123" s="142">
        <v>0.25</v>
      </c>
      <c r="H123" s="142">
        <v>4.5</v>
      </c>
      <c r="I123" s="142">
        <v>7.5</v>
      </c>
      <c r="J123" s="142">
        <v>0.28899999999999998</v>
      </c>
      <c r="K123" s="144">
        <f>G123*H123*I123*J123</f>
        <v>2.4384375</v>
      </c>
      <c r="L123" s="144" t="s">
        <v>92</v>
      </c>
      <c r="M123" s="144">
        <f>A123*K123</f>
        <v>4.8768750000000001</v>
      </c>
      <c r="N123" s="144">
        <f t="shared" ref="N123:N126" si="34">$S$121*M123</f>
        <v>0</v>
      </c>
      <c r="O123" s="145">
        <f>M123</f>
        <v>4.8768750000000001</v>
      </c>
      <c r="P123" s="1116" cm="1">
        <f t="array" ref="P123">_xlfn.XLOOKUP(B123,MET_PRICE[[#All],[Part Number]],MET_PRICE[[#All],[Price ($/lb) Domestic]])</f>
        <v>2.65</v>
      </c>
      <c r="Q123" s="1116">
        <f t="shared" si="32"/>
        <v>12.923718749999999</v>
      </c>
      <c r="R123" s="1116">
        <f t="shared" si="33"/>
        <v>0</v>
      </c>
    </row>
    <row r="124" spans="1:23" outlineLevel="1">
      <c r="A124" s="135">
        <v>8</v>
      </c>
      <c r="B124" s="1112" t="s">
        <v>856</v>
      </c>
      <c r="C124" s="1685" t="s">
        <v>1304</v>
      </c>
      <c r="D124" s="1685"/>
      <c r="E124" s="1685"/>
      <c r="F124" s="135" t="s">
        <v>911</v>
      </c>
      <c r="G124" s="1112" t="s">
        <v>824</v>
      </c>
      <c r="H124" s="135"/>
      <c r="I124" s="135"/>
      <c r="J124" s="135"/>
      <c r="K124" s="135">
        <v>1</v>
      </c>
      <c r="L124" s="135" t="s">
        <v>1014</v>
      </c>
      <c r="M124" s="135">
        <f t="shared" ref="M124:M126" si="35">A124*K124</f>
        <v>8</v>
      </c>
      <c r="N124" s="135">
        <f t="shared" si="34"/>
        <v>0</v>
      </c>
      <c r="O124" s="135"/>
      <c r="P124" s="1114" cm="1">
        <f t="array" ref="P124">_xlfn.XLOOKUP(B124,HW_COST[[#All],[PART NUMBER]],HW_COST[[#All],[UNIT COST]])</f>
        <v>2.83</v>
      </c>
      <c r="Q124" s="1114">
        <f t="shared" si="32"/>
        <v>22.64</v>
      </c>
      <c r="R124" s="1114">
        <f t="shared" si="33"/>
        <v>0</v>
      </c>
    </row>
    <row r="125" spans="1:23" outlineLevel="1">
      <c r="A125" s="142">
        <v>2</v>
      </c>
      <c r="B125" s="1118" t="s">
        <v>862</v>
      </c>
      <c r="C125" s="1753" t="s">
        <v>1305</v>
      </c>
      <c r="D125" s="1753"/>
      <c r="E125" s="1753"/>
      <c r="F125" s="142" t="s">
        <v>911</v>
      </c>
      <c r="G125" s="142">
        <v>0.625</v>
      </c>
      <c r="H125" s="142"/>
      <c r="I125" s="142">
        <v>10</v>
      </c>
      <c r="J125" s="142"/>
      <c r="K125" s="142">
        <v>1</v>
      </c>
      <c r="L125" s="142" t="s">
        <v>1014</v>
      </c>
      <c r="M125" s="142">
        <f t="shared" si="35"/>
        <v>2</v>
      </c>
      <c r="N125" s="142">
        <f t="shared" si="34"/>
        <v>0</v>
      </c>
      <c r="O125" s="142"/>
      <c r="P125" s="1116" cm="1">
        <f t="array" ref="P125">_xlfn.XLOOKUP(B125,HW_COST[[#All],[PART NUMBER]],HW_COST[[#All],[UNIT COST]])</f>
        <v>11.115</v>
      </c>
      <c r="Q125" s="1116">
        <f t="shared" si="32"/>
        <v>22.23</v>
      </c>
      <c r="R125" s="1116">
        <f t="shared" si="33"/>
        <v>0</v>
      </c>
    </row>
    <row r="126" spans="1:23" outlineLevel="1">
      <c r="A126" s="135">
        <v>0.5</v>
      </c>
      <c r="B126" s="135">
        <v>501005</v>
      </c>
      <c r="C126" s="1685" t="s">
        <v>1306</v>
      </c>
      <c r="D126" s="1685"/>
      <c r="E126" s="1685"/>
      <c r="F126" s="135" t="s">
        <v>911</v>
      </c>
      <c r="G126" s="135"/>
      <c r="H126" s="135"/>
      <c r="I126" s="135"/>
      <c r="J126" s="135"/>
      <c r="K126" s="135">
        <v>1</v>
      </c>
      <c r="L126" s="135" t="s">
        <v>1014</v>
      </c>
      <c r="M126" s="135">
        <f t="shared" si="35"/>
        <v>0.5</v>
      </c>
      <c r="N126" s="135">
        <f t="shared" si="34"/>
        <v>0</v>
      </c>
      <c r="O126" s="135"/>
      <c r="P126" s="1114" cm="1">
        <f t="array" ref="P126">_xlfn.XLOOKUP(B126,PP_COST[[#All],[PART NUMBER]],PP_COST[[#All],[UNIT COST]])</f>
        <v>30.007999999999999</v>
      </c>
      <c r="Q126" s="1114">
        <f t="shared" si="32"/>
        <v>15.004</v>
      </c>
      <c r="R126" s="1114">
        <f t="shared" si="33"/>
        <v>0</v>
      </c>
    </row>
    <row r="127" spans="1:23" outlineLevel="1">
      <c r="A127" s="142"/>
      <c r="B127" s="142"/>
      <c r="C127" s="1753" t="s">
        <v>920</v>
      </c>
      <c r="D127" s="1753"/>
      <c r="E127" s="1753"/>
      <c r="F127" s="142"/>
      <c r="G127" s="142">
        <v>4</v>
      </c>
      <c r="H127" s="142" t="s">
        <v>1017</v>
      </c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</row>
    <row r="128" spans="1:23">
      <c r="A128" s="254"/>
      <c r="B128" s="254"/>
      <c r="C128" s="254"/>
      <c r="D128" s="254"/>
      <c r="E128" s="255" t="s">
        <v>911</v>
      </c>
      <c r="F128" s="256">
        <f>SUMIF($F122:$F126,E128,$Q122:$Q126)</f>
        <v>59.874000000000002</v>
      </c>
      <c r="G128" s="255" t="s">
        <v>1005</v>
      </c>
      <c r="H128" s="256">
        <f>SUMIF($F122:$F126,G128,$Q122:$Q126)</f>
        <v>886.91173875000004</v>
      </c>
      <c r="I128" s="254"/>
      <c r="J128" s="254" t="s">
        <v>914</v>
      </c>
      <c r="K128" s="256">
        <f>SUMIF($F122:$F126,J128,$Q122:$Q126)</f>
        <v>0</v>
      </c>
      <c r="L128" s="254"/>
      <c r="M128" s="254"/>
      <c r="N128" s="254" t="s">
        <v>1018</v>
      </c>
      <c r="O128" s="139">
        <f>SUM(O122:O127)</f>
        <v>334.68367499999999</v>
      </c>
      <c r="P128" s="257" t="s">
        <v>1019</v>
      </c>
      <c r="Q128" s="1175">
        <f>SUM(Q122:Q127)</f>
        <v>946.78573875000006</v>
      </c>
      <c r="R128" s="1114">
        <f>SUM(R122:R127)</f>
        <v>0</v>
      </c>
    </row>
    <row r="129" spans="1:23" ht="15.75" thickBot="1"/>
    <row r="130" spans="1:23" ht="15.75" thickBot="1">
      <c r="A130" s="693" t="s">
        <v>1315</v>
      </c>
      <c r="B130" s="694"/>
      <c r="C130" s="694"/>
      <c r="D130" s="694"/>
      <c r="E130" s="694"/>
      <c r="F130" s="694"/>
      <c r="G130" s="694"/>
      <c r="H130" s="694"/>
      <c r="I130" s="694"/>
      <c r="J130" s="694"/>
      <c r="K130" s="694"/>
      <c r="L130" s="694"/>
      <c r="M130" s="694"/>
      <c r="N130" s="694"/>
      <c r="O130" s="694"/>
      <c r="P130" s="694"/>
      <c r="Q130" s="694"/>
      <c r="R130" s="695"/>
      <c r="S130" s="300" t="str">
        <f>IF(Cov_Type="ODOR",WC_L, "0")</f>
        <v>0</v>
      </c>
      <c r="T130" s="301">
        <f>L131*S130</f>
        <v>0</v>
      </c>
      <c r="U130" s="4">
        <f>D131*S130</f>
        <v>0</v>
      </c>
      <c r="V130" s="301">
        <v>0</v>
      </c>
      <c r="W130" s="301">
        <f>G131*S130</f>
        <v>0</v>
      </c>
    </row>
    <row r="131" spans="1:23">
      <c r="C131" s="1093" t="s">
        <v>1017</v>
      </c>
      <c r="D131" s="56">
        <v>0.5</v>
      </c>
      <c r="F131" s="1093" t="s">
        <v>914</v>
      </c>
      <c r="G131" s="1093">
        <f>7.18*2</f>
        <v>14.36</v>
      </c>
      <c r="K131" s="1093" t="s">
        <v>1316</v>
      </c>
      <c r="L131" s="56">
        <v>133</v>
      </c>
      <c r="P131" s="1093"/>
      <c r="Q131" s="1093"/>
    </row>
    <row r="132" spans="1:23" ht="15.75" thickBot="1"/>
    <row r="133" spans="1:23">
      <c r="S133" s="126"/>
      <c r="T133" s="269" t="s">
        <v>908</v>
      </c>
      <c r="U133" s="269" t="s">
        <v>920</v>
      </c>
      <c r="V133" s="269" t="s">
        <v>911</v>
      </c>
      <c r="W133" s="270" t="s">
        <v>914</v>
      </c>
    </row>
    <row r="134" spans="1:23" ht="15.75" thickBot="1">
      <c r="S134" s="129" t="s">
        <v>1052</v>
      </c>
      <c r="T134" s="130" t="e">
        <f>T3+T12+T24+T38+T50+T77+T88+T99+T110+T121+T130</f>
        <v>#N/A</v>
      </c>
      <c r="U134" s="271" t="e">
        <f>U3+U12+U24+U38+U50+U77+U88+U99+U110+U121+U130</f>
        <v>#N/A</v>
      </c>
      <c r="V134" s="130" t="e">
        <f>V3+V12+V24+V38+V50+V77+V88+V99+V110+V121+V130</f>
        <v>#N/A</v>
      </c>
      <c r="W134" s="131">
        <f>W3+W12+W24+W38+W50+W77+W88+W99+W110+W121+W130</f>
        <v>0</v>
      </c>
    </row>
    <row r="137" spans="1:23">
      <c r="B137" s="359" t="s">
        <v>1053</v>
      </c>
    </row>
    <row r="138" spans="1:23">
      <c r="B138" s="360" t="s">
        <v>763</v>
      </c>
      <c r="C138" s="360" t="s">
        <v>544</v>
      </c>
      <c r="D138" s="360" t="s">
        <v>985</v>
      </c>
      <c r="E138" s="360"/>
      <c r="F138" s="360"/>
      <c r="G138" s="360"/>
      <c r="H138" s="360" t="s">
        <v>623</v>
      </c>
      <c r="I138" s="360" t="s">
        <v>728</v>
      </c>
      <c r="J138" s="360" t="s">
        <v>765</v>
      </c>
      <c r="K138" s="360" t="s">
        <v>766</v>
      </c>
    </row>
    <row r="139" spans="1:23">
      <c r="B139" cm="1">
        <f t="array" ref="B139">_xlfn.XLOOKUP(C139,SM_TBL[[#All],[Thickness]],SM_TBL[[#All],[MoC_PN]])</f>
        <v>101869</v>
      </c>
      <c r="C139" s="56">
        <v>0.12</v>
      </c>
      <c r="D139" s="56" t="str" cm="1">
        <f t="array" ref="D139">_xlfn.XLOOKUP(B139,RAW_100[[#All],[PartNum]],RAW_100[[#All],[PartDescription]])</f>
        <v>SHEET 0.120" 11GA T-316L SS PER A240 2B FINISH</v>
      </c>
      <c r="H139" s="669">
        <f>SUMIF(B$4:B$131,B139,N$4:N$131)</f>
        <v>0</v>
      </c>
      <c r="I139" s="1109" t="s">
        <v>768</v>
      </c>
      <c r="J139" s="1110" cm="1">
        <f t="array" ref="J139">_xlfn.XLOOKUP(B139,MET_PRICE[[#All],[Part Number]],MET_PRICE[[#All],[Price ($/lb) Domestic]])</f>
        <v>2.89</v>
      </c>
      <c r="K139" s="378">
        <f>H139*J139</f>
        <v>0</v>
      </c>
      <c r="L139" s="669"/>
    </row>
    <row r="140" spans="1:23">
      <c r="B140" cm="1">
        <f t="array" ref="B140">_xlfn.XLOOKUP(C140,SM_TBL[[#All],[Thickness]],SM_TBL[[#All],[MoC_PN]])</f>
        <v>101871</v>
      </c>
      <c r="C140" s="56">
        <v>7.51E-2</v>
      </c>
      <c r="D140" s="56" t="str" cm="1">
        <f t="array" ref="D140">_xlfn.XLOOKUP(B140,RAW_100[[#All],[PartNum]],RAW_100[[#All],[PartDescription]])</f>
        <v>SHEET 0.075" 14GA T-316L SS PER A240 2B FINISH</v>
      </c>
      <c r="H140" s="669">
        <f t="shared" ref="H140:H143" si="36">SUMIF(B$4:B$131,B140,N$4:N$131)</f>
        <v>0</v>
      </c>
      <c r="I140" s="1109" t="s">
        <v>768</v>
      </c>
      <c r="J140" s="1110" cm="1">
        <f t="array" ref="J140">_xlfn.XLOOKUP(B140,MET_PRICE[[#All],[Part Number]],MET_PRICE[[#All],[Price ($/lb) Domestic]])</f>
        <v>2.89</v>
      </c>
      <c r="K140" s="378">
        <f t="shared" ref="K140:K143" si="37">H140*J140</f>
        <v>0</v>
      </c>
      <c r="L140" s="669"/>
    </row>
    <row r="141" spans="1:23">
      <c r="B141" cm="1">
        <f t="array" ref="B141">_xlfn.XLOOKUP(C141,SM_TBL[[#All],[Thickness]],SM_TBL[[#All],[MoC_PN]])</f>
        <v>101961</v>
      </c>
      <c r="C141" s="56">
        <v>0.375</v>
      </c>
      <c r="D141" s="56" t="str" cm="1">
        <f t="array" ref="D141">_xlfn.XLOOKUP(B141,RAW_100[[#All],[PartNum]],RAW_100[[#All],[PartDescription]])</f>
        <v>PLATE 3/8" T-316L SS PER A240 2B FINISH</v>
      </c>
      <c r="H141" s="669" t="e">
        <f t="shared" si="36"/>
        <v>#N/A</v>
      </c>
      <c r="I141" s="1109" t="s">
        <v>768</v>
      </c>
      <c r="J141" s="1110" cm="1">
        <f t="array" ref="J141">_xlfn.XLOOKUP(B141,MET_PRICE[[#All],[Part Number]],MET_PRICE[[#All],[Price ($/lb) Domestic]])</f>
        <v>2.7</v>
      </c>
      <c r="K141" s="378" t="e">
        <f t="shared" si="37"/>
        <v>#N/A</v>
      </c>
      <c r="L141" s="669"/>
    </row>
    <row r="142" spans="1:23">
      <c r="B142" cm="1">
        <f t="array" ref="B142">_xlfn.XLOOKUP(C142,SM_TBL[[#All],[Thickness]],SM_TBL[[#All],[MoC_PN]])</f>
        <v>101962</v>
      </c>
      <c r="C142" s="56">
        <f>5/16</f>
        <v>0.3125</v>
      </c>
      <c r="D142" s="56" t="str" cm="1">
        <f t="array" ref="D142">_xlfn.XLOOKUP(B142,RAW_100[[#All],[PartNum]],RAW_100[[#All],[PartDescription]])</f>
        <v>PLATE 5/16" T-316L SS PER A240 2B FINISH</v>
      </c>
      <c r="H142" s="669">
        <f t="shared" si="36"/>
        <v>0</v>
      </c>
      <c r="I142" s="1109" t="s">
        <v>768</v>
      </c>
      <c r="J142" s="1110" cm="1">
        <f t="array" ref="J142">_xlfn.XLOOKUP(B142,MET_PRICE[[#All],[Part Number]],MET_PRICE[[#All],[Price ($/lb) Domestic]])</f>
        <v>2.7</v>
      </c>
      <c r="K142" s="378">
        <f t="shared" si="37"/>
        <v>0</v>
      </c>
      <c r="L142" s="669"/>
    </row>
    <row r="143" spans="1:23">
      <c r="B143" cm="1">
        <f t="array" ref="B143">_xlfn.XLOOKUP(C143,SM_TBL[[#All],[Thickness]],SM_TBL[[#All],[MoC_PN]])</f>
        <v>101963</v>
      </c>
      <c r="C143" s="56">
        <v>0.25</v>
      </c>
      <c r="D143" s="56" t="str" cm="1">
        <f t="array" ref="D143">_xlfn.XLOOKUP(B143,RAW_100[[#All],[PartNum]],RAW_100[[#All],[PartDescription]])</f>
        <v>PLATE 1/4" T-316L SS PER A240 2B FINISH</v>
      </c>
      <c r="H143" s="669">
        <f t="shared" si="36"/>
        <v>0</v>
      </c>
      <c r="I143" s="1109" t="s">
        <v>768</v>
      </c>
      <c r="J143" s="1110" cm="1">
        <f t="array" ref="J143">_xlfn.XLOOKUP(B143,MET_PRICE[[#All],[Part Number]],MET_PRICE[[#All],[Price ($/lb) Domestic]])</f>
        <v>2.65</v>
      </c>
      <c r="K143" s="378">
        <f t="shared" si="37"/>
        <v>0</v>
      </c>
      <c r="L143" s="669"/>
    </row>
    <row r="145" spans="2:11">
      <c r="K145" s="378" t="e">
        <f>SUM(K139:K144)</f>
        <v>#N/A</v>
      </c>
    </row>
    <row r="147" spans="2:11">
      <c r="B147" s="359" t="s">
        <v>1054</v>
      </c>
    </row>
    <row r="148" spans="2:11">
      <c r="B148" s="360" t="s">
        <v>763</v>
      </c>
      <c r="C148" s="360" t="s">
        <v>544</v>
      </c>
      <c r="D148" s="360" t="s">
        <v>985</v>
      </c>
      <c r="E148" s="360"/>
      <c r="F148" s="360"/>
      <c r="G148" s="360"/>
      <c r="H148" s="360" t="s">
        <v>623</v>
      </c>
      <c r="I148" s="360" t="s">
        <v>728</v>
      </c>
      <c r="J148" s="360" t="s">
        <v>765</v>
      </c>
      <c r="K148" s="360" t="s">
        <v>766</v>
      </c>
    </row>
    <row r="149" spans="2:11">
      <c r="B149">
        <v>133689</v>
      </c>
      <c r="D149" s="56" t="s">
        <v>779</v>
      </c>
      <c r="H149" s="669">
        <f>SUMIF(B$4:B$131,B149,N$4:N$131)</f>
        <v>0</v>
      </c>
      <c r="I149" s="1109" t="s">
        <v>28</v>
      </c>
      <c r="J149" s="1110" cm="1">
        <f t="array" ref="J149">_xlfn.XLOOKUP(B149,RAW_100[[#All],[PartNum]],RAW_100[[#All],[UnitCost]])</f>
        <v>2.4500000000000002</v>
      </c>
      <c r="K149" s="378">
        <f>H149*J149</f>
        <v>0</v>
      </c>
    </row>
    <row r="152" spans="2:11">
      <c r="B152" s="359" t="s">
        <v>1055</v>
      </c>
    </row>
    <row r="153" spans="2:11">
      <c r="B153" s="360" t="s">
        <v>763</v>
      </c>
      <c r="C153" s="360" t="s">
        <v>544</v>
      </c>
      <c r="D153" s="360" t="s">
        <v>985</v>
      </c>
      <c r="E153" s="360"/>
      <c r="F153" s="360"/>
      <c r="G153" s="360"/>
      <c r="H153" s="360" t="s">
        <v>623</v>
      </c>
      <c r="I153" s="360" t="s">
        <v>728</v>
      </c>
      <c r="J153" s="360" t="s">
        <v>765</v>
      </c>
      <c r="K153" s="360" t="s">
        <v>766</v>
      </c>
    </row>
    <row r="154" spans="2:11" s="664" customFormat="1">
      <c r="B154">
        <v>409802</v>
      </c>
      <c r="C154" s="1109"/>
      <c r="D154" s="1109"/>
      <c r="E154" s="1109"/>
      <c r="F154" s="1109"/>
      <c r="G154" s="1109"/>
      <c r="H154" s="669">
        <f t="shared" ref="H154:H164" si="38">SUMIF(B$4:B$131,B154,N$4:N$131)</f>
        <v>0</v>
      </c>
      <c r="I154" s="1109" t="s">
        <v>28</v>
      </c>
      <c r="J154" s="1111" cm="1">
        <f t="array" ref="J154">_xlfn.XLOOKUP(B154,PP_COST[[#All],[PART NUMBER]],PP_COST[[#All],[UNIT COST]])</f>
        <v>0.56999999999999995</v>
      </c>
      <c r="K154" s="1110">
        <f>H154*J154</f>
        <v>0</v>
      </c>
    </row>
    <row r="155" spans="2:11">
      <c r="B155">
        <v>501005</v>
      </c>
      <c r="H155" s="669">
        <f t="shared" si="38"/>
        <v>0</v>
      </c>
      <c r="I155" s="1109" t="s">
        <v>1014</v>
      </c>
      <c r="J155" s="1110" cm="1">
        <f t="array" ref="J155">_xlfn.XLOOKUP(B155,PP_COST[[#All],[PART NUMBER]],PP_COST[[#All],[UNIT COST]])</f>
        <v>30.007999999999999</v>
      </c>
      <c r="K155" s="1110">
        <f>H155*J155</f>
        <v>0</v>
      </c>
    </row>
    <row r="156" spans="2:11">
      <c r="B156" s="2" t="s">
        <v>840</v>
      </c>
      <c r="H156" s="669">
        <f>SUMIF(B$4:B$131,B156,N$4:N$131)</f>
        <v>0</v>
      </c>
      <c r="I156" s="1109" t="s">
        <v>1014</v>
      </c>
      <c r="J156" s="1110" cm="1">
        <f t="array" ref="J156">_xlfn.XLOOKUP(B156,HW_COST[[#All],[PART NUMBER]],HW_COST[[#All],[UNIT COST]])</f>
        <v>0.76580000000000004</v>
      </c>
      <c r="K156" s="1110">
        <f>H156*J156</f>
        <v>0</v>
      </c>
    </row>
    <row r="157" spans="2:11">
      <c r="B157" s="2" t="s">
        <v>850</v>
      </c>
      <c r="H157" s="669">
        <f t="shared" si="38"/>
        <v>0</v>
      </c>
      <c r="I157" s="1109" t="s">
        <v>1014</v>
      </c>
      <c r="J157" s="1110" cm="1">
        <f t="array" ref="J157">_xlfn.XLOOKUP(B157,HW_COST[[#All],[PART NUMBER]],HW_COST[[#All],[UNIT COST]])</f>
        <v>1.46</v>
      </c>
      <c r="K157" s="1110">
        <f t="shared" ref="K157:K164" si="39">H157*J157</f>
        <v>0</v>
      </c>
    </row>
    <row r="158" spans="2:11">
      <c r="B158" s="2" t="s">
        <v>852</v>
      </c>
      <c r="H158" s="669">
        <f t="shared" si="38"/>
        <v>0</v>
      </c>
      <c r="I158" s="1109" t="s">
        <v>1014</v>
      </c>
      <c r="J158" s="1110" cm="1">
        <f t="array" ref="J158">_xlfn.XLOOKUP(B158,HW_COST[[#All],[PART NUMBER]],HW_COST[[#All],[UNIT COST]])</f>
        <v>1.58</v>
      </c>
      <c r="K158" s="1110">
        <f t="shared" si="39"/>
        <v>0</v>
      </c>
    </row>
    <row r="159" spans="2:11">
      <c r="B159" s="2" t="s">
        <v>856</v>
      </c>
      <c r="H159" s="669">
        <f t="shared" si="38"/>
        <v>0</v>
      </c>
      <c r="I159" s="1109" t="s">
        <v>1014</v>
      </c>
      <c r="J159" s="1110" cm="1">
        <f t="array" ref="J159">_xlfn.XLOOKUP(B159,HW_COST[[#All],[PART NUMBER]],HW_COST[[#All],[UNIT COST]])</f>
        <v>2.83</v>
      </c>
      <c r="K159" s="1110">
        <f t="shared" si="39"/>
        <v>0</v>
      </c>
    </row>
    <row r="160" spans="2:11">
      <c r="B160" s="2" t="s">
        <v>858</v>
      </c>
      <c r="H160" s="669">
        <f t="shared" si="38"/>
        <v>0</v>
      </c>
      <c r="I160" s="1109" t="s">
        <v>1014</v>
      </c>
      <c r="J160" s="1110" cm="1">
        <f t="array" ref="J160">_xlfn.XLOOKUP(B160,HW_COST[[#All],[PART NUMBER]],HW_COST[[#All],[UNIT COST]])</f>
        <v>3.2113</v>
      </c>
      <c r="K160" s="1110">
        <f t="shared" si="39"/>
        <v>0</v>
      </c>
    </row>
    <row r="161" spans="2:13">
      <c r="B161" s="2" t="s">
        <v>862</v>
      </c>
      <c r="H161" s="669">
        <f t="shared" si="38"/>
        <v>0</v>
      </c>
      <c r="I161" s="1109" t="s">
        <v>1014</v>
      </c>
      <c r="J161" s="1110" cm="1">
        <f t="array" ref="J161">_xlfn.XLOOKUP(B161,HW_COST[[#All],[PART NUMBER]],HW_COST[[#All],[UNIT COST]])</f>
        <v>11.115</v>
      </c>
      <c r="K161" s="1110">
        <f t="shared" si="39"/>
        <v>0</v>
      </c>
    </row>
    <row r="162" spans="2:13">
      <c r="B162" s="2" t="s">
        <v>870</v>
      </c>
      <c r="H162" s="669">
        <f t="shared" si="38"/>
        <v>0</v>
      </c>
      <c r="I162" s="1109" t="s">
        <v>1014</v>
      </c>
      <c r="J162" s="1110" cm="1">
        <f t="array" ref="J162">_xlfn.XLOOKUP(B162,HW_COST[[#All],[PART NUMBER]],HW_COST[[#All],[UNIT COST]])</f>
        <v>4.2103000000000002</v>
      </c>
      <c r="K162" s="1110">
        <f t="shared" si="39"/>
        <v>0</v>
      </c>
    </row>
    <row r="163" spans="2:13">
      <c r="B163" s="2" t="s">
        <v>874</v>
      </c>
      <c r="H163" s="669">
        <f t="shared" si="38"/>
        <v>0</v>
      </c>
      <c r="I163" s="1109" t="s">
        <v>1014</v>
      </c>
      <c r="J163" s="1110" cm="1">
        <f t="array" ref="J163">_xlfn.XLOOKUP(B163,HW_COST[[#All],[PART NUMBER]],HW_COST[[#All],[UNIT COST]])</f>
        <v>1.0802</v>
      </c>
      <c r="K163" s="1110">
        <f t="shared" si="39"/>
        <v>0</v>
      </c>
    </row>
    <row r="164" spans="2:13">
      <c r="B164" t="s">
        <v>823</v>
      </c>
      <c r="H164" s="669">
        <f t="shared" si="38"/>
        <v>0</v>
      </c>
      <c r="I164" s="1109" t="s">
        <v>28</v>
      </c>
      <c r="J164" s="1110" t="e" cm="1">
        <f t="array" ref="J164">_xlfn.XLOOKUP(B164,PP_COST[[#All],[PART NUMBER]],PP_COST[[#All],[UNIT COST]])</f>
        <v>#N/A</v>
      </c>
      <c r="K164" s="1110" t="e">
        <f t="shared" si="39"/>
        <v>#N/A</v>
      </c>
    </row>
    <row r="165" spans="2:13">
      <c r="H165" s="669"/>
    </row>
    <row r="166" spans="2:13">
      <c r="K166" s="1110" t="e">
        <f>SUBTOTAL(9,K154:K165)</f>
        <v>#N/A</v>
      </c>
      <c r="M166" s="69" t="e">
        <f>V134</f>
        <v>#N/A</v>
      </c>
    </row>
    <row r="168" spans="2:13">
      <c r="K168" s="378"/>
    </row>
  </sheetData>
  <autoFilter ref="A2:R131" xr:uid="{314DD547-7E7B-4413-A62B-6DA4542568DD}">
    <filterColumn colId="2" showButton="0"/>
    <filterColumn colId="3" showButton="0"/>
  </autoFilter>
  <mergeCells count="74">
    <mergeCell ref="C94:E94"/>
    <mergeCell ref="C89:E89"/>
    <mergeCell ref="C90:E90"/>
    <mergeCell ref="C91:E91"/>
    <mergeCell ref="C92:E92"/>
    <mergeCell ref="C93:E93"/>
    <mergeCell ref="C82:E82"/>
    <mergeCell ref="C83:E83"/>
    <mergeCell ref="C78:E78"/>
    <mergeCell ref="C79:E79"/>
    <mergeCell ref="C80:E80"/>
    <mergeCell ref="C81:E81"/>
    <mergeCell ref="C71:E71"/>
    <mergeCell ref="C72:E72"/>
    <mergeCell ref="C73:E73"/>
    <mergeCell ref="C62:E62"/>
    <mergeCell ref="C63:E63"/>
    <mergeCell ref="C66:E66"/>
    <mergeCell ref="C67:E67"/>
    <mergeCell ref="C68:E68"/>
    <mergeCell ref="C56:E56"/>
    <mergeCell ref="C57:E57"/>
    <mergeCell ref="C58:E58"/>
    <mergeCell ref="C61:E61"/>
    <mergeCell ref="C51:E51"/>
    <mergeCell ref="C52:E52"/>
    <mergeCell ref="C53:E53"/>
    <mergeCell ref="C32:E32"/>
    <mergeCell ref="C25:E25"/>
    <mergeCell ref="C26:E26"/>
    <mergeCell ref="C45:E45"/>
    <mergeCell ref="C46:E46"/>
    <mergeCell ref="C39:E39"/>
    <mergeCell ref="C40:E40"/>
    <mergeCell ref="C41:E41"/>
    <mergeCell ref="C44:E44"/>
    <mergeCell ref="C27:E27"/>
    <mergeCell ref="C28:E28"/>
    <mergeCell ref="C29:E29"/>
    <mergeCell ref="C30:E30"/>
    <mergeCell ref="C31:E31"/>
    <mergeCell ref="C105:E105"/>
    <mergeCell ref="C7:E7"/>
    <mergeCell ref="C9:E9"/>
    <mergeCell ref="C2:E2"/>
    <mergeCell ref="C4:E4"/>
    <mergeCell ref="C5:E5"/>
    <mergeCell ref="C6:E6"/>
    <mergeCell ref="C17:E17"/>
    <mergeCell ref="C18:E18"/>
    <mergeCell ref="C19:E19"/>
    <mergeCell ref="C21:E21"/>
    <mergeCell ref="C13:E13"/>
    <mergeCell ref="C14:E14"/>
    <mergeCell ref="C15:E15"/>
    <mergeCell ref="C16:E16"/>
    <mergeCell ref="C33:E33"/>
    <mergeCell ref="C100:E100"/>
    <mergeCell ref="C101:E101"/>
    <mergeCell ref="C102:E102"/>
    <mergeCell ref="C103:E103"/>
    <mergeCell ref="C104:E104"/>
    <mergeCell ref="C111:E111"/>
    <mergeCell ref="C122:E122"/>
    <mergeCell ref="C123:E123"/>
    <mergeCell ref="C124:E124"/>
    <mergeCell ref="C125:E125"/>
    <mergeCell ref="C126:E126"/>
    <mergeCell ref="C127:E127"/>
    <mergeCell ref="C112:E112"/>
    <mergeCell ref="C113:E113"/>
    <mergeCell ref="C114:E114"/>
    <mergeCell ref="C115:E115"/>
    <mergeCell ref="C116:E116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333F5-11C3-49DA-9C58-2190350876E3}">
  <sheetPr codeName="Sheet17">
    <tabColor theme="9" tint="0.39997558519241921"/>
  </sheetPr>
  <dimension ref="A1:AG548"/>
  <sheetViews>
    <sheetView zoomScaleNormal="100" workbookViewId="0">
      <pane ySplit="2" topLeftCell="A45" activePane="bottomLeft" state="frozen"/>
      <selection activeCell="B38" sqref="B38"/>
      <selection pane="bottomLeft" activeCell="A274" sqref="A274:O327"/>
    </sheetView>
  </sheetViews>
  <sheetFormatPr defaultRowHeight="15" outlineLevelRow="1"/>
  <cols>
    <col min="1" max="1" width="13.140625" style="56" customWidth="1"/>
    <col min="2" max="2" width="14.85546875" style="56" customWidth="1"/>
    <col min="3" max="3" width="11" style="56" customWidth="1"/>
    <col min="4" max="4" width="20.5703125" style="56" customWidth="1"/>
    <col min="5" max="5" width="15.85546875" style="56" customWidth="1"/>
    <col min="6" max="6" width="16.28515625" style="56" customWidth="1"/>
    <col min="7" max="7" width="17.7109375" style="56" customWidth="1"/>
    <col min="8" max="8" width="12.42578125" style="56" customWidth="1"/>
    <col min="9" max="9" width="26.28515625" style="56" customWidth="1"/>
    <col min="10" max="10" width="18.42578125" style="56" customWidth="1"/>
    <col min="11" max="11" width="12" style="56" customWidth="1"/>
    <col min="12" max="12" width="14.85546875" style="56" customWidth="1"/>
    <col min="13" max="15" width="12" style="56" customWidth="1"/>
    <col min="16" max="17" width="9.140625" style="56"/>
    <col min="18" max="18" width="11.42578125" style="56" customWidth="1"/>
    <col min="19" max="16384" width="9.140625" style="56"/>
  </cols>
  <sheetData>
    <row r="1" spans="1:33" ht="15.75" thickBot="1">
      <c r="A1" s="1673" t="s">
        <v>1317</v>
      </c>
      <c r="B1" s="1674"/>
      <c r="C1" s="1674"/>
      <c r="D1" s="1674"/>
      <c r="E1" s="1674"/>
      <c r="F1" s="1674"/>
      <c r="G1" s="1674"/>
      <c r="H1" s="1674"/>
      <c r="I1" s="1674"/>
      <c r="J1" s="1674"/>
      <c r="K1" s="1674"/>
      <c r="L1" s="1674"/>
      <c r="M1" s="1675"/>
    </row>
    <row r="2" spans="1:33" ht="15.75" thickBot="1">
      <c r="A2" s="72" t="s">
        <v>1318</v>
      </c>
      <c r="B2" s="940" t="s">
        <v>985</v>
      </c>
      <c r="C2" s="941"/>
      <c r="D2" s="941"/>
      <c r="E2" s="941"/>
      <c r="F2" s="941"/>
      <c r="G2" s="946" t="s">
        <v>783</v>
      </c>
      <c r="H2" s="946" t="s">
        <v>1319</v>
      </c>
      <c r="I2" s="946" t="s">
        <v>1320</v>
      </c>
      <c r="J2" s="942" t="s">
        <v>1321</v>
      </c>
      <c r="K2" s="942"/>
      <c r="L2" s="943"/>
      <c r="M2" s="71" t="s">
        <v>669</v>
      </c>
      <c r="N2" s="277" t="s">
        <v>623</v>
      </c>
      <c r="O2" s="277" t="s">
        <v>714</v>
      </c>
    </row>
    <row r="3" spans="1:33" ht="15.75" thickBot="1">
      <c r="A3" s="354" t="s">
        <v>354</v>
      </c>
      <c r="B3" s="355"/>
      <c r="C3" s="355"/>
      <c r="D3" s="355"/>
      <c r="E3" s="355"/>
      <c r="F3" s="355"/>
      <c r="G3" s="947" t="str" cm="1">
        <f t="array" ref="G3">_xlfn.IFNA(_xlfn.XLOOKUP(PP_TBL[[#This Row],[Column1]],PC_500[[#All],[Part_PartNum]],PC_500[[#All],[Vendor_Name]]),"")</f>
        <v/>
      </c>
      <c r="H3" s="947" t="str" cm="1">
        <f t="array" ref="H3">_xlfn.IFNA(_xlfn.XLOOKUP(PP_TBL[[#This Row],[Column1]],PC_500[[#All],[Part_PartNum]],PC_500[[#All],[PO_NUM]]),"")</f>
        <v/>
      </c>
      <c r="I3" s="953" t="str" cm="1">
        <f t="array" ref="I3">_xlfn.IFNA(_xlfn.XLOOKUP(PP_TBL[[#This Row],[Column1]],PC_500[[#All],[Part_PartNum]],PC_500[[#All],[Order_Date]]),"")</f>
        <v/>
      </c>
      <c r="J3" s="355"/>
      <c r="K3" s="355"/>
      <c r="L3" s="355"/>
      <c r="M3" s="355"/>
    </row>
    <row r="4" spans="1:33">
      <c r="A4" s="278">
        <v>502198</v>
      </c>
      <c r="B4" s="934" t="s">
        <v>1322</v>
      </c>
      <c r="C4" s="603"/>
      <c r="D4" s="603"/>
      <c r="E4" s="603"/>
      <c r="F4" s="603"/>
      <c r="G4" s="948" t="str" cm="1">
        <f t="array" ref="G4">_xlfn.IFNA(_xlfn.XLOOKUP(PP_TBL[[#This Row],[Column1]],PC_500[[#All],[Part_PartNum]],PC_500[[#All],[Vendor_Name]]),"")</f>
        <v>CONVEYOR COMPONENTS COMPANY</v>
      </c>
      <c r="H4" s="948" cm="1">
        <f t="array" ref="H4">_xlfn.IFNA(_xlfn.XLOOKUP(PP_TBL[[#This Row],[Column1]],PC_500[[#All],[Part_PartNum]],PC_500[[#All],[PO_NUM]]),"")</f>
        <v>408199</v>
      </c>
      <c r="I4" s="954" cm="1">
        <f t="array" ref="I4">_xlfn.IFNA(_xlfn.XLOOKUP(PP_TBL[[#This Row],[Column1]],PC_500[[#All],[Part_PartNum]],PC_500[[#All],[Order_Date]]),"")</f>
        <v>45373</v>
      </c>
      <c r="J4" s="605" t="s">
        <v>1323</v>
      </c>
      <c r="K4" s="605"/>
      <c r="L4" s="605"/>
      <c r="M4" s="141" cm="1">
        <f t="array" ref="M4">_xlfn.XLOOKUP(A4,PC_500[[#All],[Part_PartNum]],PC_500[[#All],[Unit_Cost]])</f>
        <v>715.2</v>
      </c>
      <c r="N4" s="97">
        <f t="shared" ref="N4:N9" si="0">IF(B4=ESS,ESS_Q,0)</f>
        <v>0</v>
      </c>
      <c r="O4" s="153">
        <f>M4*N4</f>
        <v>0</v>
      </c>
    </row>
    <row r="5" spans="1:33">
      <c r="A5" s="278">
        <v>501434</v>
      </c>
      <c r="B5" s="935" t="s">
        <v>1324</v>
      </c>
      <c r="C5" s="284"/>
      <c r="D5" s="284"/>
      <c r="E5" s="284"/>
      <c r="F5" s="284"/>
      <c r="G5" s="949" t="str" cm="1">
        <f t="array" ref="G5">_xlfn.IFNA(_xlfn.XLOOKUP(PP_TBL[[#This Row],[Column1]],PC_500[[#All],[Part_PartNum]],PC_500[[#All],[Vendor_Name]]),"")</f>
        <v>MATERIAL CONTROL, INC</v>
      </c>
      <c r="H5" s="949" cm="1">
        <f t="array" ref="H5">_xlfn.IFNA(_xlfn.XLOOKUP(PP_TBL[[#This Row],[Column1]],PC_500[[#All],[Part_PartNum]],PC_500[[#All],[PO_NUM]]),"")</f>
        <v>405511</v>
      </c>
      <c r="I5" s="955" cm="1">
        <f t="array" ref="I5">_xlfn.IFNA(_xlfn.XLOOKUP(PP_TBL[[#This Row],[Column1]],PC_500[[#All],[Part_PartNum]],PC_500[[#All],[Order_Date]]),"")</f>
        <v>44799</v>
      </c>
      <c r="J5" s="285" t="s">
        <v>1325</v>
      </c>
      <c r="K5" s="285"/>
      <c r="L5" s="285"/>
      <c r="M5" s="146" cm="1">
        <f t="array" ref="M5">_xlfn.XLOOKUP(A5,PC_500[[#All],[Part_PartNum]],PC_500[[#All],[Unit_Cost]])</f>
        <v>384</v>
      </c>
      <c r="N5" s="97">
        <f t="shared" si="0"/>
        <v>0</v>
      </c>
      <c r="O5" s="153">
        <f t="shared" ref="O5:O9" si="1">M5*N5</f>
        <v>0</v>
      </c>
    </row>
    <row r="6" spans="1:33">
      <c r="A6" s="278">
        <v>501668</v>
      </c>
      <c r="B6" s="934" t="s">
        <v>1326</v>
      </c>
      <c r="C6" s="603"/>
      <c r="D6" s="603"/>
      <c r="E6" s="603"/>
      <c r="F6" s="603"/>
      <c r="G6" s="948" t="str" cm="1">
        <f t="array" ref="G6">_xlfn.IFNA(_xlfn.XLOOKUP(PP_TBL[[#This Row],[Column1]],PC_500[[#All],[Part_PartNum]],PC_500[[#All],[Vendor_Name]]),"")</f>
        <v>CONVEYOR COMPONENTS COMPANY</v>
      </c>
      <c r="H6" s="948" cm="1">
        <f t="array" ref="H6">_xlfn.IFNA(_xlfn.XLOOKUP(PP_TBL[[#This Row],[Column1]],PC_500[[#All],[Part_PartNum]],PC_500[[#All],[PO_NUM]]),"")</f>
        <v>407212</v>
      </c>
      <c r="I6" s="954" cm="1">
        <f t="array" ref="I6">_xlfn.IFNA(_xlfn.XLOOKUP(PP_TBL[[#This Row],[Column1]],PC_500[[#All],[Part_PartNum]],PC_500[[#All],[Order_Date]]),"")</f>
        <v>45191</v>
      </c>
      <c r="J6" s="605" t="s">
        <v>1327</v>
      </c>
      <c r="K6" s="605"/>
      <c r="L6" s="605"/>
      <c r="M6" s="141" cm="1">
        <f t="array" ref="M6">_xlfn.XLOOKUP(A6,PC_500[[#All],[Part_PartNum]],PC_500[[#All],[Unit_Cost]])</f>
        <v>620</v>
      </c>
      <c r="N6" s="97">
        <f t="shared" si="0"/>
        <v>0</v>
      </c>
      <c r="O6" s="153">
        <f t="shared" si="1"/>
        <v>0</v>
      </c>
    </row>
    <row r="7" spans="1:33">
      <c r="A7" s="278">
        <v>502187</v>
      </c>
      <c r="B7" s="935" t="s">
        <v>1328</v>
      </c>
      <c r="C7" s="284"/>
      <c r="D7" s="284"/>
      <c r="E7" s="284"/>
      <c r="F7" s="284"/>
      <c r="G7" s="949" t="str" cm="1">
        <f t="array" ref="G7">_xlfn.IFNA(_xlfn.XLOOKUP(PP_TBL[[#This Row],[Column1]],PC_500[[#All],[Part_PartNum]],PC_500[[#All],[Vendor_Name]]),"")</f>
        <v>CONVEYOR COMPONENTS COMPANY</v>
      </c>
      <c r="H7" s="949" cm="1">
        <f t="array" ref="H7">_xlfn.IFNA(_xlfn.XLOOKUP(PP_TBL[[#This Row],[Column1]],PC_500[[#All],[Part_PartNum]],PC_500[[#All],[PO_NUM]]),"")</f>
        <v>409979</v>
      </c>
      <c r="I7" s="955" cm="1">
        <f t="array" ref="I7">_xlfn.IFNA(_xlfn.XLOOKUP(PP_TBL[[#This Row],[Column1]],PC_500[[#All],[Part_PartNum]],PC_500[[#All],[Order_Date]]),"")</f>
        <v>45727</v>
      </c>
      <c r="J7" s="285" t="s">
        <v>1329</v>
      </c>
      <c r="K7" s="285"/>
      <c r="L7" s="285"/>
      <c r="M7" s="146" cm="1">
        <f t="array" ref="M7">_xlfn.XLOOKUP(A7,PC_500[[#All],[Part_PartNum]],PC_500[[#All],[Unit_Cost]])</f>
        <v>786.4</v>
      </c>
      <c r="N7" s="97">
        <f t="shared" si="0"/>
        <v>0</v>
      </c>
      <c r="O7" s="153">
        <f t="shared" si="1"/>
        <v>0</v>
      </c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3">
      <c r="A8" s="278">
        <v>501108</v>
      </c>
      <c r="B8" s="934" t="s">
        <v>1330</v>
      </c>
      <c r="C8" s="603"/>
      <c r="D8" s="603"/>
      <c r="E8" s="603"/>
      <c r="F8" s="603"/>
      <c r="G8" s="948" t="str" cm="1">
        <f t="array" ref="G8">_xlfn.IFNA(_xlfn.XLOOKUP(PP_TBL[[#This Row],[Column1]],PC_500[[#All],[Part_PartNum]],PC_500[[#All],[Vendor_Name]]),"")</f>
        <v>CONVEYOR COMPONENTS COMPANY</v>
      </c>
      <c r="H8" s="948" cm="1">
        <f t="array" ref="H8">_xlfn.IFNA(_xlfn.XLOOKUP(PP_TBL[[#This Row],[Column1]],PC_500[[#All],[Part_PartNum]],PC_500[[#All],[PO_NUM]]),"")</f>
        <v>410226</v>
      </c>
      <c r="I8" s="954" cm="1">
        <f t="array" ref="I8">_xlfn.IFNA(_xlfn.XLOOKUP(PP_TBL[[#This Row],[Column1]],PC_500[[#All],[Part_PartNum]],PC_500[[#All],[Order_Date]]),"")</f>
        <v>45771</v>
      </c>
      <c r="J8" s="605" t="s">
        <v>1331</v>
      </c>
      <c r="K8" s="605"/>
      <c r="L8" s="605"/>
      <c r="M8" s="141" cm="1">
        <f t="array" ref="M8">_xlfn.XLOOKUP(A8,PC_500[[#All],[Part_PartNum]],PC_500[[#All],[Unit_Cost]])</f>
        <v>452.8</v>
      </c>
      <c r="N8" s="97">
        <f t="shared" si="0"/>
        <v>0</v>
      </c>
      <c r="O8" s="153">
        <f t="shared" si="1"/>
        <v>0</v>
      </c>
    </row>
    <row r="9" spans="1:33" ht="15.75" thickBot="1">
      <c r="A9" s="278">
        <v>502360</v>
      </c>
      <c r="B9" s="935" t="s">
        <v>1332</v>
      </c>
      <c r="C9" s="284"/>
      <c r="D9" s="284"/>
      <c r="E9" s="284"/>
      <c r="F9" s="284"/>
      <c r="G9" s="949" t="str" cm="1">
        <f t="array" ref="G9">_xlfn.IFNA(_xlfn.XLOOKUP(PP_TBL[[#This Row],[Column1]],PC_500[[#All],[Part_PartNum]],PC_500[[#All],[Vendor_Name]]),"")</f>
        <v>CONVEYOR COMPONENTS COMPANY</v>
      </c>
      <c r="H9" s="949" cm="1">
        <f t="array" ref="H9">_xlfn.IFNA(_xlfn.XLOOKUP(PP_TBL[[#This Row],[Column1]],PC_500[[#All],[Part_PartNum]],PC_500[[#All],[PO_NUM]]),"")</f>
        <v>408439</v>
      </c>
      <c r="I9" s="955" cm="1">
        <f t="array" ref="I9">_xlfn.IFNA(_xlfn.XLOOKUP(PP_TBL[[#This Row],[Column1]],PC_500[[#All],[Part_PartNum]],PC_500[[#All],[Order_Date]]),"")</f>
        <v>45413</v>
      </c>
      <c r="J9" s="285" t="s">
        <v>1333</v>
      </c>
      <c r="K9" s="285"/>
      <c r="L9" s="285"/>
      <c r="M9" s="146" cm="1">
        <f t="array" ref="M9">_xlfn.XLOOKUP(A9,PC_500[[#All],[Part_PartNum]],PC_500[[#All],[Unit_Cost]])</f>
        <v>471.2</v>
      </c>
      <c r="N9" s="97">
        <f t="shared" si="0"/>
        <v>0</v>
      </c>
      <c r="O9" s="153">
        <f t="shared" si="1"/>
        <v>0</v>
      </c>
    </row>
    <row r="10" spans="1:33" ht="15.75" thickBot="1">
      <c r="A10" s="354" t="s">
        <v>355</v>
      </c>
      <c r="B10" s="355"/>
      <c r="C10" s="355"/>
      <c r="D10" s="355"/>
      <c r="E10" s="355"/>
      <c r="F10" s="355"/>
      <c r="G10" s="947" t="str" cm="1">
        <f t="array" ref="G10">_xlfn.IFNA(_xlfn.XLOOKUP(PP_TBL[[#This Row],[Column1]],PC_500[[#All],[Part_PartNum]],PC_500[[#All],[Vendor_Name]]),"")</f>
        <v/>
      </c>
      <c r="H10" s="947" t="str" cm="1">
        <f t="array" ref="H10">_xlfn.IFNA(_xlfn.XLOOKUP(PP_TBL[[#This Row],[Column1]],PC_500[[#All],[Part_PartNum]],PC_500[[#All],[PO_NUM]]),"")</f>
        <v/>
      </c>
      <c r="I10" s="953" t="str" cm="1">
        <f t="array" ref="I10">_xlfn.IFNA(_xlfn.XLOOKUP(PP_TBL[[#This Row],[Column1]],PC_500[[#All],[Part_PartNum]],PC_500[[#All],[Order_Date]]),"")</f>
        <v/>
      </c>
      <c r="J10" s="355"/>
      <c r="K10" s="355"/>
      <c r="L10" s="355"/>
      <c r="M10" s="355"/>
    </row>
    <row r="11" spans="1:33">
      <c r="A11" s="278">
        <v>501647</v>
      </c>
      <c r="B11" s="936" t="s">
        <v>1334</v>
      </c>
      <c r="C11" s="937"/>
      <c r="D11" s="937"/>
      <c r="E11" s="937"/>
      <c r="F11" s="937"/>
      <c r="G11" s="950" t="str" cm="1">
        <f t="array" ref="G11">_xlfn.IFNA(_xlfn.XLOOKUP(PP_TBL[[#This Row],[Column1]],PC_500[[#All],[Part_PartNum]],PC_500[[#All],[Vendor_Name]]),"")</f>
        <v>CONVEYOR COMPONENTS COMPANY</v>
      </c>
      <c r="H11" s="950" cm="1">
        <f t="array" ref="H11">_xlfn.IFNA(_xlfn.XLOOKUP(PP_TBL[[#This Row],[Column1]],PC_500[[#All],[Part_PartNum]],PC_500[[#All],[PO_NUM]]),"")</f>
        <v>409198</v>
      </c>
      <c r="I11" s="956" cm="1">
        <f t="array" ref="I11">_xlfn.IFNA(_xlfn.XLOOKUP(PP_TBL[[#This Row],[Column1]],PC_500[[#All],[Part_PartNum]],PC_500[[#All],[Order_Date]]),"")</f>
        <v>45561</v>
      </c>
      <c r="J11" s="938" t="s">
        <v>1335</v>
      </c>
      <c r="K11" s="938"/>
      <c r="L11" s="938"/>
      <c r="M11" s="141" cm="1">
        <f t="array" ref="M11">_xlfn.XLOOKUP(A11,PC_500[[#All],[Part_PartNum]],PC_500[[#All],[Unit_Cost]])</f>
        <v>456</v>
      </c>
      <c r="N11" s="97" t="str">
        <f>IF(BMS="TA-2X (EXP.PROOF)", "4", "0")</f>
        <v>0</v>
      </c>
      <c r="O11" s="153">
        <f>M11*N11</f>
        <v>0</v>
      </c>
    </row>
    <row r="12" spans="1:33" ht="15.75" thickBot="1">
      <c r="A12" s="278">
        <v>501515</v>
      </c>
      <c r="B12" s="935" t="s">
        <v>1336</v>
      </c>
      <c r="C12" s="284"/>
      <c r="D12" s="284"/>
      <c r="E12" s="284"/>
      <c r="F12" s="284"/>
      <c r="G12" s="949" t="str" cm="1">
        <f t="array" ref="G12">_xlfn.IFNA(_xlfn.XLOOKUP(PP_TBL[[#This Row],[Column1]],PC_500[[#All],[Part_PartNum]],PC_500[[#All],[Vendor_Name]]),"")</f>
        <v>CONVEYOR COMPONENTS COMPANY</v>
      </c>
      <c r="H12" s="949" cm="1">
        <f t="array" ref="H12">_xlfn.IFNA(_xlfn.XLOOKUP(PP_TBL[[#This Row],[Column1]],PC_500[[#All],[Part_PartNum]],PC_500[[#All],[PO_NUM]]),"")</f>
        <v>410150</v>
      </c>
      <c r="I12" s="955" cm="1">
        <f t="array" ref="I12">_xlfn.IFNA(_xlfn.XLOOKUP(PP_TBL[[#This Row],[Column1]],PC_500[[#All],[Part_PartNum]],PC_500[[#All],[Order_Date]]),"")</f>
        <v>45756</v>
      </c>
      <c r="J12" s="285" t="s">
        <v>1337</v>
      </c>
      <c r="K12" s="285"/>
      <c r="L12" s="285"/>
      <c r="M12" s="146" cm="1">
        <f t="array" ref="M12">_xlfn.XLOOKUP(A12,PC_500[[#All],[Part_PartNum]],PC_500[[#All],[Unit_Cost]])</f>
        <v>352</v>
      </c>
      <c r="N12" s="97" t="str">
        <f>IF(BMS="TA-2", "4", "0")</f>
        <v>0</v>
      </c>
      <c r="O12" s="153">
        <f>M12*N12</f>
        <v>0</v>
      </c>
    </row>
    <row r="13" spans="1:33" ht="15.75" thickBot="1">
      <c r="A13" s="354" t="s">
        <v>1338</v>
      </c>
      <c r="B13" s="355"/>
      <c r="C13" s="355"/>
      <c r="D13" s="355"/>
      <c r="E13" s="355"/>
      <c r="F13" s="355"/>
      <c r="G13" s="947" t="str" cm="1">
        <f t="array" ref="G13">_xlfn.IFNA(_xlfn.XLOOKUP(PP_TBL[[#This Row],[Column1]],PC_500[[#All],[Part_PartNum]],PC_500[[#All],[Vendor_Name]]),"")</f>
        <v/>
      </c>
      <c r="H13" s="947" t="str" cm="1">
        <f t="array" ref="H13">_xlfn.IFNA(_xlfn.XLOOKUP(PP_TBL[[#This Row],[Column1]],PC_500[[#All],[Part_PartNum]],PC_500[[#All],[PO_NUM]]),"")</f>
        <v/>
      </c>
      <c r="I13" s="953" t="str" cm="1">
        <f t="array" ref="I13">_xlfn.IFNA(_xlfn.XLOOKUP(PP_TBL[[#This Row],[Column1]],PC_500[[#All],[Part_PartNum]],PC_500[[#All],[Order_Date]]),"")</f>
        <v/>
      </c>
      <c r="J13" s="355"/>
      <c r="K13" s="355"/>
      <c r="L13" s="355"/>
      <c r="M13" s="944"/>
    </row>
    <row r="14" spans="1:33">
      <c r="A14" s="281">
        <v>501460</v>
      </c>
      <c r="B14" s="603" t="s">
        <v>1339</v>
      </c>
      <c r="C14" s="603"/>
      <c r="D14" s="603"/>
      <c r="E14" s="603"/>
      <c r="F14" s="603"/>
      <c r="G14" s="948" t="str" cm="1">
        <f t="array" ref="G14">_xlfn.IFNA(_xlfn.XLOOKUP(PP_TBL[[#This Row],[Column1]],PC_500[[#All],[Part_PartNum]],PC_500[[#All],[Vendor_Name]]),"")</f>
        <v>ELECTRO-SENSORS, INC</v>
      </c>
      <c r="H14" s="948" cm="1">
        <f t="array" ref="H14">_xlfn.IFNA(_xlfn.XLOOKUP(PP_TBL[[#This Row],[Column1]],PC_500[[#All],[Part_PartNum]],PC_500[[#All],[PO_NUM]]),"")</f>
        <v>410379</v>
      </c>
      <c r="I14" s="954" cm="1">
        <f t="array" ref="I14">_xlfn.IFNA(_xlfn.XLOOKUP(PP_TBL[[#This Row],[Column1]],PC_500[[#All],[Part_PartNum]],PC_500[[#All],[Order_Date]]),"")</f>
        <v>45799</v>
      </c>
      <c r="J14" s="605" t="s">
        <v>1340</v>
      </c>
      <c r="K14" s="605"/>
      <c r="L14" s="605"/>
      <c r="M14" s="141" cm="1">
        <f t="array" ref="M14">_xlfn.XLOOKUP(A14,PC_500[[#All],[Part_PartNum]],PC_500[[#All],[Unit_Cost]])</f>
        <v>615</v>
      </c>
      <c r="N14" s="97">
        <f>IF(ZSS=B14,1,0)</f>
        <v>0</v>
      </c>
      <c r="O14" s="153">
        <f>M14*N14</f>
        <v>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281">
        <v>502186</v>
      </c>
      <c r="B15" s="284" t="s">
        <v>1341</v>
      </c>
      <c r="C15" s="284"/>
      <c r="D15" s="284"/>
      <c r="E15" s="284"/>
      <c r="F15" s="284"/>
      <c r="G15" s="949" t="str" cm="1">
        <f t="array" ref="G15">_xlfn.IFNA(_xlfn.XLOOKUP(PP_TBL[[#This Row],[Column1]],PC_500[[#All],[Part_PartNum]],PC_500[[#All],[Vendor_Name]]),"")</f>
        <v>ELECTRO-SENSORS, INC</v>
      </c>
      <c r="H15" s="949" cm="1">
        <f t="array" ref="H15">_xlfn.IFNA(_xlfn.XLOOKUP(PP_TBL[[#This Row],[Column1]],PC_500[[#All],[Part_PartNum]],PC_500[[#All],[PO_NUM]]),"")</f>
        <v>410379</v>
      </c>
      <c r="I15" s="955" cm="1">
        <f t="array" ref="I15">_xlfn.IFNA(_xlfn.XLOOKUP(PP_TBL[[#This Row],[Column1]],PC_500[[#All],[Part_PartNum]],PC_500[[#All],[Order_Date]]),"")</f>
        <v>45799</v>
      </c>
      <c r="J15" s="285" t="s">
        <v>1340</v>
      </c>
      <c r="K15" s="285"/>
      <c r="L15" s="285"/>
      <c r="M15" s="705">
        <v>620</v>
      </c>
      <c r="N15" s="97">
        <f>IF(ZSS=B15,1,0)</f>
        <v>0</v>
      </c>
      <c r="O15" s="153">
        <f t="shared" ref="O15:O19" si="2">M15*N15</f>
        <v>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281">
        <v>501110</v>
      </c>
      <c r="B16" s="603" t="s">
        <v>1342</v>
      </c>
      <c r="C16" s="603"/>
      <c r="D16" s="603"/>
      <c r="E16" s="603"/>
      <c r="F16" s="603"/>
      <c r="G16" s="948" t="str" cm="1">
        <f t="array" ref="G16">_xlfn.IFNA(_xlfn.XLOOKUP(PP_TBL[[#This Row],[Column1]],PC_500[[#All],[Part_PartNum]],PC_500[[#All],[Vendor_Name]]),"")</f>
        <v>THOMAS CONVEYOR CO</v>
      </c>
      <c r="H16" s="948" cm="1">
        <f t="array" ref="H16">_xlfn.IFNA(_xlfn.XLOOKUP(PP_TBL[[#This Row],[Column1]],PC_500[[#All],[Part_PartNum]],PC_500[[#All],[PO_NUM]]),"")</f>
        <v>410225</v>
      </c>
      <c r="I16" s="954" cm="1">
        <f t="array" ref="I16">_xlfn.IFNA(_xlfn.XLOOKUP(PP_TBL[[#This Row],[Column1]],PC_500[[#All],[Part_PartNum]],PC_500[[#All],[Order_Date]]),"")</f>
        <v>45771</v>
      </c>
      <c r="J16" s="605" t="s">
        <v>1343</v>
      </c>
      <c r="K16" s="605"/>
      <c r="L16" s="605"/>
      <c r="M16" s="141" cm="1">
        <f t="array" ref="M16">_xlfn.XLOOKUP(A16,PC_500[[#All],[Part_PartNum]],PC_500[[#All],[Unit_Cost]])</f>
        <v>890</v>
      </c>
      <c r="N16" s="97">
        <f>IF(ZSS=B16,1,0)</f>
        <v>0</v>
      </c>
      <c r="O16" s="153">
        <f t="shared" ref="O16:O17" si="3">M16*N16</f>
        <v>0</v>
      </c>
    </row>
    <row r="17" spans="1:15">
      <c r="A17" s="281">
        <v>501669</v>
      </c>
      <c r="B17" s="284" t="s">
        <v>1344</v>
      </c>
      <c r="C17" s="284"/>
      <c r="D17" s="284"/>
      <c r="E17" s="284"/>
      <c r="F17" s="284"/>
      <c r="G17" s="949" t="str" cm="1">
        <f t="array" ref="G17">_xlfn.IFNA(_xlfn.XLOOKUP(PP_TBL[[#This Row],[Column1]],PC_500[[#All],[Part_PartNum]],PC_500[[#All],[Vendor_Name]]),"")</f>
        <v>SIEMENS INDUSTRY*</v>
      </c>
      <c r="H17" s="949" cm="1">
        <f t="array" ref="H17">_xlfn.IFNA(_xlfn.XLOOKUP(PP_TBL[[#This Row],[Column1]],PC_500[[#All],[Part_PartNum]],PC_500[[#All],[PO_NUM]]),"")</f>
        <v>409779</v>
      </c>
      <c r="I17" s="955" cm="1">
        <f t="array" ref="I17">_xlfn.IFNA(_xlfn.XLOOKUP(PP_TBL[[#This Row],[Column1]],PC_500[[#All],[Part_PartNum]],PC_500[[#All],[Order_Date]]),"")</f>
        <v>45693</v>
      </c>
      <c r="J17" s="285" t="s">
        <v>1345</v>
      </c>
      <c r="K17" s="285"/>
      <c r="L17" s="285"/>
      <c r="M17" s="146" cm="1">
        <f t="array" ref="M17">_xlfn.XLOOKUP(A17,PC_500[[#All],[Part_PartNum]],PC_500[[#All],[Unit_Cost]])</f>
        <v>1009.8</v>
      </c>
      <c r="N17" s="97">
        <f>IF(ZSS=B17,1,0)</f>
        <v>0</v>
      </c>
      <c r="O17" s="153">
        <f t="shared" si="3"/>
        <v>0</v>
      </c>
    </row>
    <row r="18" spans="1:15">
      <c r="A18" s="281">
        <v>501132</v>
      </c>
      <c r="B18" s="603" t="s">
        <v>1346</v>
      </c>
      <c r="C18" s="603"/>
      <c r="D18" s="603"/>
      <c r="E18" s="603"/>
      <c r="F18" s="603"/>
      <c r="G18" s="948" t="str" cm="1">
        <f t="array" ref="G18">_xlfn.IFNA(_xlfn.XLOOKUP(PP_TBL[[#This Row],[Column1]],PC_500[[#All],[Part_PartNum]],PC_500[[#All],[Vendor_Name]]),"")</f>
        <v>THOMAS CONVEYOR CO</v>
      </c>
      <c r="H18" s="948" cm="1">
        <f t="array" ref="H18">_xlfn.IFNA(_xlfn.XLOOKUP(PP_TBL[[#This Row],[Column1]],PC_500[[#All],[Part_PartNum]],PC_500[[#All],[PO_NUM]]),"")</f>
        <v>410225</v>
      </c>
      <c r="I18" s="954" cm="1">
        <f t="array" ref="I18">_xlfn.IFNA(_xlfn.XLOOKUP(PP_TBL[[#This Row],[Column1]],PC_500[[#All],[Part_PartNum]],PC_500[[#All],[Order_Date]]),"")</f>
        <v>45771</v>
      </c>
      <c r="J18" s="605" t="s">
        <v>1347</v>
      </c>
      <c r="K18" s="605"/>
      <c r="L18" s="605"/>
      <c r="M18" s="141" cm="1">
        <f t="array" ref="M18">_xlfn.XLOOKUP(A18,PC_500[[#All],[Part_PartNum]],PC_500[[#All],[Unit_Cost]])</f>
        <v>955</v>
      </c>
      <c r="N18" s="97">
        <f>IF(ZSS=B18,1,0)</f>
        <v>0</v>
      </c>
      <c r="O18" s="153">
        <f t="shared" si="2"/>
        <v>0</v>
      </c>
    </row>
    <row r="19" spans="1:15" ht="15.75" thickBot="1">
      <c r="A19" s="281">
        <v>501459</v>
      </c>
      <c r="B19" s="284" t="s">
        <v>1348</v>
      </c>
      <c r="C19" s="284"/>
      <c r="D19" s="284"/>
      <c r="E19" s="284"/>
      <c r="F19" s="284"/>
      <c r="G19" s="949" t="str" cm="1">
        <f t="array" ref="G19">_xlfn.IFNA(_xlfn.XLOOKUP(PP_TBL[[#This Row],[Column1]],PC_500[[#All],[Part_PartNum]],PC_500[[#All],[Vendor_Name]]),"")</f>
        <v>ELECTRO-SENSORS, INC</v>
      </c>
      <c r="H19" s="949" cm="1">
        <f t="array" ref="H19">_xlfn.IFNA(_xlfn.XLOOKUP(PP_TBL[[#This Row],[Column1]],PC_500[[#All],[Part_PartNum]],PC_500[[#All],[PO_NUM]]),"")</f>
        <v>410379</v>
      </c>
      <c r="I19" s="955" cm="1">
        <f t="array" ref="I19">_xlfn.IFNA(_xlfn.XLOOKUP(PP_TBL[[#This Row],[Column1]],PC_500[[#All],[Part_PartNum]],PC_500[[#All],[Order_Date]]),"")</f>
        <v>45799</v>
      </c>
      <c r="J19" s="285" t="s">
        <v>1349</v>
      </c>
      <c r="K19" s="285"/>
      <c r="L19" s="285"/>
      <c r="M19" s="146" cm="1">
        <f t="array" ref="M19">_xlfn.XLOOKUP(A19,PC_500[[#All],[Part_PartNum]],PC_500[[#All],[Unit_Cost]])</f>
        <v>195</v>
      </c>
      <c r="N19" s="97">
        <f>IF(OR(N14=1,N15=1),1,0)</f>
        <v>0</v>
      </c>
      <c r="O19" s="153">
        <f t="shared" si="2"/>
        <v>0</v>
      </c>
    </row>
    <row r="20" spans="1:15" ht="15.75" thickBot="1">
      <c r="A20" s="354" t="s">
        <v>1350</v>
      </c>
      <c r="B20" s="355"/>
      <c r="C20" s="355"/>
      <c r="D20" s="355"/>
      <c r="E20" s="355"/>
      <c r="F20" s="355"/>
      <c r="G20" s="947" t="str" cm="1">
        <f t="array" ref="G20">_xlfn.IFNA(_xlfn.XLOOKUP(PP_TBL[[#This Row],[Column1]],PC_500[[#All],[Part_PartNum]],PC_500[[#All],[Vendor_Name]]),"")</f>
        <v/>
      </c>
      <c r="H20" s="947" t="str" cm="1">
        <f t="array" ref="H20">_xlfn.IFNA(_xlfn.XLOOKUP(PP_TBL[[#This Row],[Column1]],PC_500[[#All],[Part_PartNum]],PC_500[[#All],[PO_NUM]]),"")</f>
        <v/>
      </c>
      <c r="I20" s="953" t="str" cm="1">
        <f t="array" ref="I20">_xlfn.IFNA(_xlfn.XLOOKUP(PP_TBL[[#This Row],[Column1]],PC_500[[#All],[Part_PartNum]],PC_500[[#All],[Order_Date]]),"")</f>
        <v/>
      </c>
      <c r="J20" s="355"/>
      <c r="K20" s="355"/>
      <c r="L20" s="355"/>
      <c r="M20" s="944"/>
    </row>
    <row r="21" spans="1:15">
      <c r="A21" s="281">
        <v>501512</v>
      </c>
      <c r="B21" s="603" t="s">
        <v>1351</v>
      </c>
      <c r="C21" s="603"/>
      <c r="D21" s="603"/>
      <c r="E21" s="603"/>
      <c r="F21" s="603"/>
      <c r="G21" s="948" t="str" cm="1">
        <f t="array" ref="G21">_xlfn.IFNA(_xlfn.XLOOKUP(PP_TBL[[#This Row],[Column1]],PC_500[[#All],[Part_PartNum]],PC_500[[#All],[Vendor_Name]]),"")</f>
        <v>MARTIN ENGINEERING</v>
      </c>
      <c r="H21" s="948" cm="1">
        <f t="array" ref="H21">_xlfn.IFNA(_xlfn.XLOOKUP(PP_TBL[[#This Row],[Column1]],PC_500[[#All],[Part_PartNum]],PC_500[[#All],[PO_NUM]]),"")</f>
        <v>403131</v>
      </c>
      <c r="I21" s="954" cm="1">
        <f t="array" ref="I21">_xlfn.IFNA(_xlfn.XLOOKUP(PP_TBL[[#This Row],[Column1]],PC_500[[#All],[Part_PartNum]],PC_500[[#All],[Order_Date]]),"")</f>
        <v>44337</v>
      </c>
      <c r="J21" s="605" t="s">
        <v>1352</v>
      </c>
      <c r="K21" s="605"/>
      <c r="L21" s="605"/>
      <c r="M21" s="141" cm="1">
        <f t="array" ref="M21">_xlfn.XLOOKUP(A21,PC_500[[#All],[Part_PartNum]],PC_500[[#All],[Unit_Cost]])</f>
        <v>592.28</v>
      </c>
      <c r="N21" s="97"/>
      <c r="O21" s="153">
        <f>M21*N21</f>
        <v>0</v>
      </c>
    </row>
    <row r="22" spans="1:15">
      <c r="A22" s="281">
        <v>501514</v>
      </c>
      <c r="B22" s="284" t="s">
        <v>1353</v>
      </c>
      <c r="C22" s="284"/>
      <c r="D22" s="284"/>
      <c r="E22" s="284"/>
      <c r="F22" s="284"/>
      <c r="G22" s="949" t="str" cm="1">
        <f t="array" ref="G22">_xlfn.IFNA(_xlfn.XLOOKUP(PP_TBL[[#This Row],[Column1]],PC_500[[#All],[Part_PartNum]],PC_500[[#All],[Vendor_Name]]),"")</f>
        <v>MARTIN ENGINEERING</v>
      </c>
      <c r="H22" s="949" cm="1">
        <f t="array" ref="H22">_xlfn.IFNA(_xlfn.XLOOKUP(PP_TBL[[#This Row],[Column1]],PC_500[[#All],[Part_PartNum]],PC_500[[#All],[PO_NUM]]),"")</f>
        <v>409976</v>
      </c>
      <c r="I22" s="955" cm="1">
        <f t="array" ref="I22">_xlfn.IFNA(_xlfn.XLOOKUP(PP_TBL[[#This Row],[Column1]],PC_500[[#All],[Part_PartNum]],PC_500[[#All],[Order_Date]]),"")</f>
        <v>45727</v>
      </c>
      <c r="J22" s="285" t="s">
        <v>1354</v>
      </c>
      <c r="K22" s="285"/>
      <c r="L22" s="285"/>
      <c r="M22" s="146" cm="1">
        <f t="array" ref="M22">_xlfn.XLOOKUP(A22,PC_500[[#All],[Part_PartNum]],PC_500[[#All],[Unit_Cost]])</f>
        <v>866.87</v>
      </c>
      <c r="N22" s="97"/>
      <c r="O22" s="153">
        <f t="shared" ref="O22:O24" si="4">M22*N22</f>
        <v>0</v>
      </c>
    </row>
    <row r="23" spans="1:15">
      <c r="A23" s="281">
        <v>501537</v>
      </c>
      <c r="B23" s="603" t="s">
        <v>1355</v>
      </c>
      <c r="C23" s="603"/>
      <c r="D23" s="603"/>
      <c r="E23" s="603"/>
      <c r="F23" s="603"/>
      <c r="G23" s="948" t="str" cm="1">
        <f t="array" ref="G23">_xlfn.IFNA(_xlfn.XLOOKUP(PP_TBL[[#This Row],[Column1]],PC_500[[#All],[Part_PartNum]],PC_500[[#All],[Vendor_Name]]),"")</f>
        <v>MARTIN ENGINEERING</v>
      </c>
      <c r="H23" s="948" cm="1">
        <f t="array" ref="H23">_xlfn.IFNA(_xlfn.XLOOKUP(PP_TBL[[#This Row],[Column1]],PC_500[[#All],[Part_PartNum]],PC_500[[#All],[PO_NUM]]),"")</f>
        <v>410151</v>
      </c>
      <c r="I23" s="954" cm="1">
        <f t="array" ref="I23">_xlfn.IFNA(_xlfn.XLOOKUP(PP_TBL[[#This Row],[Column1]],PC_500[[#All],[Part_PartNum]],PC_500[[#All],[Order_Date]]),"")</f>
        <v>45756</v>
      </c>
      <c r="J23" s="605" t="s">
        <v>1356</v>
      </c>
      <c r="K23" s="605"/>
      <c r="L23" s="605"/>
      <c r="M23" s="141" cm="1">
        <f t="array" ref="M23">_xlfn.XLOOKUP(A23,PC_500[[#All],[Part_PartNum]],PC_500[[#All],[Unit_Cost]])</f>
        <v>0</v>
      </c>
      <c r="N23" s="97"/>
      <c r="O23" s="153">
        <f t="shared" si="4"/>
        <v>0</v>
      </c>
    </row>
    <row r="24" spans="1:15" ht="15.75" thickBot="1">
      <c r="A24" s="281">
        <v>501544</v>
      </c>
      <c r="B24" s="284" t="s">
        <v>1357</v>
      </c>
      <c r="C24" s="284"/>
      <c r="D24" s="284"/>
      <c r="E24" s="284"/>
      <c r="F24" s="284"/>
      <c r="G24" s="949" t="str" cm="1">
        <f t="array" ref="G24">_xlfn.IFNA(_xlfn.XLOOKUP(PP_TBL[[#This Row],[Column1]],PC_500[[#All],[Part_PartNum]],PC_500[[#All],[Vendor_Name]]),"")</f>
        <v>MARTIN ENGINEERING</v>
      </c>
      <c r="H24" s="949" cm="1">
        <f t="array" ref="H24">_xlfn.IFNA(_xlfn.XLOOKUP(PP_TBL[[#This Row],[Column1]],PC_500[[#All],[Part_PartNum]],PC_500[[#All],[PO_NUM]]),"")</f>
        <v>410151</v>
      </c>
      <c r="I24" s="955" cm="1">
        <f t="array" ref="I24">_xlfn.IFNA(_xlfn.XLOOKUP(PP_TBL[[#This Row],[Column1]],PC_500[[#All],[Part_PartNum]],PC_500[[#All],[Order_Date]]),"")</f>
        <v>45756</v>
      </c>
      <c r="J24" s="285" t="s">
        <v>1358</v>
      </c>
      <c r="K24" s="285"/>
      <c r="L24" s="285"/>
      <c r="M24" s="146" cm="1">
        <f t="array" ref="M24">_xlfn.XLOOKUP(A24,PC_500[[#All],[Part_PartNum]],PC_500[[#All],[Unit_Cost]])</f>
        <v>0</v>
      </c>
      <c r="N24" s="97"/>
      <c r="O24" s="153">
        <f t="shared" si="4"/>
        <v>0</v>
      </c>
    </row>
    <row r="25" spans="1:15" ht="15.75" collapsed="1" thickBot="1">
      <c r="A25" s="354" t="s">
        <v>1359</v>
      </c>
      <c r="B25" s="355"/>
      <c r="C25" s="355"/>
      <c r="D25" s="355"/>
      <c r="E25" s="355"/>
      <c r="F25" s="355"/>
      <c r="G25" s="947" t="str" cm="1">
        <f t="array" ref="G25">_xlfn.IFNA(_xlfn.XLOOKUP(PP_TBL[[#This Row],[Column1]],PC_500[[#All],[Part_PartNum]],PC_500[[#All],[Vendor_Name]]),"")</f>
        <v/>
      </c>
      <c r="H25" s="947" t="str" cm="1">
        <f t="array" ref="H25">_xlfn.IFNA(_xlfn.XLOOKUP(PP_TBL[[#This Row],[Column1]],PC_500[[#All],[Part_PartNum]],PC_500[[#All],[PO_NUM]]),"")</f>
        <v/>
      </c>
      <c r="I25" s="953" t="str" cm="1">
        <f t="array" ref="I25">_xlfn.IFNA(_xlfn.XLOOKUP(PP_TBL[[#This Row],[Column1]],PC_500[[#All],[Part_PartNum]],PC_500[[#All],[Order_Date]]),"")</f>
        <v/>
      </c>
      <c r="J25" s="355"/>
      <c r="K25" s="355"/>
      <c r="L25" s="355"/>
      <c r="M25" s="944"/>
    </row>
    <row r="26" spans="1:15">
      <c r="A26" s="281">
        <v>502336</v>
      </c>
      <c r="B26" s="1186" t="s">
        <v>1360</v>
      </c>
      <c r="C26" s="284"/>
      <c r="D26" s="284"/>
      <c r="E26" s="1186" t="s">
        <v>1361</v>
      </c>
      <c r="F26" s="284"/>
      <c r="G26" s="949" cm="1">
        <f t="array" ref="G26">_xlfn.IFNA(_xlfn.XLOOKUP(PP_TBL[[#This Row],[Column1]],PC_500[[#All],[Part_PartNum]],PC_500[[#All],[Vendor_Name]]),"")</f>
        <v>0</v>
      </c>
      <c r="H26" s="949" cm="1">
        <f t="array" ref="H26">_xlfn.IFNA(_xlfn.XLOOKUP(PP_TBL[[#This Row],[Column1]],PC_500[[#All],[Part_PartNum]],PC_500[[#All],[PO_NUM]]),"")</f>
        <v>0</v>
      </c>
      <c r="I26" s="955" cm="1">
        <f t="array" ref="I26">_xlfn.IFNA(_xlfn.XLOOKUP(PP_TBL[[#This Row],[Column1]],PC_500[[#All],[Part_PartNum]],PC_500[[#All],[Order_Date]]),"")</f>
        <v>0</v>
      </c>
      <c r="J26" s="1187" t="s">
        <v>1362</v>
      </c>
      <c r="K26" s="285"/>
      <c r="L26" s="285"/>
      <c r="M26" s="146">
        <v>85</v>
      </c>
      <c r="N26" s="97">
        <f t="shared" ref="N26:N37" si="5">IF(Splice_T="Mechanical",IF(Belt_W&amp;"-"&amp;Splice_PN=E26,1,0),0)</f>
        <v>0</v>
      </c>
      <c r="O26" s="153">
        <f>M26*N26</f>
        <v>0</v>
      </c>
    </row>
    <row r="27" spans="1:15">
      <c r="A27" s="281">
        <v>502337</v>
      </c>
      <c r="B27" s="1188" t="s">
        <v>1363</v>
      </c>
      <c r="C27" s="603"/>
      <c r="D27" s="603"/>
      <c r="E27" s="1188" t="s">
        <v>1364</v>
      </c>
      <c r="F27" s="603"/>
      <c r="G27" s="948" cm="1">
        <f t="array" ref="G27">_xlfn.IFNA(_xlfn.XLOOKUP(PP_TBL[[#This Row],[Column1]],PC_500[[#All],[Part_PartNum]],PC_500[[#All],[Vendor_Name]]),"")</f>
        <v>0</v>
      </c>
      <c r="H27" s="948" cm="1">
        <f t="array" ref="H27">_xlfn.IFNA(_xlfn.XLOOKUP(PP_TBL[[#This Row],[Column1]],PC_500[[#All],[Part_PartNum]],PC_500[[#All],[PO_NUM]]),"")</f>
        <v>0</v>
      </c>
      <c r="I27" s="954" cm="1">
        <f t="array" ref="I27">_xlfn.IFNA(_xlfn.XLOOKUP(PP_TBL[[#This Row],[Column1]],PC_500[[#All],[Part_PartNum]],PC_500[[#All],[Order_Date]]),"")</f>
        <v>0</v>
      </c>
      <c r="J27" s="605" t="s">
        <v>1365</v>
      </c>
      <c r="K27" s="605"/>
      <c r="L27" s="605"/>
      <c r="M27" s="141">
        <v>115</v>
      </c>
      <c r="N27" s="97">
        <f t="shared" si="5"/>
        <v>0</v>
      </c>
      <c r="O27" s="153">
        <f t="shared" ref="O27:O38" si="6">M27*N27</f>
        <v>0</v>
      </c>
    </row>
    <row r="28" spans="1:15">
      <c r="A28" s="281">
        <v>502293</v>
      </c>
      <c r="B28" s="1186" t="s">
        <v>1366</v>
      </c>
      <c r="C28" s="284"/>
      <c r="D28" s="284"/>
      <c r="E28" s="1186" t="s">
        <v>1367</v>
      </c>
      <c r="F28" s="284"/>
      <c r="G28" s="949" t="str" cm="1">
        <f t="array" ref="G28">_xlfn.IFNA(_xlfn.XLOOKUP(PP_TBL[[#This Row],[Column1]],PC_500[[#All],[Part_PartNum]],PC_500[[#All],[Vendor_Name]]),"")</f>
        <v>VIACORE SOLUTIONS LLC</v>
      </c>
      <c r="H28" s="949" cm="1">
        <f t="array" ref="H28">_xlfn.IFNA(_xlfn.XLOOKUP(PP_TBL[[#This Row],[Column1]],PC_500[[#All],[Part_PartNum]],PC_500[[#All],[PO_NUM]]),"")</f>
        <v>410056</v>
      </c>
      <c r="I28" s="955" cm="1">
        <f t="array" ref="I28">_xlfn.IFNA(_xlfn.XLOOKUP(PP_TBL[[#This Row],[Column1]],PC_500[[#All],[Part_PartNum]],PC_500[[#All],[Order_Date]]),"")</f>
        <v>45741</v>
      </c>
      <c r="J28" s="285" t="s">
        <v>1368</v>
      </c>
      <c r="K28" s="285"/>
      <c r="L28" s="285"/>
      <c r="M28" s="146" cm="1">
        <f t="array" ref="M28">_xlfn.XLOOKUP(A28,PC_500[[#All],[Part_PartNum]],PC_500[[#All],[Unit_Cost]])</f>
        <v>606.26</v>
      </c>
      <c r="N28" s="97">
        <f t="shared" si="5"/>
        <v>0</v>
      </c>
      <c r="O28" s="153">
        <f t="shared" si="6"/>
        <v>0</v>
      </c>
    </row>
    <row r="29" spans="1:15">
      <c r="A29" s="281"/>
      <c r="B29" s="1186" t="s">
        <v>1369</v>
      </c>
      <c r="C29" s="284"/>
      <c r="D29" s="284"/>
      <c r="E29" s="1186" t="s">
        <v>1370</v>
      </c>
      <c r="F29" s="284"/>
      <c r="G29" s="949" t="str" cm="1">
        <f t="array" ref="G29">_xlfn.IFNA(_xlfn.XLOOKUP(PP_TBL[[#This Row],[Column1]],PC_500[[#All],[Part_PartNum]],PC_500[[#All],[Vendor_Name]]),"")</f>
        <v/>
      </c>
      <c r="H29" s="949" t="str" cm="1">
        <f t="array" ref="H29">_xlfn.IFNA(_xlfn.XLOOKUP(PP_TBL[[#This Row],[Column1]],PC_500[[#All],[Part_PartNum]],PC_500[[#All],[PO_NUM]]),"")</f>
        <v/>
      </c>
      <c r="I29" s="955" t="str" cm="1">
        <f t="array" ref="I29">_xlfn.IFNA(_xlfn.XLOOKUP(PP_TBL[[#This Row],[Column1]],PC_500[[#All],[Part_PartNum]],PC_500[[#All],[Order_Date]]),"")</f>
        <v/>
      </c>
      <c r="J29" s="285" t="s">
        <v>1368</v>
      </c>
      <c r="K29" s="285"/>
      <c r="L29" s="285"/>
      <c r="M29" s="146">
        <v>170</v>
      </c>
      <c r="N29" s="97">
        <f t="shared" si="5"/>
        <v>0</v>
      </c>
      <c r="O29" s="153">
        <f t="shared" ref="O29:O31" si="7">M29*N29</f>
        <v>0</v>
      </c>
    </row>
    <row r="30" spans="1:15">
      <c r="A30" s="281"/>
      <c r="B30" s="1186" t="s">
        <v>1371</v>
      </c>
      <c r="C30" s="284"/>
      <c r="D30" s="284"/>
      <c r="E30" s="1186" t="s">
        <v>1372</v>
      </c>
      <c r="F30" s="284"/>
      <c r="G30" s="949" t="str" cm="1">
        <f t="array" ref="G30">_xlfn.IFNA(_xlfn.XLOOKUP(PP_TBL[[#This Row],[Column1]],PC_500[[#All],[Part_PartNum]],PC_500[[#All],[Vendor_Name]]),"")</f>
        <v/>
      </c>
      <c r="H30" s="949" t="str" cm="1">
        <f t="array" ref="H30">_xlfn.IFNA(_xlfn.XLOOKUP(PP_TBL[[#This Row],[Column1]],PC_500[[#All],[Part_PartNum]],PC_500[[#All],[PO_NUM]]),"")</f>
        <v/>
      </c>
      <c r="I30" s="955" t="str" cm="1">
        <f t="array" ref="I30">_xlfn.IFNA(_xlfn.XLOOKUP(PP_TBL[[#This Row],[Column1]],PC_500[[#All],[Part_PartNum]],PC_500[[#All],[Order_Date]]),"")</f>
        <v/>
      </c>
      <c r="J30" s="285" t="s">
        <v>1368</v>
      </c>
      <c r="K30" s="285"/>
      <c r="L30" s="285"/>
      <c r="M30" s="146">
        <v>200</v>
      </c>
      <c r="N30" s="97">
        <f t="shared" si="5"/>
        <v>0</v>
      </c>
      <c r="O30" s="153">
        <f t="shared" si="7"/>
        <v>0</v>
      </c>
    </row>
    <row r="31" spans="1:15">
      <c r="A31" s="281"/>
      <c r="B31" s="1186" t="s">
        <v>1373</v>
      </c>
      <c r="C31" s="284"/>
      <c r="D31" s="284"/>
      <c r="E31" s="1186" t="s">
        <v>1374</v>
      </c>
      <c r="F31" s="284"/>
      <c r="G31" s="949" t="str" cm="1">
        <f t="array" ref="G31">_xlfn.IFNA(_xlfn.XLOOKUP(PP_TBL[[#This Row],[Column1]],PC_500[[#All],[Part_PartNum]],PC_500[[#All],[Vendor_Name]]),"")</f>
        <v/>
      </c>
      <c r="H31" s="949" t="str" cm="1">
        <f t="array" ref="H31">_xlfn.IFNA(_xlfn.XLOOKUP(PP_TBL[[#This Row],[Column1]],PC_500[[#All],[Part_PartNum]],PC_500[[#All],[PO_NUM]]),"")</f>
        <v/>
      </c>
      <c r="I31" s="955" t="str" cm="1">
        <f t="array" ref="I31">_xlfn.IFNA(_xlfn.XLOOKUP(PP_TBL[[#This Row],[Column1]],PC_500[[#All],[Part_PartNum]],PC_500[[#All],[Order_Date]]),"")</f>
        <v/>
      </c>
      <c r="J31" s="285" t="s">
        <v>1368</v>
      </c>
      <c r="K31" s="285"/>
      <c r="L31" s="285"/>
      <c r="M31" s="146">
        <v>230</v>
      </c>
      <c r="N31" s="97">
        <f t="shared" si="5"/>
        <v>0</v>
      </c>
      <c r="O31" s="153">
        <f t="shared" si="7"/>
        <v>0</v>
      </c>
    </row>
    <row r="32" spans="1:15">
      <c r="A32" s="281"/>
      <c r="B32" s="1186" t="s">
        <v>1375</v>
      </c>
      <c r="C32" s="284"/>
      <c r="D32" s="284"/>
      <c r="E32" s="284" t="s">
        <v>1376</v>
      </c>
      <c r="F32" s="284"/>
      <c r="G32" s="949" t="str" cm="1">
        <f t="array" ref="G32">_xlfn.IFNA(_xlfn.XLOOKUP(PP_TBL[[#This Row],[Column1]],PC_500[[#All],[Part_PartNum]],PC_500[[#All],[Vendor_Name]]),"")</f>
        <v/>
      </c>
      <c r="H32" s="949" t="str" cm="1">
        <f t="array" ref="H32">_xlfn.IFNA(_xlfn.XLOOKUP(PP_TBL[[#This Row],[Column1]],PC_500[[#All],[Part_PartNum]],PC_500[[#All],[PO_NUM]]),"")</f>
        <v/>
      </c>
      <c r="I32" s="955" t="str" cm="1">
        <f t="array" ref="I32">_xlfn.IFNA(_xlfn.XLOOKUP(PP_TBL[[#This Row],[Column1]],PC_500[[#All],[Part_PartNum]],PC_500[[#All],[Order_Date]]),"")</f>
        <v/>
      </c>
      <c r="J32" s="1187" t="s">
        <v>1377</v>
      </c>
      <c r="K32" s="285"/>
      <c r="L32" s="285"/>
      <c r="M32" s="146">
        <v>280</v>
      </c>
      <c r="N32" s="97">
        <f t="shared" si="5"/>
        <v>0</v>
      </c>
      <c r="O32" s="153">
        <f>M32*N32</f>
        <v>0</v>
      </c>
    </row>
    <row r="33" spans="1:15">
      <c r="A33" s="281"/>
      <c r="B33" s="1188" t="s">
        <v>1378</v>
      </c>
      <c r="C33" s="603"/>
      <c r="D33" s="603"/>
      <c r="E33" s="1188" t="s">
        <v>1379</v>
      </c>
      <c r="F33" s="603"/>
      <c r="G33" s="948" t="str" cm="1">
        <f t="array" ref="G33">_xlfn.IFNA(_xlfn.XLOOKUP(PP_TBL[[#This Row],[Column1]],PC_500[[#All],[Part_PartNum]],PC_500[[#All],[Vendor_Name]]),"")</f>
        <v/>
      </c>
      <c r="H33" s="948" t="str" cm="1">
        <f t="array" ref="H33">_xlfn.IFNA(_xlfn.XLOOKUP(PP_TBL[[#This Row],[Column1]],PC_500[[#All],[Part_PartNum]],PC_500[[#All],[PO_NUM]]),"")</f>
        <v/>
      </c>
      <c r="I33" s="954" t="str" cm="1">
        <f t="array" ref="I33">_xlfn.IFNA(_xlfn.XLOOKUP(PP_TBL[[#This Row],[Column1]],PC_500[[#All],[Part_PartNum]],PC_500[[#All],[Order_Date]]),"")</f>
        <v/>
      </c>
      <c r="J33" s="1189" t="s">
        <v>1380</v>
      </c>
      <c r="K33" s="605"/>
      <c r="L33" s="605"/>
      <c r="M33" s="141">
        <v>345</v>
      </c>
      <c r="N33" s="97">
        <f t="shared" si="5"/>
        <v>0</v>
      </c>
      <c r="O33" s="153">
        <f t="shared" ref="O33:O37" si="8">M33*N33</f>
        <v>0</v>
      </c>
    </row>
    <row r="34" spans="1:15">
      <c r="A34" s="281"/>
      <c r="B34" s="1186" t="s">
        <v>1381</v>
      </c>
      <c r="C34" s="284"/>
      <c r="D34" s="284"/>
      <c r="E34" s="284" t="s">
        <v>1382</v>
      </c>
      <c r="F34" s="284"/>
      <c r="G34" s="949" t="str" cm="1">
        <f t="array" ref="G34">_xlfn.IFNA(_xlfn.XLOOKUP(PP_TBL[[#This Row],[Column1]],PC_500[[#All],[Part_PartNum]],PC_500[[#All],[Vendor_Name]]),"")</f>
        <v/>
      </c>
      <c r="H34" s="949" t="str" cm="1">
        <f t="array" ref="H34">_xlfn.IFNA(_xlfn.XLOOKUP(PP_TBL[[#This Row],[Column1]],PC_500[[#All],[Part_PartNum]],PC_500[[#All],[PO_NUM]]),"")</f>
        <v/>
      </c>
      <c r="I34" s="955" t="str" cm="1">
        <f t="array" ref="I34">_xlfn.IFNA(_xlfn.XLOOKUP(PP_TBL[[#This Row],[Column1]],PC_500[[#All],[Part_PartNum]],PC_500[[#All],[Order_Date]]),"")</f>
        <v/>
      </c>
      <c r="J34" s="1187" t="s">
        <v>1383</v>
      </c>
      <c r="K34" s="285"/>
      <c r="L34" s="285"/>
      <c r="M34" s="146">
        <v>445</v>
      </c>
      <c r="N34" s="97">
        <f t="shared" si="5"/>
        <v>0</v>
      </c>
      <c r="O34" s="153">
        <f t="shared" si="8"/>
        <v>0</v>
      </c>
    </row>
    <row r="35" spans="1:15">
      <c r="A35" s="281"/>
      <c r="B35" s="1186" t="s">
        <v>1384</v>
      </c>
      <c r="C35" s="284"/>
      <c r="D35" s="284"/>
      <c r="E35" s="284" t="s">
        <v>1385</v>
      </c>
      <c r="F35" s="284"/>
      <c r="G35" s="949" t="str" cm="1">
        <f t="array" ref="G35">_xlfn.IFNA(_xlfn.XLOOKUP(PP_TBL[[#This Row],[Column1]],PC_500[[#All],[Part_PartNum]],PC_500[[#All],[Vendor_Name]]),"")</f>
        <v/>
      </c>
      <c r="H35" s="949" t="str" cm="1">
        <f t="array" ref="H35">_xlfn.IFNA(_xlfn.XLOOKUP(PP_TBL[[#This Row],[Column1]],PC_500[[#All],[Part_PartNum]],PC_500[[#All],[PO_NUM]]),"")</f>
        <v/>
      </c>
      <c r="I35" s="955" t="str" cm="1">
        <f t="array" ref="I35">_xlfn.IFNA(_xlfn.XLOOKUP(PP_TBL[[#This Row],[Column1]],PC_500[[#All],[Part_PartNum]],PC_500[[#All],[Order_Date]]),"")</f>
        <v/>
      </c>
      <c r="J35" s="1187" t="s">
        <v>1386</v>
      </c>
      <c r="K35" s="285"/>
      <c r="L35" s="285"/>
      <c r="M35" s="146">
        <v>538.11</v>
      </c>
      <c r="N35" s="97">
        <f t="shared" si="5"/>
        <v>0</v>
      </c>
      <c r="O35" s="153">
        <f t="shared" si="8"/>
        <v>0</v>
      </c>
    </row>
    <row r="36" spans="1:15">
      <c r="A36" s="281"/>
      <c r="B36" s="1186" t="s">
        <v>1387</v>
      </c>
      <c r="C36" s="284"/>
      <c r="D36" s="284"/>
      <c r="E36" s="284" t="s">
        <v>1388</v>
      </c>
      <c r="F36" s="284"/>
      <c r="G36" s="949" t="str" cm="1">
        <f t="array" ref="G36">_xlfn.IFNA(_xlfn.XLOOKUP(PP_TBL[[#This Row],[Column1]],PC_500[[#All],[Part_PartNum]],PC_500[[#All],[Vendor_Name]]),"")</f>
        <v/>
      </c>
      <c r="H36" s="949" t="str" cm="1">
        <f t="array" ref="H36">_xlfn.IFNA(_xlfn.XLOOKUP(PP_TBL[[#This Row],[Column1]],PC_500[[#All],[Part_PartNum]],PC_500[[#All],[PO_NUM]]),"")</f>
        <v/>
      </c>
      <c r="I36" s="955" t="str" cm="1">
        <f t="array" ref="I36">_xlfn.IFNA(_xlfn.XLOOKUP(PP_TBL[[#This Row],[Column1]],PC_500[[#All],[Part_PartNum]],PC_500[[#All],[Order_Date]]),"")</f>
        <v/>
      </c>
      <c r="J36" s="1187" t="s">
        <v>1389</v>
      </c>
      <c r="K36" s="285"/>
      <c r="L36" s="285"/>
      <c r="M36" s="146">
        <v>640</v>
      </c>
      <c r="N36" s="97">
        <f t="shared" si="5"/>
        <v>0</v>
      </c>
      <c r="O36" s="153">
        <f t="shared" si="8"/>
        <v>0</v>
      </c>
    </row>
    <row r="37" spans="1:15">
      <c r="A37" s="281"/>
      <c r="B37" s="1186" t="s">
        <v>1390</v>
      </c>
      <c r="C37" s="284"/>
      <c r="D37" s="284"/>
      <c r="E37" s="284" t="s">
        <v>1391</v>
      </c>
      <c r="F37" s="284"/>
      <c r="G37" s="949" t="str" cm="1">
        <f t="array" ref="G37">_xlfn.IFNA(_xlfn.XLOOKUP(PP_TBL[[#This Row],[Column1]],PC_500[[#All],[Part_PartNum]],PC_500[[#All],[Vendor_Name]]),"")</f>
        <v/>
      </c>
      <c r="H37" s="949" t="str" cm="1">
        <f t="array" ref="H37">_xlfn.IFNA(_xlfn.XLOOKUP(PP_TBL[[#This Row],[Column1]],PC_500[[#All],[Part_PartNum]],PC_500[[#All],[PO_NUM]]),"")</f>
        <v/>
      </c>
      <c r="I37" s="955" t="str" cm="1">
        <f t="array" ref="I37">_xlfn.IFNA(_xlfn.XLOOKUP(PP_TBL[[#This Row],[Column1]],PC_500[[#All],[Part_PartNum]],PC_500[[#All],[Order_Date]]),"")</f>
        <v/>
      </c>
      <c r="J37" s="1187" t="s">
        <v>1392</v>
      </c>
      <c r="K37" s="285"/>
      <c r="L37" s="285"/>
      <c r="M37" s="146">
        <v>735</v>
      </c>
      <c r="N37" s="97">
        <f t="shared" si="5"/>
        <v>0</v>
      </c>
      <c r="O37" s="153">
        <f t="shared" si="8"/>
        <v>0</v>
      </c>
    </row>
    <row r="38" spans="1:15" ht="15.75" thickBot="1">
      <c r="A38" s="281"/>
      <c r="B38" s="939" t="s">
        <v>1393</v>
      </c>
      <c r="C38" s="939"/>
      <c r="D38" s="939"/>
      <c r="E38" s="939"/>
      <c r="F38" s="939"/>
      <c r="G38" s="951" t="str" cm="1">
        <f t="array" ref="G38">_xlfn.IFNA(_xlfn.XLOOKUP(PP_TBL[[#This Row],[Column1]],PC_500[[#All],[Part_PartNum]],PC_500[[#All],[Vendor_Name]]),"")</f>
        <v/>
      </c>
      <c r="H38" s="951" t="str" cm="1">
        <f t="array" ref="H38">_xlfn.IFNA(_xlfn.XLOOKUP(PP_TBL[[#This Row],[Column1]],PC_500[[#All],[Part_PartNum]],PC_500[[#All],[PO_NUM]]),"")</f>
        <v/>
      </c>
      <c r="I38" s="957" t="str" cm="1">
        <f t="array" ref="I38">_xlfn.IFNA(_xlfn.XLOOKUP(PP_TBL[[#This Row],[Column1]],PC_500[[#All],[Part_PartNum]],PC_500[[#All],[Order_Date]]),"")</f>
        <v/>
      </c>
      <c r="J38" s="280"/>
      <c r="K38" s="280"/>
      <c r="L38" s="280"/>
      <c r="M38" s="141">
        <v>6500</v>
      </c>
      <c r="N38" s="97">
        <f>IF(Splice_T="Vulcanized",1,0)</f>
        <v>0</v>
      </c>
      <c r="O38" s="153">
        <f t="shared" si="6"/>
        <v>0</v>
      </c>
    </row>
    <row r="39" spans="1:15" ht="15.75" thickBot="1">
      <c r="A39" s="354" t="s">
        <v>1394</v>
      </c>
      <c r="B39" s="945"/>
      <c r="C39" s="945"/>
      <c r="D39" s="945"/>
      <c r="E39" s="945"/>
      <c r="F39" s="945"/>
      <c r="G39" s="947" t="str" cm="1">
        <f t="array" ref="G39">_xlfn.IFNA(_xlfn.XLOOKUP(PP_TBL[[#This Row],[Column1]],PC_500[[#All],[Part_PartNum]],PC_500[[#All],[Vendor_Name]]),"")</f>
        <v/>
      </c>
      <c r="H39" s="947" t="str" cm="1">
        <f t="array" ref="H39">_xlfn.IFNA(_xlfn.XLOOKUP(PP_TBL[[#This Row],[Column1]],PC_500[[#All],[Part_PartNum]],PC_500[[#All],[PO_NUM]]),"")</f>
        <v/>
      </c>
      <c r="I39" s="953" t="str" cm="1">
        <f t="array" ref="I39">_xlfn.IFNA(_xlfn.XLOOKUP(PP_TBL[[#This Row],[Column1]],PC_500[[#All],[Part_PartNum]],PC_500[[#All],[Order_Date]]),"")</f>
        <v/>
      </c>
      <c r="J39" s="355"/>
      <c r="K39" s="355"/>
      <c r="L39" s="355"/>
      <c r="M39" s="944"/>
    </row>
    <row r="40" spans="1:15">
      <c r="A40" s="281">
        <v>502381</v>
      </c>
      <c r="B40" s="604" t="s">
        <v>1395</v>
      </c>
      <c r="C40" s="604"/>
      <c r="D40" s="604"/>
      <c r="E40" s="604"/>
      <c r="F40" s="604"/>
      <c r="G40" s="952" t="str" cm="1">
        <f t="array" ref="G40">_xlfn.IFNA(_xlfn.XLOOKUP(PP_TBL[[#This Row],[Column1]],PC_500[[#All],[Part_PartNum]],PC_500[[#All],[Vendor_Name]]),"")</f>
        <v>BDI</v>
      </c>
      <c r="H40" s="952" cm="1">
        <f t="array" ref="H40">_xlfn.IFNA(_xlfn.XLOOKUP(PP_TBL[[#This Row],[Column1]],PC_500[[#All],[Part_PartNum]],PC_500[[#All],[PO_NUM]]),"")</f>
        <v>408526</v>
      </c>
      <c r="I40" s="958" cm="1">
        <f t="array" ref="I40">_xlfn.IFNA(_xlfn.XLOOKUP(PP_TBL[[#This Row],[Column1]],PC_500[[#All],[Part_PartNum]],PC_500[[#All],[Order_Date]]),"")</f>
        <v>45427</v>
      </c>
      <c r="J40" s="285" t="s">
        <v>1396</v>
      </c>
      <c r="K40" s="285"/>
      <c r="L40" s="285"/>
      <c r="M40" s="146" cm="1">
        <f t="array" ref="M40">_xlfn.IFNA(_xlfn.XLOOKUP(PP_TBL[[#This Row],[Column1]],PC_500[[#All],[Part_PartNum]],PC_500[[#All],[Unit_Cost]]),"QUOTE")</f>
        <v>244.19</v>
      </c>
      <c r="N40" s="97">
        <f>IF('Bio-BELT Design'!P$7=1.5,2,0)</f>
        <v>0</v>
      </c>
      <c r="O40" s="153">
        <f>M40*N40</f>
        <v>0</v>
      </c>
    </row>
    <row r="41" spans="1:15">
      <c r="A41" s="281">
        <v>502382</v>
      </c>
      <c r="B41" s="603" t="s">
        <v>1397</v>
      </c>
      <c r="C41" s="603"/>
      <c r="D41" s="603"/>
      <c r="E41" s="603"/>
      <c r="F41" s="603"/>
      <c r="G41" s="948" t="str" cm="1">
        <f t="array" ref="G41">_xlfn.IFNA(_xlfn.XLOOKUP(PP_TBL[[#This Row],[Column1]],PC_500[[#All],[Part_PartNum]],PC_500[[#All],[Vendor_Name]]),"")</f>
        <v>BDI</v>
      </c>
      <c r="H41" s="948" cm="1">
        <f t="array" ref="H41">_xlfn.IFNA(_xlfn.XLOOKUP(PP_TBL[[#This Row],[Column1]],PC_500[[#All],[Part_PartNum]],PC_500[[#All],[PO_NUM]]),"")</f>
        <v>408526</v>
      </c>
      <c r="I41" s="954" cm="1">
        <f t="array" ref="I41">_xlfn.IFNA(_xlfn.XLOOKUP(PP_TBL[[#This Row],[Column1]],PC_500[[#All],[Part_PartNum]],PC_500[[#All],[Order_Date]]),"")</f>
        <v>45427</v>
      </c>
      <c r="J41" s="605" t="s">
        <v>1398</v>
      </c>
      <c r="K41" s="605"/>
      <c r="L41" s="605"/>
      <c r="M41" s="141" cm="1">
        <f t="array" ref="M41">_xlfn.IFNA(_xlfn.XLOOKUP(PP_TBL[[#This Row],[Column1]],PC_500[[#All],[Part_PartNum]],PC_500[[#All],[Unit_Cost]]),"QUOTE")</f>
        <v>244.19</v>
      </c>
      <c r="N41" s="97">
        <f>IF('Bio-BELT Design'!P$7=1.5,2,0)</f>
        <v>0</v>
      </c>
      <c r="O41" s="153">
        <f t="shared" ref="O41" si="9">M41*N41</f>
        <v>0</v>
      </c>
    </row>
    <row r="42" spans="1:15">
      <c r="A42" s="281">
        <v>502202</v>
      </c>
      <c r="B42" s="284" t="s">
        <v>1399</v>
      </c>
      <c r="C42" s="284"/>
      <c r="D42" s="284"/>
      <c r="E42" s="284"/>
      <c r="F42" s="284"/>
      <c r="G42" s="949" t="str" cm="1">
        <f t="array" ref="G42">_xlfn.IFNA(_xlfn.XLOOKUP(PP_TBL[[#This Row],[Column1]],PC_500[[#All],[Part_PartNum]],PC_500[[#All],[Vendor_Name]]),"")</f>
        <v>ATLANTIC DRIVES &amp; BEARING INC*</v>
      </c>
      <c r="H42" s="949" cm="1">
        <f t="array" ref="H42">_xlfn.IFNA(_xlfn.XLOOKUP(PP_TBL[[#This Row],[Column1]],PC_500[[#All],[Part_PartNum]],PC_500[[#All],[PO_NUM]]),"")</f>
        <v>409767</v>
      </c>
      <c r="I42" s="955" cm="1">
        <f t="array" ref="I42">_xlfn.IFNA(_xlfn.XLOOKUP(PP_TBL[[#This Row],[Column1]],PC_500[[#All],[Part_PartNum]],PC_500[[#All],[Order_Date]]),"")</f>
        <v>45692</v>
      </c>
      <c r="J42" s="285" t="s">
        <v>1400</v>
      </c>
      <c r="K42" s="285"/>
      <c r="L42" s="285"/>
      <c r="M42" s="146" cm="1">
        <f t="array" ref="M42">_xlfn.IFNA(_xlfn.XLOOKUP(PP_TBL[[#This Row],[Column1]],PC_500[[#All],[Part_PartNum]],PC_500[[#All],[Unit_Cost]]),"QUOTE")</f>
        <v>333.93</v>
      </c>
      <c r="N42" s="97">
        <f>IF('Bio-BELT Design'!P$7=1.9375,2,0)</f>
        <v>0</v>
      </c>
      <c r="O42" s="153">
        <f>M42*N42</f>
        <v>0</v>
      </c>
    </row>
    <row r="43" spans="1:15">
      <c r="A43" s="281">
        <v>502203</v>
      </c>
      <c r="B43" s="603" t="s">
        <v>1401</v>
      </c>
      <c r="C43" s="603"/>
      <c r="D43" s="603"/>
      <c r="E43" s="603"/>
      <c r="F43" s="603"/>
      <c r="G43" s="948" t="str" cm="1">
        <f t="array" ref="G43">_xlfn.IFNA(_xlfn.XLOOKUP(PP_TBL[[#This Row],[Column1]],PC_500[[#All],[Part_PartNum]],PC_500[[#All],[Vendor_Name]]),"")</f>
        <v>ATLANTIC DRIVES &amp; BEARING INC*</v>
      </c>
      <c r="H43" s="948" cm="1">
        <f t="array" ref="H43">_xlfn.IFNA(_xlfn.XLOOKUP(PP_TBL[[#This Row],[Column1]],PC_500[[#All],[Part_PartNum]],PC_500[[#All],[PO_NUM]]),"")</f>
        <v>409662</v>
      </c>
      <c r="I43" s="954" cm="1">
        <f t="array" ref="I43">_xlfn.IFNA(_xlfn.XLOOKUP(PP_TBL[[#This Row],[Column1]],PC_500[[#All],[Part_PartNum]],PC_500[[#All],[Order_Date]]),"")</f>
        <v>45671</v>
      </c>
      <c r="J43" s="605" t="s">
        <v>1402</v>
      </c>
      <c r="K43" s="605"/>
      <c r="L43" s="605"/>
      <c r="M43" s="141" cm="1">
        <f t="array" ref="M43">_xlfn.IFNA(_xlfn.XLOOKUP(PP_TBL[[#This Row],[Column1]],PC_500[[#All],[Part_PartNum]],PC_500[[#All],[Unit_Cost]]),"QUOTE")</f>
        <v>258</v>
      </c>
      <c r="N43" s="97">
        <f>IF('Bio-BELT Design'!P$7=1.9375,2,0)</f>
        <v>0</v>
      </c>
      <c r="O43" s="153">
        <f t="shared" ref="O43:O53" si="10">M43*N43</f>
        <v>0</v>
      </c>
    </row>
    <row r="44" spans="1:15">
      <c r="A44" s="281">
        <v>502435</v>
      </c>
      <c r="B44" s="284" t="s">
        <v>1403</v>
      </c>
      <c r="C44" s="284"/>
      <c r="D44" s="284"/>
      <c r="E44" s="284"/>
      <c r="F44" s="284"/>
      <c r="G44" s="949" t="str" cm="1">
        <f t="array" ref="G44">_xlfn.IFNA(_xlfn.XLOOKUP(PP_TBL[[#This Row],[Column1]],PC_500[[#All],[Part_PartNum]],PC_500[[#All],[Vendor_Name]]),"")</f>
        <v>ATLANTIC DRIVES &amp; BEARING INC*</v>
      </c>
      <c r="H44" s="949" cm="1">
        <f t="array" ref="H44">_xlfn.IFNA(_xlfn.XLOOKUP(PP_TBL[[#This Row],[Column1]],PC_500[[#All],[Part_PartNum]],PC_500[[#All],[PO_NUM]]),"")</f>
        <v>409767</v>
      </c>
      <c r="I44" s="955" cm="1">
        <f t="array" ref="I44">_xlfn.IFNA(_xlfn.XLOOKUP(PP_TBL[[#This Row],[Column1]],PC_500[[#All],[Part_PartNum]],PC_500[[#All],[Order_Date]]),"")</f>
        <v>45692</v>
      </c>
      <c r="J44" s="285" t="s">
        <v>1404</v>
      </c>
      <c r="K44" s="285"/>
      <c r="L44" s="285"/>
      <c r="M44" s="146" cm="1">
        <f t="array" ref="M44">_xlfn.IFNA(_xlfn.XLOOKUP(PP_TBL[[#This Row],[Column1]],PC_500[[#All],[Part_PartNum]],PC_500[[#All],[Unit_Cost]]),"QUOTE")</f>
        <v>414.55</v>
      </c>
      <c r="N44" s="97">
        <f>IF('Bio-BELT Design'!P7=2,2,0)</f>
        <v>0</v>
      </c>
      <c r="O44" s="153">
        <f>M44*N44</f>
        <v>0</v>
      </c>
    </row>
    <row r="45" spans="1:15">
      <c r="A45" s="281">
        <v>502436</v>
      </c>
      <c r="B45" s="603" t="s">
        <v>1405</v>
      </c>
      <c r="C45" s="603"/>
      <c r="D45" s="603"/>
      <c r="E45" s="603"/>
      <c r="F45" s="603"/>
      <c r="G45" s="948" t="str" cm="1">
        <f t="array" ref="G45">_xlfn.IFNA(_xlfn.XLOOKUP(PP_TBL[[#This Row],[Column1]],PC_500[[#All],[Part_PartNum]],PC_500[[#All],[Vendor_Name]]),"")</f>
        <v>ATLANTIC DRIVES &amp; BEARING INC*</v>
      </c>
      <c r="H45" s="948" cm="1">
        <f t="array" ref="H45">_xlfn.IFNA(_xlfn.XLOOKUP(PP_TBL[[#This Row],[Column1]],PC_500[[#All],[Part_PartNum]],PC_500[[#All],[PO_NUM]]),"")</f>
        <v>405627</v>
      </c>
      <c r="I45" s="954" cm="1">
        <f t="array" ref="I45">_xlfn.IFNA(_xlfn.XLOOKUP(PP_TBL[[#This Row],[Column1]],PC_500[[#All],[Part_PartNum]],PC_500[[#All],[Order_Date]]),"")</f>
        <v>44823</v>
      </c>
      <c r="J45" s="605" t="s">
        <v>1406</v>
      </c>
      <c r="K45" s="605"/>
      <c r="L45" s="605"/>
      <c r="M45" s="141" cm="1">
        <f t="array" ref="M45">_xlfn.IFNA(_xlfn.XLOOKUP(PP_TBL[[#This Row],[Column1]],PC_500[[#All],[Part_PartNum]],PC_500[[#All],[Unit_Cost]]),"QUOTE")</f>
        <v>243.42</v>
      </c>
      <c r="N45" s="97">
        <f>IF('Bio-BELT Design'!P7=2,2,0)</f>
        <v>0</v>
      </c>
      <c r="O45" s="153">
        <f t="shared" ref="O45" si="11">M45*N45</f>
        <v>0</v>
      </c>
    </row>
    <row r="46" spans="1:15">
      <c r="A46" s="281">
        <v>501400</v>
      </c>
      <c r="B46" s="284" t="s">
        <v>1407</v>
      </c>
      <c r="C46" s="284"/>
      <c r="D46" s="284"/>
      <c r="E46" s="284"/>
      <c r="F46" s="284"/>
      <c r="G46" s="949" t="str" cm="1">
        <f t="array" ref="G46">_xlfn.IFNA(_xlfn.XLOOKUP(PP_TBL[[#This Row],[Column1]],PC_500[[#All],[Part_PartNum]],PC_500[[#All],[Vendor_Name]]),"")</f>
        <v>ATLANTIC DRIVES &amp; BEARING INC*</v>
      </c>
      <c r="H46" s="949" cm="1">
        <f t="array" ref="H46">_xlfn.IFNA(_xlfn.XLOOKUP(PP_TBL[[#This Row],[Column1]],PC_500[[#All],[Part_PartNum]],PC_500[[#All],[PO_NUM]]),"")</f>
        <v>409350</v>
      </c>
      <c r="I46" s="955" cm="1">
        <f t="array" ref="I46">_xlfn.IFNA(_xlfn.XLOOKUP(PP_TBL[[#This Row],[Column1]],PC_500[[#All],[Part_PartNum]],PC_500[[#All],[Order_Date]]),"")</f>
        <v>45593</v>
      </c>
      <c r="J46" s="285" t="s">
        <v>1408</v>
      </c>
      <c r="K46" s="285"/>
      <c r="L46" s="285"/>
      <c r="M46" s="146" cm="1">
        <f t="array" ref="M46">_xlfn.IFNA(_xlfn.XLOOKUP(PP_TBL[[#This Row],[Column1]],PC_500[[#All],[Part_PartNum]],PC_500[[#All],[Unit_Cost]]),"QUOTE")</f>
        <v>462.31</v>
      </c>
      <c r="N46" s="97">
        <f>IF('Bio-BELT Design'!P7=2.4375,2,0)</f>
        <v>0</v>
      </c>
      <c r="O46" s="153">
        <f t="shared" si="10"/>
        <v>0</v>
      </c>
    </row>
    <row r="47" spans="1:15">
      <c r="A47" s="281">
        <v>501433</v>
      </c>
      <c r="B47" s="603" t="s">
        <v>1409</v>
      </c>
      <c r="C47" s="603"/>
      <c r="D47" s="603"/>
      <c r="E47" s="603"/>
      <c r="F47" s="603"/>
      <c r="G47" s="948" t="str" cm="1">
        <f t="array" ref="G47">_xlfn.IFNA(_xlfn.XLOOKUP(PP_TBL[[#This Row],[Column1]],PC_500[[#All],[Part_PartNum]],PC_500[[#All],[Vendor_Name]]),"")</f>
        <v>ATLANTIC DRIVES &amp; BEARING INC*</v>
      </c>
      <c r="H47" s="948" cm="1">
        <f t="array" ref="H47">_xlfn.IFNA(_xlfn.XLOOKUP(PP_TBL[[#This Row],[Column1]],PC_500[[#All],[Part_PartNum]],PC_500[[#All],[PO_NUM]]),"")</f>
        <v>409350</v>
      </c>
      <c r="I47" s="954" cm="1">
        <f t="array" ref="I47">_xlfn.IFNA(_xlfn.XLOOKUP(PP_TBL[[#This Row],[Column1]],PC_500[[#All],[Part_PartNum]],PC_500[[#All],[Order_Date]]),"")</f>
        <v>45593</v>
      </c>
      <c r="J47" s="605" t="s">
        <v>1410</v>
      </c>
      <c r="K47" s="605"/>
      <c r="L47" s="605"/>
      <c r="M47" s="141" cm="1">
        <f t="array" ref="M47">_xlfn.IFNA(_xlfn.XLOOKUP(PP_TBL[[#This Row],[Column1]],PC_500[[#All],[Part_PartNum]],PC_500[[#All],[Unit_Cost]]),"QUOTE")</f>
        <v>404.91</v>
      </c>
      <c r="N47" s="97">
        <f>IF('Bio-BELT Design'!P7=2.4375,2,0)</f>
        <v>0</v>
      </c>
      <c r="O47" s="153">
        <f t="shared" si="10"/>
        <v>0</v>
      </c>
    </row>
    <row r="48" spans="1:15">
      <c r="A48" s="281">
        <v>502291</v>
      </c>
      <c r="B48" s="284" t="s">
        <v>1411</v>
      </c>
      <c r="C48" s="284"/>
      <c r="D48" s="284"/>
      <c r="E48" s="284"/>
      <c r="F48" s="284"/>
      <c r="G48" s="949" t="str" cm="1">
        <f t="array" ref="G48">_xlfn.IFNA(_xlfn.XLOOKUP(PP_TBL[[#This Row],[Column1]],PC_500[[#All],[Part_PartNum]],PC_500[[#All],[Vendor_Name]]),"")</f>
        <v>DOWCO INDUSTRIAL</v>
      </c>
      <c r="H48" s="949" cm="1">
        <f t="array" ref="H48">_xlfn.IFNA(_xlfn.XLOOKUP(PP_TBL[[#This Row],[Column1]],PC_500[[#All],[Part_PartNum]],PC_500[[#All],[PO_NUM]]),"")</f>
        <v>409105</v>
      </c>
      <c r="I48" s="955" cm="1">
        <f t="array" ref="I48">_xlfn.IFNA(_xlfn.XLOOKUP(PP_TBL[[#This Row],[Column1]],PC_500[[#All],[Part_PartNum]],PC_500[[#All],[Order_Date]]),"")</f>
        <v>45546</v>
      </c>
      <c r="J48" s="285" t="s">
        <v>1412</v>
      </c>
      <c r="K48" s="285"/>
      <c r="L48" s="285"/>
      <c r="M48" s="146" cm="1">
        <f t="array" ref="M48">_xlfn.IFNA(_xlfn.XLOOKUP(PP_TBL[[#This Row],[Column1]],PC_500[[#All],[Part_PartNum]],PC_500[[#All],[Unit_Cost]]),"QUOTE")</f>
        <v>922.7</v>
      </c>
      <c r="N48" s="97">
        <f>IF('Bio-BELT Design'!P7=2.75,2,0)</f>
        <v>0</v>
      </c>
      <c r="O48" s="153">
        <f t="shared" si="10"/>
        <v>0</v>
      </c>
    </row>
    <row r="49" spans="1:20">
      <c r="A49" s="281">
        <v>502292</v>
      </c>
      <c r="B49" s="603" t="s">
        <v>1413</v>
      </c>
      <c r="C49" s="603"/>
      <c r="D49" s="603"/>
      <c r="E49" s="603"/>
      <c r="F49" s="603"/>
      <c r="G49" s="948" t="str" cm="1">
        <f t="array" ref="G49">_xlfn.IFNA(_xlfn.XLOOKUP(PP_TBL[[#This Row],[Column1]],PC_500[[#All],[Part_PartNum]],PC_500[[#All],[Vendor_Name]]),"")</f>
        <v>DOWCO INDUSTRIAL</v>
      </c>
      <c r="H49" s="948" cm="1">
        <f t="array" ref="H49">_xlfn.IFNA(_xlfn.XLOOKUP(PP_TBL[[#This Row],[Column1]],PC_500[[#All],[Part_PartNum]],PC_500[[#All],[PO_NUM]]),"")</f>
        <v>409105</v>
      </c>
      <c r="I49" s="954" cm="1">
        <f t="array" ref="I49">_xlfn.IFNA(_xlfn.XLOOKUP(PP_TBL[[#This Row],[Column1]],PC_500[[#All],[Part_PartNum]],PC_500[[#All],[Order_Date]]),"")</f>
        <v>45546</v>
      </c>
      <c r="J49" s="605" t="s">
        <v>1414</v>
      </c>
      <c r="K49" s="605"/>
      <c r="L49" s="605"/>
      <c r="M49" s="141" cm="1">
        <f t="array" ref="M49">_xlfn.IFNA(_xlfn.XLOOKUP(PP_TBL[[#This Row],[Column1]],PC_500[[#All],[Part_PartNum]],PC_500[[#All],[Unit_Cost]]),"QUOTE")</f>
        <v>922.7</v>
      </c>
      <c r="N49" s="97">
        <f>IF('Bio-BELT Design'!P7=2.75,2,0)</f>
        <v>0</v>
      </c>
      <c r="O49" s="153">
        <f t="shared" si="10"/>
        <v>0</v>
      </c>
    </row>
    <row r="50" spans="1:20">
      <c r="A50" s="281">
        <v>501643</v>
      </c>
      <c r="B50" s="284" t="s">
        <v>1415</v>
      </c>
      <c r="C50" s="284"/>
      <c r="D50" s="284"/>
      <c r="E50" s="284"/>
      <c r="F50" s="284"/>
      <c r="G50" s="949" t="str" cm="1">
        <f t="array" ref="G50">_xlfn.IFNA(_xlfn.XLOOKUP(PP_TBL[[#This Row],[Column1]],PC_500[[#All],[Part_PartNum]],PC_500[[#All],[Vendor_Name]]),"")</f>
        <v>ATLANTIC DRIVES &amp; BEARING INC*</v>
      </c>
      <c r="H50" s="949" cm="1">
        <f t="array" ref="H50">_xlfn.IFNA(_xlfn.XLOOKUP(PP_TBL[[#This Row],[Column1]],PC_500[[#All],[Part_PartNum]],PC_500[[#All],[PO_NUM]]),"")</f>
        <v>409991</v>
      </c>
      <c r="I50" s="955" cm="1">
        <f t="array" ref="I50">_xlfn.IFNA(_xlfn.XLOOKUP(PP_TBL[[#This Row],[Column1]],PC_500[[#All],[Part_PartNum]],PC_500[[#All],[Order_Date]]),"")</f>
        <v>45728</v>
      </c>
      <c r="J50" s="285" t="s">
        <v>1416</v>
      </c>
      <c r="K50" s="285"/>
      <c r="L50" s="285"/>
      <c r="M50" s="146" cm="1">
        <f t="array" ref="M50">_xlfn.IFNA(_xlfn.XLOOKUP(PP_TBL[[#This Row],[Column1]],PC_500[[#All],[Part_PartNum]],PC_500[[#All],[Unit_Cost]]),"QUOTE")</f>
        <v>716.42</v>
      </c>
      <c r="N50" s="97">
        <f>IF('Bio-BELT Design'!P7=2.9375,2,0)</f>
        <v>0</v>
      </c>
      <c r="O50" s="153">
        <f t="shared" si="10"/>
        <v>0</v>
      </c>
    </row>
    <row r="51" spans="1:20">
      <c r="A51" s="281">
        <v>501642</v>
      </c>
      <c r="B51" s="603" t="s">
        <v>1417</v>
      </c>
      <c r="C51" s="603"/>
      <c r="D51" s="603"/>
      <c r="E51" s="603"/>
      <c r="F51" s="603"/>
      <c r="G51" s="948" t="str" cm="1">
        <f t="array" ref="G51">_xlfn.IFNA(_xlfn.XLOOKUP(PP_TBL[[#This Row],[Column1]],PC_500[[#All],[Part_PartNum]],PC_500[[#All],[Vendor_Name]]),"")</f>
        <v>ATLANTIC DRIVES &amp; BEARING INC*</v>
      </c>
      <c r="H51" s="948" cm="1">
        <f t="array" ref="H51">_xlfn.IFNA(_xlfn.XLOOKUP(PP_TBL[[#This Row],[Column1]],PC_500[[#All],[Part_PartNum]],PC_500[[#All],[PO_NUM]]),"")</f>
        <v>409991</v>
      </c>
      <c r="I51" s="954" cm="1">
        <f t="array" ref="I51">_xlfn.IFNA(_xlfn.XLOOKUP(PP_TBL[[#This Row],[Column1]],PC_500[[#All],[Part_PartNum]],PC_500[[#All],[Order_Date]]),"")</f>
        <v>45728</v>
      </c>
      <c r="J51" s="605" t="s">
        <v>1418</v>
      </c>
      <c r="K51" s="605"/>
      <c r="L51" s="605"/>
      <c r="M51" s="141" cm="1">
        <f t="array" ref="M51">_xlfn.IFNA(_xlfn.XLOOKUP(PP_TBL[[#This Row],[Column1]],PC_500[[#All],[Part_PartNum]],PC_500[[#All],[Unit_Cost]]),"QUOTE")</f>
        <v>643.87</v>
      </c>
      <c r="N51" s="97">
        <f>IF('Bio-BELT Design'!P7=2.9375,2,0)</f>
        <v>0</v>
      </c>
      <c r="O51" s="153">
        <f t="shared" si="10"/>
        <v>0</v>
      </c>
    </row>
    <row r="52" spans="1:20">
      <c r="A52" s="281">
        <v>502531</v>
      </c>
      <c r="B52" s="284" t="s">
        <v>1419</v>
      </c>
      <c r="C52" s="284"/>
      <c r="D52" s="284"/>
      <c r="E52" s="284"/>
      <c r="F52" s="284"/>
      <c r="G52" s="949" t="str" cm="1">
        <f t="array" ref="G52">_xlfn.IFNA(_xlfn.XLOOKUP(PP_TBL[[#This Row],[Column1]],PC_500[[#All],[Part_PartNum]],PC_500[[#All],[Vendor_Name]]),"")</f>
        <v>BDI</v>
      </c>
      <c r="H52" s="949" cm="1">
        <f t="array" ref="H52">_xlfn.IFNA(_xlfn.XLOOKUP(PP_TBL[[#This Row],[Column1]],PC_500[[#All],[Part_PartNum]],PC_500[[#All],[PO_NUM]]),"")</f>
        <v>409737</v>
      </c>
      <c r="I52" s="955" cm="1">
        <f t="array" ref="I52">_xlfn.IFNA(_xlfn.XLOOKUP(PP_TBL[[#This Row],[Column1]],PC_500[[#All],[Part_PartNum]],PC_500[[#All],[Order_Date]]),"")</f>
        <v>45685</v>
      </c>
      <c r="J52" s="285" t="s">
        <v>1420</v>
      </c>
      <c r="K52" s="285"/>
      <c r="L52" s="285"/>
      <c r="M52" s="146" cm="1">
        <f t="array" ref="M52">_xlfn.IFNA(_xlfn.XLOOKUP(PP_TBL[[#This Row],[Column1]],PC_500[[#All],[Part_PartNum]],PC_500[[#All],[Unit_Cost]]),"QUOTE")</f>
        <v>788.12</v>
      </c>
      <c r="N52" s="97">
        <f>IF('Bio-BELT Design'!P7=3.4375,2,0)</f>
        <v>0</v>
      </c>
      <c r="O52" s="153">
        <f t="shared" si="10"/>
        <v>0</v>
      </c>
    </row>
    <row r="53" spans="1:20">
      <c r="A53" s="281">
        <v>502530</v>
      </c>
      <c r="B53" s="603" t="s">
        <v>1421</v>
      </c>
      <c r="C53" s="603"/>
      <c r="D53" s="603"/>
      <c r="E53" s="603"/>
      <c r="F53" s="603"/>
      <c r="G53" s="948" t="str" cm="1">
        <f t="array" ref="G53">_xlfn.IFNA(_xlfn.XLOOKUP(PP_TBL[[#This Row],[Column1]],PC_500[[#All],[Part_PartNum]],PC_500[[#All],[Vendor_Name]]),"")</f>
        <v>BDI</v>
      </c>
      <c r="H53" s="948" cm="1">
        <f t="array" ref="H53">_xlfn.IFNA(_xlfn.XLOOKUP(PP_TBL[[#This Row],[Column1]],PC_500[[#All],[Part_PartNum]],PC_500[[#All],[PO_NUM]]),"")</f>
        <v>409737</v>
      </c>
      <c r="I53" s="954" cm="1">
        <f t="array" ref="I53">_xlfn.IFNA(_xlfn.XLOOKUP(PP_TBL[[#This Row],[Column1]],PC_500[[#All],[Part_PartNum]],PC_500[[#All],[Order_Date]]),"")</f>
        <v>45685</v>
      </c>
      <c r="J53" s="605" t="s">
        <v>1422</v>
      </c>
      <c r="K53" s="605"/>
      <c r="L53" s="605"/>
      <c r="M53" s="141" cm="1">
        <f t="array" ref="M53">_xlfn.IFNA(_xlfn.XLOOKUP(PP_TBL[[#This Row],[Column1]],PC_500[[#All],[Part_PartNum]],PC_500[[#All],[Unit_Cost]]),"QUOTE")</f>
        <v>788.12</v>
      </c>
      <c r="N53" s="982">
        <f>IF('Bio-BELT Design'!P7=3.4375,2,0)</f>
        <v>0</v>
      </c>
      <c r="O53" s="153">
        <f t="shared" si="10"/>
        <v>0</v>
      </c>
    </row>
    <row r="54" spans="1:20">
      <c r="A54" s="281"/>
      <c r="B54" s="987"/>
      <c r="C54" s="987"/>
      <c r="D54" s="987"/>
      <c r="E54" s="987"/>
      <c r="F54" s="987"/>
      <c r="G54" s="987"/>
      <c r="H54" s="987"/>
      <c r="I54" s="988"/>
      <c r="J54" s="989"/>
      <c r="K54" s="989"/>
      <c r="L54" s="989"/>
      <c r="M54" s="400"/>
      <c r="N54" s="396"/>
      <c r="O54" s="69"/>
    </row>
    <row r="55" spans="1:20" ht="15.75" thickBot="1">
      <c r="A55" s="983" t="s">
        <v>1423</v>
      </c>
      <c r="B55" s="945"/>
      <c r="C55" s="945"/>
      <c r="D55" s="945"/>
      <c r="E55" s="945"/>
      <c r="F55" s="945"/>
      <c r="G55" s="984" t="e" cm="1">
        <f t="array" ref="G55">_xlfn.IFNA(_xlfn.XLOOKUP(PP_TBL[[#This Row],[Column1]],PC_500[[#All],[Part_PartNum]],PC_500[[#All],[Vendor_Name]]),"")</f>
        <v>#VALUE!</v>
      </c>
      <c r="H55" s="984" t="e" cm="1">
        <f t="array" ref="H55">_xlfn.IFNA(_xlfn.XLOOKUP(PP_TBL[[#This Row],[Column1]],PC_500[[#All],[Part_PartNum]],PC_500[[#All],[PO_NUM]]),"")</f>
        <v>#VALUE!</v>
      </c>
      <c r="I55" s="985" t="e" cm="1">
        <f t="array" ref="I55">_xlfn.IFNA(_xlfn.XLOOKUP(PP_TBL[[#This Row],[Column1]],PC_500[[#All],[Part_PartNum]],PC_500[[#All],[Order_Date]]),"")</f>
        <v>#VALUE!</v>
      </c>
      <c r="J55" s="945"/>
      <c r="K55" s="945"/>
      <c r="L55" s="945"/>
      <c r="M55" s="986"/>
    </row>
    <row r="56" spans="1:20" hidden="1" outlineLevel="1">
      <c r="A56" s="281"/>
      <c r="B56" s="603" t="s">
        <v>1424</v>
      </c>
      <c r="C56" s="603"/>
      <c r="D56" s="603"/>
      <c r="E56" s="603"/>
      <c r="F56" s="603"/>
      <c r="G56" s="948" t="e" cm="1">
        <f t="array" ref="G56">_xlfn.IFNA(_xlfn.XLOOKUP(PP_TBL[[#This Row],[Column1]],PC_500[[#All],[Part_PartNum]],PC_500[[#All],[Vendor_Name]]),"")</f>
        <v>#VALUE!</v>
      </c>
      <c r="H56" s="948" t="e" cm="1">
        <f t="array" ref="H56">_xlfn.IFNA(_xlfn.XLOOKUP(PP_TBL[[#This Row],[Column1]],PC_500[[#All],[Part_PartNum]],PC_500[[#All],[PO_NUM]]),"")</f>
        <v>#VALUE!</v>
      </c>
      <c r="I56" s="954" t="e" cm="1">
        <f t="array" ref="I56">_xlfn.IFNA(_xlfn.XLOOKUP(PP_TBL[[#This Row],[Column1]],PC_500[[#All],[Part_PartNum]],PC_500[[#All],[Order_Date]]),"")</f>
        <v>#VALUE!</v>
      </c>
      <c r="J56" s="280"/>
      <c r="K56" s="280"/>
      <c r="L56" s="280"/>
      <c r="M56" s="141">
        <v>66.66</v>
      </c>
      <c r="N56" s="97">
        <f>IF('Bio-BELT Design'!P7=1.9375,4,0)</f>
        <v>0</v>
      </c>
      <c r="O56" s="153">
        <f t="shared" ref="O56:O60" si="12">M56*N56</f>
        <v>0</v>
      </c>
    </row>
    <row r="57" spans="1:20" hidden="1" outlineLevel="1">
      <c r="A57" s="281"/>
      <c r="B57" s="284" t="s">
        <v>1425</v>
      </c>
      <c r="C57" s="284"/>
      <c r="D57" s="284"/>
      <c r="E57" s="284"/>
      <c r="F57" s="284"/>
      <c r="G57" s="949" t="e" cm="1">
        <f t="array" ref="G57">_xlfn.IFNA(_xlfn.XLOOKUP(PP_TBL[[#This Row],[Column1]],PC_500[[#All],[Part_PartNum]],PC_500[[#All],[Vendor_Name]]),"")</f>
        <v>#VALUE!</v>
      </c>
      <c r="H57" s="949" t="e" cm="1">
        <f t="array" ref="H57">_xlfn.IFNA(_xlfn.XLOOKUP(PP_TBL[[#This Row],[Column1]],PC_500[[#All],[Part_PartNum]],PC_500[[#All],[PO_NUM]]),"")</f>
        <v>#VALUE!</v>
      </c>
      <c r="I57" s="955" t="e" cm="1">
        <f t="array" ref="I57">_xlfn.IFNA(_xlfn.XLOOKUP(PP_TBL[[#This Row],[Column1]],PC_500[[#All],[Part_PartNum]],PC_500[[#All],[Order_Date]]),"")</f>
        <v>#VALUE!</v>
      </c>
      <c r="J57" s="279"/>
      <c r="K57" s="279"/>
      <c r="L57" s="279"/>
      <c r="M57" s="146">
        <v>66.66</v>
      </c>
      <c r="N57" s="97">
        <f>IF('Bio-BELT Design'!P7=2.4375,4,0)</f>
        <v>0</v>
      </c>
      <c r="O57" s="153">
        <f t="shared" si="12"/>
        <v>0</v>
      </c>
    </row>
    <row r="58" spans="1:20" hidden="1" outlineLevel="1">
      <c r="A58" s="281"/>
      <c r="B58" s="284" t="s">
        <v>1426</v>
      </c>
      <c r="C58" s="284"/>
      <c r="D58" s="284"/>
      <c r="E58" s="284"/>
      <c r="F58" s="284"/>
      <c r="G58" s="949" t="e" cm="1">
        <f t="array" ref="G58">_xlfn.IFNA(_xlfn.XLOOKUP(PP_TBL[[#This Row],[Column1]],PC_500[[#All],[Part_PartNum]],PC_500[[#All],[Vendor_Name]]),"")</f>
        <v>#VALUE!</v>
      </c>
      <c r="H58" s="949" t="e" cm="1">
        <f t="array" ref="H58">_xlfn.IFNA(_xlfn.XLOOKUP(PP_TBL[[#This Row],[Column1]],PC_500[[#All],[Part_PartNum]],PC_500[[#All],[PO_NUM]]),"")</f>
        <v>#VALUE!</v>
      </c>
      <c r="I58" s="955" t="e" cm="1">
        <f t="array" ref="I58">_xlfn.IFNA(_xlfn.XLOOKUP(PP_TBL[[#This Row],[Column1]],PC_500[[#All],[Part_PartNum]],PC_500[[#All],[Order_Date]]),"")</f>
        <v>#VALUE!</v>
      </c>
      <c r="J58" s="285"/>
      <c r="K58" s="285"/>
      <c r="L58" s="285"/>
      <c r="M58" s="146">
        <v>68.05</v>
      </c>
      <c r="N58" s="97">
        <f>IF('Bio-BELT Design'!P7=2.9375,4,0)</f>
        <v>0</v>
      </c>
      <c r="O58" s="153">
        <f t="shared" si="12"/>
        <v>0</v>
      </c>
    </row>
    <row r="59" spans="1:20" hidden="1" outlineLevel="1">
      <c r="A59" s="281"/>
      <c r="B59" s="603" t="s">
        <v>1427</v>
      </c>
      <c r="C59" s="603"/>
      <c r="D59" s="603"/>
      <c r="E59" s="603"/>
      <c r="F59" s="603"/>
      <c r="G59" s="948" t="e" cm="1">
        <f t="array" ref="G59">_xlfn.IFNA(_xlfn.XLOOKUP(PP_TBL[[#This Row],[Column1]],PC_500[[#All],[Part_PartNum]],PC_500[[#All],[Vendor_Name]]),"")</f>
        <v>#VALUE!</v>
      </c>
      <c r="H59" s="948" t="e" cm="1">
        <f t="array" ref="H59">_xlfn.IFNA(_xlfn.XLOOKUP(PP_TBL[[#This Row],[Column1]],PC_500[[#All],[Part_PartNum]],PC_500[[#All],[PO_NUM]]),"")</f>
        <v>#VALUE!</v>
      </c>
      <c r="I59" s="954" t="e" cm="1">
        <f t="array" ref="I59">_xlfn.IFNA(_xlfn.XLOOKUP(PP_TBL[[#This Row],[Column1]],PC_500[[#All],[Part_PartNum]],PC_500[[#All],[Order_Date]]),"")</f>
        <v>#VALUE!</v>
      </c>
      <c r="J59" s="605"/>
      <c r="K59" s="605"/>
      <c r="L59" s="605"/>
      <c r="M59" s="141">
        <v>85.35</v>
      </c>
      <c r="N59" s="97">
        <f>IF('Bio-BELT Design'!P7=3.4375,4,0)</f>
        <v>0</v>
      </c>
      <c r="O59" s="153">
        <f t="shared" si="12"/>
        <v>0</v>
      </c>
    </row>
    <row r="60" spans="1:20" ht="15.75" hidden="1" outlineLevel="1" thickBot="1">
      <c r="A60" s="281"/>
      <c r="B60" s="284" t="s">
        <v>1428</v>
      </c>
      <c r="C60" s="284"/>
      <c r="D60" s="284"/>
      <c r="E60" s="284"/>
      <c r="F60" s="284"/>
      <c r="G60" s="949" t="e" cm="1">
        <f t="array" ref="G60">_xlfn.IFNA(_xlfn.XLOOKUP(PP_TBL[[#This Row],[Column1]],PC_500[[#All],[Part_PartNum]],PC_500[[#All],[Vendor_Name]]),"")</f>
        <v>#VALUE!</v>
      </c>
      <c r="H60" s="949" t="e" cm="1">
        <f t="array" ref="H60">_xlfn.IFNA(_xlfn.XLOOKUP(PP_TBL[[#This Row],[Column1]],PC_500[[#All],[Part_PartNum]],PC_500[[#All],[PO_NUM]]),"")</f>
        <v>#VALUE!</v>
      </c>
      <c r="I60" s="955" t="e" cm="1">
        <f t="array" ref="I60">_xlfn.IFNA(_xlfn.XLOOKUP(PP_TBL[[#This Row],[Column1]],PC_500[[#All],[Part_PartNum]],PC_500[[#All],[Order_Date]]),"")</f>
        <v>#VALUE!</v>
      </c>
      <c r="J60" s="285"/>
      <c r="K60" s="285"/>
      <c r="L60" s="285"/>
      <c r="M60" s="146">
        <v>127.4</v>
      </c>
      <c r="N60" s="97">
        <f>IF('Bio-BELT Design'!P7=3.9375,4,0)</f>
        <v>0</v>
      </c>
      <c r="O60" s="153">
        <f t="shared" si="12"/>
        <v>0</v>
      </c>
    </row>
    <row r="61" spans="1:20" ht="15.75" collapsed="1" thickBot="1">
      <c r="A61" s="354" t="s">
        <v>1429</v>
      </c>
      <c r="B61" s="355"/>
      <c r="C61" s="355"/>
      <c r="D61" s="355"/>
      <c r="E61" s="355"/>
      <c r="F61" s="355"/>
      <c r="G61" s="355"/>
      <c r="H61" s="355"/>
      <c r="I61" s="355"/>
      <c r="J61" s="355"/>
      <c r="K61" s="355"/>
      <c r="L61" s="355"/>
      <c r="M61" s="944"/>
    </row>
    <row r="62" spans="1:20" hidden="1" outlineLevel="1">
      <c r="A62" s="282"/>
      <c r="B62" s="282" t="s">
        <v>981</v>
      </c>
      <c r="C62" s="282" t="s">
        <v>1430</v>
      </c>
      <c r="D62" s="282" t="s">
        <v>1431</v>
      </c>
      <c r="E62" s="282" t="s">
        <v>1432</v>
      </c>
      <c r="F62" s="282" t="s">
        <v>1433</v>
      </c>
      <c r="G62" s="283"/>
      <c r="H62" s="283"/>
      <c r="I62" s="283"/>
      <c r="J62" s="283" t="s">
        <v>1434</v>
      </c>
      <c r="K62" s="283"/>
      <c r="L62" s="283"/>
      <c r="M62" s="282"/>
      <c r="Q62" s="56" t="str" cm="1">
        <f t="array" ref="Q62:Q81">_xlfn.UNIQUE(Table1[SIZE])</f>
        <v>12X20</v>
      </c>
      <c r="R62" s="56" t="str" cm="1">
        <f t="array" ref="R62:R63">_xlfn.UNIQUE(Table1[TYPE])</f>
        <v>MES</v>
      </c>
      <c r="S62" s="56" t="str" cm="1">
        <f t="array" ref="S62:S64">_xlfn.UNIQUE(_xlfn._xlws.FILTER(Table1[LAGGING TYPE],Table1[TYPE]='Bio-BELT Design'!P4))</f>
        <v>N/A</v>
      </c>
      <c r="T62" s="56" cm="1">
        <f t="array" ref="T62:T63">_xlfn.UNIQUE(_xlfn._xlws.FILTER(Table1[LAGGING THK],Table1[LAGGING TYPE]='Bio-BELT Design'!P5))</f>
        <v>0.375</v>
      </c>
    </row>
    <row r="63" spans="1:20" hidden="1" outlineLevel="1">
      <c r="A63" s="281"/>
      <c r="B63" s="142" t="s">
        <v>586</v>
      </c>
      <c r="C63" s="142" t="s">
        <v>592</v>
      </c>
      <c r="D63" s="142">
        <v>2.4375</v>
      </c>
      <c r="E63" s="142" t="s">
        <v>1011</v>
      </c>
      <c r="F63" s="142" t="s">
        <v>1011</v>
      </c>
      <c r="G63" s="284" t="str">
        <f>B63&amp;C63&amp;D63&amp;E63&amp;F63</f>
        <v>12X20MES2.4375N/AN/A</v>
      </c>
      <c r="H63" s="284"/>
      <c r="I63" s="284"/>
      <c r="J63" s="285" t="s">
        <v>1435</v>
      </c>
      <c r="K63" s="285"/>
      <c r="L63" s="285"/>
      <c r="M63" s="146">
        <v>291.29000000000002</v>
      </c>
      <c r="N63" s="97">
        <f t="shared" ref="N63:N126" si="13">IF(AND(G63=HP_PN,G63=TP_PN),2,IF(G63=HP_PN,1,IF(G63=TP_PN,1,0)))</f>
        <v>0</v>
      </c>
      <c r="O63" s="153">
        <f>M63*N63</f>
        <v>0</v>
      </c>
      <c r="Q63" s="56" t="str">
        <v>12X26</v>
      </c>
      <c r="R63" s="56" t="str">
        <v>CF</v>
      </c>
      <c r="S63" s="56" t="str">
        <v>DGL</v>
      </c>
      <c r="T63" s="56">
        <v>0.5</v>
      </c>
    </row>
    <row r="64" spans="1:20" hidden="1" outlineLevel="1">
      <c r="A64" s="281"/>
      <c r="B64" s="142" t="s">
        <v>586</v>
      </c>
      <c r="C64" s="142" t="s">
        <v>592</v>
      </c>
      <c r="D64" s="142">
        <v>2.4375</v>
      </c>
      <c r="E64" s="1190">
        <v>0.375</v>
      </c>
      <c r="F64" s="142" t="s">
        <v>1436</v>
      </c>
      <c r="G64" s="284" t="str">
        <f t="shared" ref="G64:G127" si="14">B64&amp;C64&amp;D64&amp;E64&amp;F64</f>
        <v>12X20MES2.43750.375DGL</v>
      </c>
      <c r="H64" s="284"/>
      <c r="I64" s="284"/>
      <c r="J64" s="285" t="s">
        <v>1437</v>
      </c>
      <c r="K64" s="285"/>
      <c r="L64" s="285"/>
      <c r="M64" s="146">
        <v>660.71</v>
      </c>
      <c r="N64" s="97">
        <f t="shared" si="13"/>
        <v>0</v>
      </c>
      <c r="O64" s="153">
        <f t="shared" ref="O64:O222" si="15">M64*N64</f>
        <v>0</v>
      </c>
      <c r="Q64" s="56" t="str">
        <v>12X32</v>
      </c>
      <c r="S64" s="56" t="str">
        <v>HBL</v>
      </c>
    </row>
    <row r="65" spans="1:17" hidden="1" outlineLevel="1">
      <c r="A65" s="281"/>
      <c r="B65" s="142" t="s">
        <v>586</v>
      </c>
      <c r="C65" s="142" t="s">
        <v>592</v>
      </c>
      <c r="D65" s="142">
        <v>2.4375</v>
      </c>
      <c r="E65" s="286">
        <v>0.375</v>
      </c>
      <c r="F65" s="142" t="s">
        <v>598</v>
      </c>
      <c r="G65" s="284" t="str">
        <f t="shared" si="14"/>
        <v>12X20MES2.43750.375HBL</v>
      </c>
      <c r="H65" s="284"/>
      <c r="I65" s="284"/>
      <c r="J65" s="285" t="s">
        <v>1438</v>
      </c>
      <c r="K65" s="285"/>
      <c r="L65" s="285"/>
      <c r="M65" s="146">
        <v>556.91999999999996</v>
      </c>
      <c r="N65" s="97">
        <f t="shared" si="13"/>
        <v>0</v>
      </c>
      <c r="O65" s="153">
        <f t="shared" si="15"/>
        <v>0</v>
      </c>
      <c r="Q65" s="56" t="str">
        <v>12X38</v>
      </c>
    </row>
    <row r="66" spans="1:17" hidden="1" outlineLevel="1">
      <c r="A66" s="281"/>
      <c r="B66" s="142" t="s">
        <v>586</v>
      </c>
      <c r="C66" s="142" t="s">
        <v>592</v>
      </c>
      <c r="D66" s="142">
        <v>2.4375</v>
      </c>
      <c r="E66" s="286">
        <v>0.5</v>
      </c>
      <c r="F66" s="142" t="s">
        <v>1436</v>
      </c>
      <c r="G66" s="284" t="str">
        <f t="shared" si="14"/>
        <v>12X20MES2.43750.5DGL</v>
      </c>
      <c r="H66" s="284"/>
      <c r="I66" s="284"/>
      <c r="J66" s="1187" t="s">
        <v>1439</v>
      </c>
      <c r="K66" s="285"/>
      <c r="L66" s="285"/>
      <c r="M66" s="146">
        <v>696.06</v>
      </c>
      <c r="N66" s="97">
        <f t="shared" si="13"/>
        <v>0</v>
      </c>
      <c r="O66" s="153">
        <f t="shared" si="15"/>
        <v>0</v>
      </c>
      <c r="Q66" s="56" t="str">
        <v>12X44</v>
      </c>
    </row>
    <row r="67" spans="1:17" hidden="1" outlineLevel="1">
      <c r="A67" s="281"/>
      <c r="B67" s="142" t="s">
        <v>586</v>
      </c>
      <c r="C67" s="142" t="s">
        <v>592</v>
      </c>
      <c r="D67" s="142">
        <v>2.4375</v>
      </c>
      <c r="E67" s="286">
        <v>0.5</v>
      </c>
      <c r="F67" s="142" t="s">
        <v>598</v>
      </c>
      <c r="G67" s="284" t="str">
        <f t="shared" si="14"/>
        <v>12X20MES2.43750.5HBL</v>
      </c>
      <c r="H67" s="284"/>
      <c r="I67" s="284"/>
      <c r="J67" s="285" t="s">
        <v>1440</v>
      </c>
      <c r="K67" s="285"/>
      <c r="L67" s="285"/>
      <c r="M67" s="146">
        <v>592.19000000000005</v>
      </c>
      <c r="N67" s="97">
        <f t="shared" si="13"/>
        <v>0</v>
      </c>
      <c r="O67" s="153">
        <f t="shared" si="15"/>
        <v>0</v>
      </c>
      <c r="Q67" s="56" t="str">
        <v>14X20</v>
      </c>
    </row>
    <row r="68" spans="1:17" hidden="1" outlineLevel="1">
      <c r="A68" s="281"/>
      <c r="B68" s="142" t="s">
        <v>586</v>
      </c>
      <c r="C68" s="142" t="s">
        <v>592</v>
      </c>
      <c r="D68" s="142">
        <v>2.9375</v>
      </c>
      <c r="E68" s="286" t="s">
        <v>1011</v>
      </c>
      <c r="F68" s="142" t="s">
        <v>1011</v>
      </c>
      <c r="G68" s="284" t="str">
        <f t="shared" si="14"/>
        <v>12X20MES2.9375N/AN/A</v>
      </c>
      <c r="H68" s="284"/>
      <c r="I68" s="284"/>
      <c r="J68" s="285" t="s">
        <v>1441</v>
      </c>
      <c r="K68" s="285"/>
      <c r="L68" s="285"/>
      <c r="M68" s="146">
        <v>304.58</v>
      </c>
      <c r="N68" s="97">
        <f t="shared" si="13"/>
        <v>0</v>
      </c>
      <c r="O68" s="153">
        <f t="shared" si="15"/>
        <v>0</v>
      </c>
      <c r="Q68" s="56" t="str">
        <v>14X26</v>
      </c>
    </row>
    <row r="69" spans="1:17" hidden="1" outlineLevel="1">
      <c r="A69" s="281"/>
      <c r="B69" s="142" t="s">
        <v>586</v>
      </c>
      <c r="C69" s="142" t="s">
        <v>592</v>
      </c>
      <c r="D69" s="142">
        <v>2.9375</v>
      </c>
      <c r="E69" s="286">
        <v>0.375</v>
      </c>
      <c r="F69" s="142" t="s">
        <v>1436</v>
      </c>
      <c r="G69" s="284" t="str">
        <f t="shared" si="14"/>
        <v>12X20MES2.93750.375DGL</v>
      </c>
      <c r="H69" s="284"/>
      <c r="I69" s="284"/>
      <c r="J69" s="285" t="s">
        <v>1442</v>
      </c>
      <c r="K69" s="285"/>
      <c r="L69" s="285"/>
      <c r="M69" s="146">
        <v>685.89</v>
      </c>
      <c r="N69" s="97">
        <f t="shared" si="13"/>
        <v>0</v>
      </c>
      <c r="O69" s="153">
        <f t="shared" si="15"/>
        <v>0</v>
      </c>
      <c r="Q69" s="56" t="str">
        <v>14X32</v>
      </c>
    </row>
    <row r="70" spans="1:17" hidden="1" outlineLevel="1">
      <c r="A70" s="281"/>
      <c r="B70" s="142" t="s">
        <v>586</v>
      </c>
      <c r="C70" s="142" t="s">
        <v>592</v>
      </c>
      <c r="D70" s="142">
        <v>2.9375</v>
      </c>
      <c r="E70" s="286">
        <v>0.375</v>
      </c>
      <c r="F70" s="142" t="s">
        <v>598</v>
      </c>
      <c r="G70" s="284" t="str">
        <f t="shared" si="14"/>
        <v>12X20MES2.93750.375HBL</v>
      </c>
      <c r="H70" s="284"/>
      <c r="I70" s="284"/>
      <c r="J70" s="285" t="s">
        <v>1443</v>
      </c>
      <c r="K70" s="285"/>
      <c r="L70" s="285"/>
      <c r="M70" s="146">
        <v>582.1</v>
      </c>
      <c r="N70" s="97">
        <f t="shared" si="13"/>
        <v>0</v>
      </c>
      <c r="O70" s="153">
        <f t="shared" si="15"/>
        <v>0</v>
      </c>
      <c r="Q70" s="56" t="str">
        <v>14X38</v>
      </c>
    </row>
    <row r="71" spans="1:17" hidden="1" outlineLevel="1">
      <c r="A71" s="281"/>
      <c r="B71" s="142" t="s">
        <v>586</v>
      </c>
      <c r="C71" s="142" t="s">
        <v>592</v>
      </c>
      <c r="D71" s="142">
        <v>2.9375</v>
      </c>
      <c r="E71" s="286">
        <v>0.5</v>
      </c>
      <c r="F71" s="142" t="s">
        <v>1436</v>
      </c>
      <c r="G71" s="284" t="str">
        <f t="shared" si="14"/>
        <v>12X20MES2.93750.5DGL</v>
      </c>
      <c r="H71" s="284"/>
      <c r="I71" s="284"/>
      <c r="J71" s="285" t="s">
        <v>1444</v>
      </c>
      <c r="K71" s="285"/>
      <c r="L71" s="285"/>
      <c r="M71" s="146">
        <v>721.24</v>
      </c>
      <c r="N71" s="97">
        <f t="shared" si="13"/>
        <v>0</v>
      </c>
      <c r="O71" s="153">
        <f t="shared" si="15"/>
        <v>0</v>
      </c>
      <c r="Q71" s="56" t="str">
        <v>14X44</v>
      </c>
    </row>
    <row r="72" spans="1:17" hidden="1" outlineLevel="1">
      <c r="A72" s="281"/>
      <c r="B72" s="142" t="s">
        <v>586</v>
      </c>
      <c r="C72" s="142" t="s">
        <v>592</v>
      </c>
      <c r="D72" s="142">
        <v>2.9375</v>
      </c>
      <c r="E72" s="286">
        <v>0.5</v>
      </c>
      <c r="F72" s="142" t="s">
        <v>598</v>
      </c>
      <c r="G72" s="284" t="str">
        <f t="shared" si="14"/>
        <v>12X20MES2.93750.5HBL</v>
      </c>
      <c r="H72" s="284"/>
      <c r="I72" s="284"/>
      <c r="J72" s="285" t="s">
        <v>1445</v>
      </c>
      <c r="K72" s="285"/>
      <c r="L72" s="285"/>
      <c r="M72" s="146">
        <v>617.46</v>
      </c>
      <c r="N72" s="97">
        <f t="shared" si="13"/>
        <v>0</v>
      </c>
      <c r="O72" s="153">
        <f t="shared" si="15"/>
        <v>0</v>
      </c>
      <c r="Q72" s="56" t="str">
        <v>16X20</v>
      </c>
    </row>
    <row r="73" spans="1:17" hidden="1" outlineLevel="1">
      <c r="A73" s="281"/>
      <c r="B73" s="142" t="s">
        <v>1446</v>
      </c>
      <c r="C73" s="142" t="s">
        <v>592</v>
      </c>
      <c r="D73" s="142">
        <v>2.4375</v>
      </c>
      <c r="E73" s="286" t="s">
        <v>1011</v>
      </c>
      <c r="F73" s="142" t="s">
        <v>1011</v>
      </c>
      <c r="G73" s="284" t="str">
        <f t="shared" si="14"/>
        <v>12X26MES2.4375N/AN/A</v>
      </c>
      <c r="H73" s="284"/>
      <c r="I73" s="284"/>
      <c r="J73" s="285" t="s">
        <v>1447</v>
      </c>
      <c r="K73" s="285"/>
      <c r="L73" s="285"/>
      <c r="M73" s="146">
        <v>316.04000000000002</v>
      </c>
      <c r="N73" s="97">
        <f t="shared" si="13"/>
        <v>0</v>
      </c>
      <c r="O73" s="153">
        <f t="shared" si="15"/>
        <v>0</v>
      </c>
      <c r="Q73" s="56" t="str">
        <v>16X26</v>
      </c>
    </row>
    <row r="74" spans="1:17" hidden="1" outlineLevel="1">
      <c r="A74" s="281"/>
      <c r="B74" s="142" t="s">
        <v>1446</v>
      </c>
      <c r="C74" s="142" t="s">
        <v>592</v>
      </c>
      <c r="D74" s="142">
        <v>2.4375</v>
      </c>
      <c r="E74" s="286">
        <v>0.375</v>
      </c>
      <c r="F74" s="142" t="s">
        <v>1436</v>
      </c>
      <c r="G74" s="284" t="str">
        <f t="shared" si="14"/>
        <v>12X26MES2.43750.375DGL</v>
      </c>
      <c r="H74" s="284"/>
      <c r="I74" s="284"/>
      <c r="J74" s="285" t="s">
        <v>1448</v>
      </c>
      <c r="K74" s="285"/>
      <c r="L74" s="285"/>
      <c r="M74" s="146">
        <v>730.28</v>
      </c>
      <c r="N74" s="97">
        <f t="shared" si="13"/>
        <v>0</v>
      </c>
      <c r="O74" s="153">
        <f t="shared" si="15"/>
        <v>0</v>
      </c>
      <c r="Q74" s="56" t="str">
        <v>16X32</v>
      </c>
    </row>
    <row r="75" spans="1:17" hidden="1" outlineLevel="1">
      <c r="A75" s="281"/>
      <c r="B75" s="142" t="s">
        <v>1446</v>
      </c>
      <c r="C75" s="142" t="s">
        <v>592</v>
      </c>
      <c r="D75" s="142">
        <v>2.4375</v>
      </c>
      <c r="E75" s="286">
        <v>0.375</v>
      </c>
      <c r="F75" s="142" t="s">
        <v>598</v>
      </c>
      <c r="G75" s="284" t="str">
        <f t="shared" si="14"/>
        <v>12X26MES2.43750.375HBL</v>
      </c>
      <c r="H75" s="284"/>
      <c r="I75" s="284"/>
      <c r="J75" s="285" t="s">
        <v>1449</v>
      </c>
      <c r="K75" s="285"/>
      <c r="L75" s="285"/>
      <c r="M75" s="146">
        <v>626.49</v>
      </c>
      <c r="N75" s="97">
        <f t="shared" si="13"/>
        <v>0</v>
      </c>
      <c r="O75" s="153">
        <f t="shared" si="15"/>
        <v>0</v>
      </c>
      <c r="Q75" s="56" t="str">
        <v>16X38</v>
      </c>
    </row>
    <row r="76" spans="1:17" hidden="1" outlineLevel="1">
      <c r="A76" s="281"/>
      <c r="B76" s="142" t="s">
        <v>1446</v>
      </c>
      <c r="C76" s="142" t="s">
        <v>592</v>
      </c>
      <c r="D76" s="142">
        <v>2.4375</v>
      </c>
      <c r="E76" s="286">
        <v>0.5</v>
      </c>
      <c r="F76" s="142" t="s">
        <v>1436</v>
      </c>
      <c r="G76" s="284" t="str">
        <f t="shared" si="14"/>
        <v>12X26MES2.43750.5DGL</v>
      </c>
      <c r="H76" s="284"/>
      <c r="I76" s="284"/>
      <c r="J76" s="285" t="s">
        <v>1450</v>
      </c>
      <c r="K76" s="285"/>
      <c r="L76" s="285"/>
      <c r="M76" s="146">
        <v>776.24</v>
      </c>
      <c r="N76" s="97">
        <f t="shared" si="13"/>
        <v>0</v>
      </c>
      <c r="O76" s="153">
        <f t="shared" si="15"/>
        <v>0</v>
      </c>
      <c r="Q76" s="56" t="str">
        <v>16X44</v>
      </c>
    </row>
    <row r="77" spans="1:17" hidden="1" outlineLevel="1">
      <c r="A77" s="281"/>
      <c r="B77" s="142" t="s">
        <v>1446</v>
      </c>
      <c r="C77" s="142" t="s">
        <v>592</v>
      </c>
      <c r="D77" s="142">
        <v>2.4375</v>
      </c>
      <c r="E77" s="286">
        <v>0.5</v>
      </c>
      <c r="F77" s="142" t="s">
        <v>598</v>
      </c>
      <c r="G77" s="284" t="str">
        <f t="shared" si="14"/>
        <v>12X26MES2.43750.5HBL</v>
      </c>
      <c r="H77" s="284"/>
      <c r="I77" s="284"/>
      <c r="J77" s="285" t="s">
        <v>1451</v>
      </c>
      <c r="K77" s="285"/>
      <c r="L77" s="285"/>
      <c r="M77" s="146">
        <v>672.45</v>
      </c>
      <c r="N77" s="97">
        <f t="shared" si="13"/>
        <v>0</v>
      </c>
      <c r="O77" s="153">
        <f t="shared" si="15"/>
        <v>0</v>
      </c>
      <c r="Q77" s="56" t="str">
        <v>18X20</v>
      </c>
    </row>
    <row r="78" spans="1:17" hidden="1" outlineLevel="1">
      <c r="A78" s="281"/>
      <c r="B78" s="142" t="s">
        <v>1446</v>
      </c>
      <c r="C78" s="142" t="s">
        <v>592</v>
      </c>
      <c r="D78" s="142">
        <v>2.9375</v>
      </c>
      <c r="E78" s="286" t="s">
        <v>1011</v>
      </c>
      <c r="F78" s="142" t="s">
        <v>1011</v>
      </c>
      <c r="G78" s="284" t="str">
        <f t="shared" si="14"/>
        <v>12X26MES2.9375N/AN/A</v>
      </c>
      <c r="H78" s="284"/>
      <c r="I78" s="284"/>
      <c r="J78" s="285" t="s">
        <v>1452</v>
      </c>
      <c r="K78" s="285"/>
      <c r="L78" s="285"/>
      <c r="M78" s="146">
        <v>291.27999999999997</v>
      </c>
      <c r="N78" s="97">
        <f t="shared" si="13"/>
        <v>0</v>
      </c>
      <c r="O78" s="153">
        <f t="shared" si="15"/>
        <v>0</v>
      </c>
      <c r="Q78" s="56" t="str">
        <v>18X26</v>
      </c>
    </row>
    <row r="79" spans="1:17" hidden="1" outlineLevel="1">
      <c r="A79" s="281"/>
      <c r="B79" s="142" t="s">
        <v>1446</v>
      </c>
      <c r="C79" s="142" t="s">
        <v>592</v>
      </c>
      <c r="D79" s="142">
        <v>2.9375</v>
      </c>
      <c r="E79" s="286">
        <v>0.375</v>
      </c>
      <c r="F79" s="142" t="s">
        <v>1436</v>
      </c>
      <c r="G79" s="284" t="str">
        <f t="shared" si="14"/>
        <v>12X26MES2.93750.375DGL</v>
      </c>
      <c r="H79" s="284"/>
      <c r="I79" s="284"/>
      <c r="J79" s="285" t="s">
        <v>1453</v>
      </c>
      <c r="K79" s="285"/>
      <c r="L79" s="285"/>
      <c r="M79" s="146">
        <v>678.74</v>
      </c>
      <c r="N79" s="97">
        <f t="shared" si="13"/>
        <v>0</v>
      </c>
      <c r="O79" s="153">
        <f t="shared" si="15"/>
        <v>0</v>
      </c>
      <c r="Q79" s="56" t="str">
        <v>18X32</v>
      </c>
    </row>
    <row r="80" spans="1:17" hidden="1" outlineLevel="1">
      <c r="A80" s="281"/>
      <c r="B80" s="142" t="s">
        <v>1446</v>
      </c>
      <c r="C80" s="142" t="s">
        <v>592</v>
      </c>
      <c r="D80" s="142">
        <v>2.9375</v>
      </c>
      <c r="E80" s="286">
        <v>0.375</v>
      </c>
      <c r="F80" s="142" t="s">
        <v>598</v>
      </c>
      <c r="G80" s="284" t="str">
        <f t="shared" si="14"/>
        <v>12X26MES2.93750.375HBL</v>
      </c>
      <c r="H80" s="284"/>
      <c r="I80" s="284"/>
      <c r="J80" s="285" t="s">
        <v>1454</v>
      </c>
      <c r="K80" s="285"/>
      <c r="L80" s="285"/>
      <c r="M80" s="146">
        <v>652.1</v>
      </c>
      <c r="N80" s="97">
        <f t="shared" si="13"/>
        <v>0</v>
      </c>
      <c r="O80" s="153">
        <f t="shared" si="15"/>
        <v>0</v>
      </c>
      <c r="Q80" s="56" t="str">
        <v>18X38</v>
      </c>
    </row>
    <row r="81" spans="1:17" hidden="1" outlineLevel="1">
      <c r="A81" s="281"/>
      <c r="B81" s="142" t="s">
        <v>1446</v>
      </c>
      <c r="C81" s="142" t="s">
        <v>592</v>
      </c>
      <c r="D81" s="142">
        <v>2.9375</v>
      </c>
      <c r="E81" s="286">
        <v>0.5</v>
      </c>
      <c r="F81" s="142" t="s">
        <v>1436</v>
      </c>
      <c r="G81" s="284" t="str">
        <f t="shared" si="14"/>
        <v>12X26MES2.93750.5DGL</v>
      </c>
      <c r="H81" s="284"/>
      <c r="I81" s="284"/>
      <c r="J81" s="285" t="s">
        <v>1455</v>
      </c>
      <c r="K81" s="285"/>
      <c r="L81" s="285"/>
      <c r="M81" s="146">
        <v>801.85</v>
      </c>
      <c r="N81" s="97">
        <f t="shared" si="13"/>
        <v>0</v>
      </c>
      <c r="O81" s="153">
        <f t="shared" si="15"/>
        <v>0</v>
      </c>
      <c r="Q81" s="56" t="str">
        <v>18X44</v>
      </c>
    </row>
    <row r="82" spans="1:17" hidden="1" outlineLevel="1">
      <c r="A82" s="281"/>
      <c r="B82" s="142" t="s">
        <v>1446</v>
      </c>
      <c r="C82" s="142" t="s">
        <v>592</v>
      </c>
      <c r="D82" s="142">
        <v>2.9375</v>
      </c>
      <c r="E82" s="286">
        <v>0.5</v>
      </c>
      <c r="F82" s="142" t="s">
        <v>598</v>
      </c>
      <c r="G82" s="284" t="str">
        <f t="shared" si="14"/>
        <v>12X26MES2.93750.5HBL</v>
      </c>
      <c r="H82" s="284"/>
      <c r="I82" s="284"/>
      <c r="J82" s="285" t="s">
        <v>1456</v>
      </c>
      <c r="K82" s="285"/>
      <c r="L82" s="285"/>
      <c r="M82" s="146">
        <v>698.08</v>
      </c>
      <c r="N82" s="97">
        <f t="shared" si="13"/>
        <v>0</v>
      </c>
      <c r="O82" s="153">
        <f t="shared" si="15"/>
        <v>0</v>
      </c>
    </row>
    <row r="83" spans="1:17" hidden="1" outlineLevel="1">
      <c r="A83" s="281"/>
      <c r="B83" s="142" t="s">
        <v>1457</v>
      </c>
      <c r="C83" s="142" t="s">
        <v>592</v>
      </c>
      <c r="D83" s="142">
        <v>2.4375</v>
      </c>
      <c r="E83" s="286" t="s">
        <v>1011</v>
      </c>
      <c r="F83" s="142" t="s">
        <v>1011</v>
      </c>
      <c r="G83" s="284" t="str">
        <f t="shared" si="14"/>
        <v>12X32MES2.4375N/AN/A</v>
      </c>
      <c r="H83" s="284"/>
      <c r="I83" s="284"/>
      <c r="J83" s="285" t="s">
        <v>1458</v>
      </c>
      <c r="K83" s="285"/>
      <c r="L83" s="285"/>
      <c r="M83" s="146">
        <v>348.09</v>
      </c>
      <c r="N83" s="97">
        <f t="shared" si="13"/>
        <v>0</v>
      </c>
      <c r="O83" s="153">
        <f t="shared" si="15"/>
        <v>0</v>
      </c>
    </row>
    <row r="84" spans="1:17" hidden="1" outlineLevel="1">
      <c r="A84" s="281"/>
      <c r="B84" s="142" t="s">
        <v>1457</v>
      </c>
      <c r="C84" s="142" t="s">
        <v>592</v>
      </c>
      <c r="D84" s="142">
        <v>2.4375</v>
      </c>
      <c r="E84" s="286">
        <v>0.375</v>
      </c>
      <c r="F84" s="142" t="s">
        <v>1436</v>
      </c>
      <c r="G84" s="284" t="str">
        <f t="shared" si="14"/>
        <v>12X32MES2.43750.375DGL</v>
      </c>
      <c r="H84" s="284"/>
      <c r="I84" s="284"/>
      <c r="J84" s="285" t="s">
        <v>1459</v>
      </c>
      <c r="K84" s="285"/>
      <c r="L84" s="285"/>
      <c r="M84" s="146">
        <v>807.88</v>
      </c>
      <c r="N84" s="97">
        <f t="shared" si="13"/>
        <v>0</v>
      </c>
      <c r="O84" s="153">
        <f t="shared" si="15"/>
        <v>0</v>
      </c>
    </row>
    <row r="85" spans="1:17" hidden="1" outlineLevel="1">
      <c r="A85" s="281"/>
      <c r="B85" s="142" t="s">
        <v>1457</v>
      </c>
      <c r="C85" s="142" t="s">
        <v>592</v>
      </c>
      <c r="D85" s="142">
        <v>2.4375</v>
      </c>
      <c r="E85" s="286">
        <v>0.375</v>
      </c>
      <c r="F85" s="142" t="s">
        <v>598</v>
      </c>
      <c r="G85" s="284" t="str">
        <f t="shared" si="14"/>
        <v>12X32MES2.43750.375HBL</v>
      </c>
      <c r="H85" s="284"/>
      <c r="I85" s="284"/>
      <c r="J85" s="285" t="s">
        <v>1460</v>
      </c>
      <c r="K85" s="285"/>
      <c r="L85" s="285"/>
      <c r="M85" s="146">
        <v>704.1</v>
      </c>
      <c r="N85" s="97">
        <f t="shared" si="13"/>
        <v>0</v>
      </c>
      <c r="O85" s="153">
        <f t="shared" si="15"/>
        <v>0</v>
      </c>
    </row>
    <row r="86" spans="1:17" hidden="1" outlineLevel="1">
      <c r="A86" s="281"/>
      <c r="B86" s="142" t="s">
        <v>1457</v>
      </c>
      <c r="C86" s="142" t="s">
        <v>592</v>
      </c>
      <c r="D86" s="142">
        <v>2.4375</v>
      </c>
      <c r="E86" s="286">
        <v>0.5</v>
      </c>
      <c r="F86" s="142" t="s">
        <v>1436</v>
      </c>
      <c r="G86" s="284" t="str">
        <f t="shared" si="14"/>
        <v>12X32MES2.43750.5DGL</v>
      </c>
      <c r="H86" s="284"/>
      <c r="I86" s="284"/>
      <c r="J86" s="285" t="s">
        <v>1461</v>
      </c>
      <c r="K86" s="285"/>
      <c r="L86" s="285"/>
      <c r="M86" s="146">
        <v>864.46</v>
      </c>
      <c r="N86" s="97">
        <f t="shared" si="13"/>
        <v>0</v>
      </c>
      <c r="O86" s="153">
        <f t="shared" si="15"/>
        <v>0</v>
      </c>
    </row>
    <row r="87" spans="1:17" hidden="1" outlineLevel="1">
      <c r="A87" s="281"/>
      <c r="B87" s="142" t="s">
        <v>1457</v>
      </c>
      <c r="C87" s="142" t="s">
        <v>592</v>
      </c>
      <c r="D87" s="142">
        <v>2.4375</v>
      </c>
      <c r="E87" s="286">
        <v>0.5</v>
      </c>
      <c r="F87" s="142" t="s">
        <v>598</v>
      </c>
      <c r="G87" s="284" t="str">
        <f t="shared" si="14"/>
        <v>12X32MES2.43750.5HBL</v>
      </c>
      <c r="H87" s="284"/>
      <c r="I87" s="284"/>
      <c r="J87" s="285" t="s">
        <v>1462</v>
      </c>
      <c r="K87" s="285"/>
      <c r="L87" s="285"/>
      <c r="M87" s="146">
        <v>760.67</v>
      </c>
      <c r="N87" s="97">
        <f t="shared" si="13"/>
        <v>0</v>
      </c>
      <c r="O87" s="153">
        <f t="shared" si="15"/>
        <v>0</v>
      </c>
    </row>
    <row r="88" spans="1:17" hidden="1" outlineLevel="1">
      <c r="A88" s="281"/>
      <c r="B88" s="142" t="s">
        <v>1457</v>
      </c>
      <c r="C88" s="142" t="s">
        <v>592</v>
      </c>
      <c r="D88" s="142">
        <v>2.9375</v>
      </c>
      <c r="E88" s="286" t="s">
        <v>1011</v>
      </c>
      <c r="F88" s="142" t="s">
        <v>1011</v>
      </c>
      <c r="G88" s="284" t="str">
        <f t="shared" si="14"/>
        <v>12X32MES2.9375N/AN/A</v>
      </c>
      <c r="H88" s="284"/>
      <c r="I88" s="284"/>
      <c r="J88" s="285" t="s">
        <v>1463</v>
      </c>
      <c r="K88" s="285"/>
      <c r="L88" s="285"/>
      <c r="M88" s="146">
        <v>369.9</v>
      </c>
      <c r="N88" s="97">
        <f t="shared" si="13"/>
        <v>0</v>
      </c>
      <c r="O88" s="153">
        <f t="shared" si="15"/>
        <v>0</v>
      </c>
    </row>
    <row r="89" spans="1:17" hidden="1" outlineLevel="1">
      <c r="A89" s="281"/>
      <c r="B89" s="142" t="s">
        <v>1457</v>
      </c>
      <c r="C89" s="142" t="s">
        <v>592</v>
      </c>
      <c r="D89" s="142">
        <v>2.9375</v>
      </c>
      <c r="E89" s="286">
        <v>0.375</v>
      </c>
      <c r="F89" s="142" t="s">
        <v>1436</v>
      </c>
      <c r="G89" s="284" t="str">
        <f t="shared" si="14"/>
        <v>12X32MES2.93750.375DGL</v>
      </c>
      <c r="H89" s="284"/>
      <c r="I89" s="284"/>
      <c r="J89" s="285" t="s">
        <v>1464</v>
      </c>
      <c r="K89" s="285"/>
      <c r="L89" s="285"/>
      <c r="M89" s="146">
        <v>747.98</v>
      </c>
      <c r="N89" s="97">
        <f t="shared" si="13"/>
        <v>0</v>
      </c>
      <c r="O89" s="153">
        <f t="shared" si="15"/>
        <v>0</v>
      </c>
    </row>
    <row r="90" spans="1:17" hidden="1" outlineLevel="1">
      <c r="A90" s="281"/>
      <c r="B90" s="142" t="s">
        <v>1457</v>
      </c>
      <c r="C90" s="142" t="s">
        <v>592</v>
      </c>
      <c r="D90" s="142">
        <v>2.9375</v>
      </c>
      <c r="E90" s="286">
        <v>0.375</v>
      </c>
      <c r="F90" s="142" t="s">
        <v>598</v>
      </c>
      <c r="G90" s="284" t="str">
        <f t="shared" si="14"/>
        <v>12X32MES2.93750.375HBL</v>
      </c>
      <c r="H90" s="284"/>
      <c r="I90" s="284"/>
      <c r="J90" s="285" t="s">
        <v>1465</v>
      </c>
      <c r="K90" s="285"/>
      <c r="L90" s="285"/>
      <c r="M90" s="146">
        <v>729.31</v>
      </c>
      <c r="N90" s="97">
        <f t="shared" si="13"/>
        <v>0</v>
      </c>
      <c r="O90" s="153">
        <f t="shared" si="15"/>
        <v>0</v>
      </c>
    </row>
    <row r="91" spans="1:17" hidden="1" outlineLevel="1">
      <c r="A91" s="281"/>
      <c r="B91" s="142" t="s">
        <v>1457</v>
      </c>
      <c r="C91" s="142" t="s">
        <v>592</v>
      </c>
      <c r="D91" s="142">
        <v>2.9375</v>
      </c>
      <c r="E91" s="286">
        <v>0.5</v>
      </c>
      <c r="F91" s="142" t="s">
        <v>1436</v>
      </c>
      <c r="G91" s="284" t="str">
        <f t="shared" si="14"/>
        <v>12X32MES2.93750.5DGL</v>
      </c>
      <c r="H91" s="284"/>
      <c r="I91" s="284"/>
      <c r="J91" s="285" t="s">
        <v>1466</v>
      </c>
      <c r="K91" s="285"/>
      <c r="L91" s="285"/>
      <c r="M91" s="146">
        <v>889.67</v>
      </c>
      <c r="N91" s="97">
        <f t="shared" si="13"/>
        <v>0</v>
      </c>
      <c r="O91" s="153">
        <f t="shared" si="15"/>
        <v>0</v>
      </c>
    </row>
    <row r="92" spans="1:17" hidden="1" outlineLevel="1">
      <c r="A92" s="281"/>
      <c r="B92" s="142" t="s">
        <v>1457</v>
      </c>
      <c r="C92" s="142" t="s">
        <v>592</v>
      </c>
      <c r="D92" s="142">
        <v>2.9375</v>
      </c>
      <c r="E92" s="286">
        <v>0.5</v>
      </c>
      <c r="F92" s="142" t="s">
        <v>598</v>
      </c>
      <c r="G92" s="284" t="str">
        <f t="shared" si="14"/>
        <v>12X32MES2.93750.5HBL</v>
      </c>
      <c r="H92" s="284"/>
      <c r="I92" s="284"/>
      <c r="J92" s="285" t="s">
        <v>1467</v>
      </c>
      <c r="K92" s="285"/>
      <c r="L92" s="285"/>
      <c r="M92" s="146">
        <v>785.89</v>
      </c>
      <c r="N92" s="97">
        <f t="shared" si="13"/>
        <v>0</v>
      </c>
      <c r="O92" s="153">
        <f t="shared" si="15"/>
        <v>0</v>
      </c>
    </row>
    <row r="93" spans="1:17" hidden="1" outlineLevel="1">
      <c r="A93" s="281"/>
      <c r="B93" s="142" t="s">
        <v>1468</v>
      </c>
      <c r="C93" s="142" t="s">
        <v>592</v>
      </c>
      <c r="D93" s="142">
        <v>2.4375</v>
      </c>
      <c r="E93" s="286" t="s">
        <v>1011</v>
      </c>
      <c r="F93" s="142" t="s">
        <v>1011</v>
      </c>
      <c r="G93" s="284" t="str">
        <f t="shared" si="14"/>
        <v>12X38MES2.4375N/AN/A</v>
      </c>
      <c r="H93" s="284"/>
      <c r="I93" s="284"/>
      <c r="J93" s="285" t="s">
        <v>1469</v>
      </c>
      <c r="K93" s="285"/>
      <c r="L93" s="285"/>
      <c r="M93" s="146">
        <v>387.77</v>
      </c>
      <c r="N93" s="97">
        <f t="shared" si="13"/>
        <v>0</v>
      </c>
      <c r="O93" s="153">
        <f t="shared" si="15"/>
        <v>0</v>
      </c>
    </row>
    <row r="94" spans="1:17" hidden="1" outlineLevel="1">
      <c r="A94" s="281"/>
      <c r="B94" s="142" t="s">
        <v>1468</v>
      </c>
      <c r="C94" s="142" t="s">
        <v>592</v>
      </c>
      <c r="D94" s="142">
        <v>2.4375</v>
      </c>
      <c r="E94" s="286">
        <v>0.375</v>
      </c>
      <c r="F94" s="142" t="s">
        <v>1436</v>
      </c>
      <c r="G94" s="284" t="str">
        <f t="shared" si="14"/>
        <v>12X38MES2.43750.375DGL</v>
      </c>
      <c r="H94" s="284"/>
      <c r="I94" s="284"/>
      <c r="J94" s="285" t="s">
        <v>1470</v>
      </c>
      <c r="K94" s="285"/>
      <c r="L94" s="285"/>
      <c r="M94" s="146">
        <v>892.93</v>
      </c>
      <c r="N94" s="97">
        <f t="shared" si="13"/>
        <v>0</v>
      </c>
      <c r="O94" s="153">
        <f t="shared" si="15"/>
        <v>0</v>
      </c>
    </row>
    <row r="95" spans="1:17" hidden="1" outlineLevel="1">
      <c r="A95" s="281"/>
      <c r="B95" s="142" t="s">
        <v>1468</v>
      </c>
      <c r="C95" s="142" t="s">
        <v>592</v>
      </c>
      <c r="D95" s="142">
        <v>2.4375</v>
      </c>
      <c r="E95" s="286">
        <v>0.375</v>
      </c>
      <c r="F95" s="142" t="s">
        <v>598</v>
      </c>
      <c r="G95" s="284" t="str">
        <f t="shared" si="14"/>
        <v>12X38MES2.43750.375HBL</v>
      </c>
      <c r="H95" s="284"/>
      <c r="I95" s="284"/>
      <c r="J95" s="285" t="s">
        <v>1471</v>
      </c>
      <c r="K95" s="285"/>
      <c r="L95" s="285"/>
      <c r="M95" s="146">
        <v>789.14</v>
      </c>
      <c r="N95" s="97">
        <f t="shared" si="13"/>
        <v>0</v>
      </c>
      <c r="O95" s="153">
        <f t="shared" si="15"/>
        <v>0</v>
      </c>
    </row>
    <row r="96" spans="1:17" hidden="1" outlineLevel="1">
      <c r="A96" s="281"/>
      <c r="B96" s="142" t="s">
        <v>1468</v>
      </c>
      <c r="C96" s="142" t="s">
        <v>592</v>
      </c>
      <c r="D96" s="142">
        <v>2.4375</v>
      </c>
      <c r="E96" s="286">
        <v>0.5</v>
      </c>
      <c r="F96" s="142" t="s">
        <v>1436</v>
      </c>
      <c r="G96" s="284" t="str">
        <f t="shared" si="14"/>
        <v>12X38MES2.43750.5DGL</v>
      </c>
      <c r="H96" s="284"/>
      <c r="I96" s="284"/>
      <c r="J96" s="285" t="s">
        <v>1472</v>
      </c>
      <c r="K96" s="285"/>
      <c r="L96" s="285"/>
      <c r="M96" s="146">
        <v>960.1</v>
      </c>
      <c r="N96" s="97">
        <f t="shared" si="13"/>
        <v>0</v>
      </c>
      <c r="O96" s="153">
        <f t="shared" si="15"/>
        <v>0</v>
      </c>
    </row>
    <row r="97" spans="1:15" hidden="1" outlineLevel="1">
      <c r="A97" s="281"/>
      <c r="B97" s="142" t="s">
        <v>1468</v>
      </c>
      <c r="C97" s="142" t="s">
        <v>592</v>
      </c>
      <c r="D97" s="142">
        <v>2.4375</v>
      </c>
      <c r="E97" s="286">
        <v>0.5</v>
      </c>
      <c r="F97" s="142" t="s">
        <v>598</v>
      </c>
      <c r="G97" s="284" t="str">
        <f t="shared" si="14"/>
        <v>12X38MES2.43750.5HBL</v>
      </c>
      <c r="H97" s="284"/>
      <c r="I97" s="284"/>
      <c r="J97" s="285" t="s">
        <v>1473</v>
      </c>
      <c r="K97" s="285"/>
      <c r="L97" s="285"/>
      <c r="M97" s="146">
        <v>856.31</v>
      </c>
      <c r="N97" s="97">
        <f t="shared" si="13"/>
        <v>0</v>
      </c>
      <c r="O97" s="153">
        <f t="shared" si="15"/>
        <v>0</v>
      </c>
    </row>
    <row r="98" spans="1:15" hidden="1" outlineLevel="1">
      <c r="A98" s="281"/>
      <c r="B98" s="142" t="s">
        <v>1468</v>
      </c>
      <c r="C98" s="142" t="s">
        <v>592</v>
      </c>
      <c r="D98" s="142">
        <v>2.9375</v>
      </c>
      <c r="E98" s="286" t="s">
        <v>1011</v>
      </c>
      <c r="F98" s="142" t="s">
        <v>1011</v>
      </c>
      <c r="G98" s="284" t="str">
        <f t="shared" si="14"/>
        <v>12X38MES2.9375N/AN/A</v>
      </c>
      <c r="H98" s="284"/>
      <c r="I98" s="284"/>
      <c r="J98" s="285" t="s">
        <v>1474</v>
      </c>
      <c r="K98" s="285"/>
      <c r="L98" s="285"/>
      <c r="M98" s="146">
        <v>410.49</v>
      </c>
      <c r="N98" s="97">
        <f t="shared" si="13"/>
        <v>0</v>
      </c>
      <c r="O98" s="153">
        <f t="shared" si="15"/>
        <v>0</v>
      </c>
    </row>
    <row r="99" spans="1:15" hidden="1" outlineLevel="1">
      <c r="A99" s="281"/>
      <c r="B99" s="142" t="s">
        <v>1468</v>
      </c>
      <c r="C99" s="142" t="s">
        <v>592</v>
      </c>
      <c r="D99" s="142">
        <v>2.9375</v>
      </c>
      <c r="E99" s="286">
        <v>0.375</v>
      </c>
      <c r="F99" s="142" t="s">
        <v>1436</v>
      </c>
      <c r="G99" s="284" t="str">
        <f t="shared" si="14"/>
        <v>12X38MES2.93750.375DGL</v>
      </c>
      <c r="H99" s="284"/>
      <c r="I99" s="284"/>
      <c r="J99" s="285" t="s">
        <v>1475</v>
      </c>
      <c r="K99" s="285"/>
      <c r="L99" s="285"/>
      <c r="M99" s="146">
        <v>924.68</v>
      </c>
      <c r="N99" s="97">
        <f t="shared" si="13"/>
        <v>0</v>
      </c>
      <c r="O99" s="153">
        <f t="shared" si="15"/>
        <v>0</v>
      </c>
    </row>
    <row r="100" spans="1:15" hidden="1" outlineLevel="1">
      <c r="A100" s="281"/>
      <c r="B100" s="142" t="s">
        <v>1468</v>
      </c>
      <c r="C100" s="142" t="s">
        <v>592</v>
      </c>
      <c r="D100" s="142">
        <v>2.9375</v>
      </c>
      <c r="E100" s="286">
        <v>0.375</v>
      </c>
      <c r="F100" s="142" t="s">
        <v>598</v>
      </c>
      <c r="G100" s="284" t="str">
        <f t="shared" si="14"/>
        <v>12X38MES2.93750.375HBL</v>
      </c>
      <c r="H100" s="284"/>
      <c r="I100" s="284"/>
      <c r="J100" s="285" t="s">
        <v>1476</v>
      </c>
      <c r="K100" s="285"/>
      <c r="L100" s="285"/>
      <c r="M100" s="146">
        <v>820.9</v>
      </c>
      <c r="N100" s="97">
        <f t="shared" si="13"/>
        <v>0</v>
      </c>
      <c r="O100" s="153">
        <f t="shared" si="15"/>
        <v>0</v>
      </c>
    </row>
    <row r="101" spans="1:15" hidden="1" outlineLevel="1">
      <c r="A101" s="281"/>
      <c r="B101" s="142" t="s">
        <v>1468</v>
      </c>
      <c r="C101" s="142" t="s">
        <v>592</v>
      </c>
      <c r="D101" s="142">
        <v>2.9375</v>
      </c>
      <c r="E101" s="286">
        <v>0.5</v>
      </c>
      <c r="F101" s="142" t="s">
        <v>1436</v>
      </c>
      <c r="G101" s="284" t="str">
        <f t="shared" si="14"/>
        <v>12X38MES2.93750.5DGL</v>
      </c>
      <c r="H101" s="284"/>
      <c r="I101" s="284"/>
      <c r="J101" s="285" t="s">
        <v>1477</v>
      </c>
      <c r="K101" s="285"/>
      <c r="L101" s="285"/>
      <c r="M101" s="146">
        <v>991.85</v>
      </c>
      <c r="N101" s="97">
        <f t="shared" si="13"/>
        <v>0</v>
      </c>
      <c r="O101" s="153">
        <f t="shared" si="15"/>
        <v>0</v>
      </c>
    </row>
    <row r="102" spans="1:15" hidden="1" outlineLevel="1">
      <c r="A102" s="281"/>
      <c r="B102" s="142" t="s">
        <v>1468</v>
      </c>
      <c r="C102" s="142" t="s">
        <v>592</v>
      </c>
      <c r="D102" s="142">
        <v>2.9375</v>
      </c>
      <c r="E102" s="286">
        <v>0.5</v>
      </c>
      <c r="F102" s="142" t="s">
        <v>598</v>
      </c>
      <c r="G102" s="284" t="str">
        <f t="shared" si="14"/>
        <v>12X38MES2.93750.5HBL</v>
      </c>
      <c r="H102" s="284"/>
      <c r="I102" s="284"/>
      <c r="J102" s="285" t="s">
        <v>1478</v>
      </c>
      <c r="K102" s="285"/>
      <c r="L102" s="285"/>
      <c r="M102" s="146">
        <v>888.07</v>
      </c>
      <c r="N102" s="97">
        <f t="shared" si="13"/>
        <v>0</v>
      </c>
      <c r="O102" s="153">
        <f t="shared" si="15"/>
        <v>0</v>
      </c>
    </row>
    <row r="103" spans="1:15" hidden="1" outlineLevel="1">
      <c r="A103" s="281"/>
      <c r="B103" s="142" t="s">
        <v>1479</v>
      </c>
      <c r="C103" s="142" t="s">
        <v>592</v>
      </c>
      <c r="D103" s="142">
        <v>2.4375</v>
      </c>
      <c r="E103" s="286" t="s">
        <v>1011</v>
      </c>
      <c r="F103" s="142" t="s">
        <v>1011</v>
      </c>
      <c r="G103" s="284" t="str">
        <f t="shared" si="14"/>
        <v>12X44MES2.4375N/AN/A</v>
      </c>
      <c r="H103" s="284"/>
      <c r="I103" s="284"/>
      <c r="J103" s="285" t="s">
        <v>1480</v>
      </c>
      <c r="K103" s="285"/>
      <c r="L103" s="285"/>
      <c r="M103" s="146">
        <v>447.23</v>
      </c>
      <c r="N103" s="97">
        <f t="shared" si="13"/>
        <v>0</v>
      </c>
      <c r="O103" s="153">
        <f t="shared" si="15"/>
        <v>0</v>
      </c>
    </row>
    <row r="104" spans="1:15" hidden="1" outlineLevel="1">
      <c r="A104" s="281"/>
      <c r="B104" s="142" t="s">
        <v>1479</v>
      </c>
      <c r="C104" s="142" t="s">
        <v>592</v>
      </c>
      <c r="D104" s="142">
        <v>2.4375</v>
      </c>
      <c r="E104" s="286">
        <v>0.375</v>
      </c>
      <c r="F104" s="142" t="s">
        <v>1436</v>
      </c>
      <c r="G104" s="284" t="str">
        <f t="shared" si="14"/>
        <v>12X44MES2.43750.375DGL</v>
      </c>
      <c r="H104" s="284"/>
      <c r="I104" s="284"/>
      <c r="J104" s="285" t="s">
        <v>1481</v>
      </c>
      <c r="K104" s="285"/>
      <c r="L104" s="285"/>
      <c r="M104" s="146">
        <v>1008.46</v>
      </c>
      <c r="N104" s="97">
        <f t="shared" si="13"/>
        <v>0</v>
      </c>
      <c r="O104" s="153">
        <f t="shared" si="15"/>
        <v>0</v>
      </c>
    </row>
    <row r="105" spans="1:15" hidden="1" outlineLevel="1">
      <c r="A105" s="281"/>
      <c r="B105" s="142" t="s">
        <v>1479</v>
      </c>
      <c r="C105" s="142" t="s">
        <v>592</v>
      </c>
      <c r="D105" s="142">
        <v>2.4375</v>
      </c>
      <c r="E105" s="286">
        <v>0.375</v>
      </c>
      <c r="F105" s="142" t="s">
        <v>598</v>
      </c>
      <c r="G105" s="284" t="str">
        <f t="shared" si="14"/>
        <v>12X44MES2.43750.375HBL</v>
      </c>
      <c r="H105" s="284"/>
      <c r="I105" s="284"/>
      <c r="J105" s="285" t="s">
        <v>1482</v>
      </c>
      <c r="K105" s="285"/>
      <c r="L105" s="285"/>
      <c r="M105" s="146">
        <v>904.68</v>
      </c>
      <c r="N105" s="97">
        <f t="shared" si="13"/>
        <v>0</v>
      </c>
      <c r="O105" s="153">
        <f t="shared" si="15"/>
        <v>0</v>
      </c>
    </row>
    <row r="106" spans="1:15" hidden="1" outlineLevel="1">
      <c r="A106" s="281"/>
      <c r="B106" s="142" t="s">
        <v>1479</v>
      </c>
      <c r="C106" s="142" t="s">
        <v>592</v>
      </c>
      <c r="D106" s="142">
        <v>2.4375</v>
      </c>
      <c r="E106" s="286">
        <v>0.5</v>
      </c>
      <c r="F106" s="142" t="s">
        <v>1436</v>
      </c>
      <c r="G106" s="284" t="str">
        <f t="shared" si="14"/>
        <v>12X44MES2.43750.5DGL</v>
      </c>
      <c r="H106" s="284"/>
      <c r="I106" s="284"/>
      <c r="J106" s="285" t="s">
        <v>1483</v>
      </c>
      <c r="K106" s="285"/>
      <c r="L106" s="285"/>
      <c r="M106" s="146">
        <v>1086.25</v>
      </c>
      <c r="N106" s="97">
        <f t="shared" si="13"/>
        <v>0</v>
      </c>
      <c r="O106" s="153">
        <f t="shared" si="15"/>
        <v>0</v>
      </c>
    </row>
    <row r="107" spans="1:15" hidden="1" outlineLevel="1">
      <c r="A107" s="281"/>
      <c r="B107" s="142" t="s">
        <v>1479</v>
      </c>
      <c r="C107" s="142" t="s">
        <v>592</v>
      </c>
      <c r="D107" s="142">
        <v>2.4375</v>
      </c>
      <c r="E107" s="286">
        <v>0.5</v>
      </c>
      <c r="F107" s="142" t="s">
        <v>598</v>
      </c>
      <c r="G107" s="284" t="str">
        <f t="shared" si="14"/>
        <v>12X44MES2.43750.5HBL</v>
      </c>
      <c r="H107" s="284"/>
      <c r="I107" s="284"/>
      <c r="J107" s="285" t="s">
        <v>1484</v>
      </c>
      <c r="K107" s="285"/>
      <c r="L107" s="285"/>
      <c r="M107" s="146">
        <v>982.47</v>
      </c>
      <c r="N107" s="97">
        <f t="shared" si="13"/>
        <v>0</v>
      </c>
      <c r="O107" s="153">
        <f t="shared" si="15"/>
        <v>0</v>
      </c>
    </row>
    <row r="108" spans="1:15" hidden="1" outlineLevel="1">
      <c r="A108" s="281"/>
      <c r="B108" s="142" t="s">
        <v>1479</v>
      </c>
      <c r="C108" s="142" t="s">
        <v>592</v>
      </c>
      <c r="D108" s="142">
        <v>2.9375</v>
      </c>
      <c r="E108" s="286" t="s">
        <v>1011</v>
      </c>
      <c r="F108" s="142" t="s">
        <v>1011</v>
      </c>
      <c r="G108" s="284" t="str">
        <f t="shared" si="14"/>
        <v>12X44MES2.9375N/AN/A</v>
      </c>
      <c r="H108" s="284"/>
      <c r="I108" s="284"/>
      <c r="J108" s="285" t="s">
        <v>1485</v>
      </c>
      <c r="K108" s="285"/>
      <c r="L108" s="285"/>
      <c r="M108" s="146">
        <v>471.78</v>
      </c>
      <c r="N108" s="97">
        <f t="shared" si="13"/>
        <v>0</v>
      </c>
      <c r="O108" s="153">
        <f t="shared" si="15"/>
        <v>0</v>
      </c>
    </row>
    <row r="109" spans="1:15" hidden="1" outlineLevel="1">
      <c r="A109" s="281"/>
      <c r="B109" s="142" t="s">
        <v>1479</v>
      </c>
      <c r="C109" s="142" t="s">
        <v>592</v>
      </c>
      <c r="D109" s="142">
        <v>2.9375</v>
      </c>
      <c r="E109" s="286">
        <v>0.375</v>
      </c>
      <c r="F109" s="142" t="s">
        <v>1436</v>
      </c>
      <c r="G109" s="284" t="str">
        <f t="shared" si="14"/>
        <v>12X44MES2.93750.375DGL</v>
      </c>
      <c r="H109" s="284"/>
      <c r="I109" s="284"/>
      <c r="J109" s="285" t="s">
        <v>1486</v>
      </c>
      <c r="K109" s="285"/>
      <c r="L109" s="285"/>
      <c r="M109" s="146">
        <v>1047.01</v>
      </c>
      <c r="N109" s="97">
        <f t="shared" si="13"/>
        <v>0</v>
      </c>
      <c r="O109" s="153">
        <f t="shared" si="15"/>
        <v>0</v>
      </c>
    </row>
    <row r="110" spans="1:15" hidden="1" outlineLevel="1">
      <c r="A110" s="281"/>
      <c r="B110" s="142" t="s">
        <v>1479</v>
      </c>
      <c r="C110" s="142" t="s">
        <v>592</v>
      </c>
      <c r="D110" s="142">
        <v>2.9375</v>
      </c>
      <c r="E110" s="286">
        <v>0.375</v>
      </c>
      <c r="F110" s="142" t="s">
        <v>598</v>
      </c>
      <c r="G110" s="284" t="str">
        <f t="shared" si="14"/>
        <v>12X44MES2.93750.375HBL</v>
      </c>
      <c r="H110" s="284"/>
      <c r="I110" s="284"/>
      <c r="J110" s="285" t="s">
        <v>1487</v>
      </c>
      <c r="K110" s="285"/>
      <c r="L110" s="285"/>
      <c r="M110" s="146">
        <v>943.23</v>
      </c>
      <c r="N110" s="97">
        <f t="shared" si="13"/>
        <v>0</v>
      </c>
      <c r="O110" s="153">
        <f t="shared" si="15"/>
        <v>0</v>
      </c>
    </row>
    <row r="111" spans="1:15" hidden="1" outlineLevel="1">
      <c r="A111" s="281"/>
      <c r="B111" s="142" t="s">
        <v>1479</v>
      </c>
      <c r="C111" s="142" t="s">
        <v>592</v>
      </c>
      <c r="D111" s="142">
        <v>2.9375</v>
      </c>
      <c r="E111" s="286">
        <v>0.5</v>
      </c>
      <c r="F111" s="142" t="s">
        <v>1436</v>
      </c>
      <c r="G111" s="284" t="str">
        <f t="shared" si="14"/>
        <v>12X44MES2.93750.5DGL</v>
      </c>
      <c r="H111" s="284"/>
      <c r="I111" s="284"/>
      <c r="J111" s="285" t="s">
        <v>1488</v>
      </c>
      <c r="K111" s="285"/>
      <c r="L111" s="285"/>
      <c r="M111" s="146">
        <v>1124.79</v>
      </c>
      <c r="N111" s="97">
        <f t="shared" si="13"/>
        <v>0</v>
      </c>
      <c r="O111" s="153">
        <f t="shared" si="15"/>
        <v>0</v>
      </c>
    </row>
    <row r="112" spans="1:15" hidden="1" outlineLevel="1">
      <c r="A112" s="281"/>
      <c r="B112" s="142" t="s">
        <v>1479</v>
      </c>
      <c r="C112" s="142" t="s">
        <v>592</v>
      </c>
      <c r="D112" s="142">
        <v>2.9375</v>
      </c>
      <c r="E112" s="286">
        <v>0.5</v>
      </c>
      <c r="F112" s="142" t="s">
        <v>598</v>
      </c>
      <c r="G112" s="284" t="str">
        <f t="shared" si="14"/>
        <v>12X44MES2.93750.5HBL</v>
      </c>
      <c r="H112" s="284"/>
      <c r="I112" s="284"/>
      <c r="J112" s="285" t="s">
        <v>1489</v>
      </c>
      <c r="K112" s="285"/>
      <c r="L112" s="285"/>
      <c r="M112" s="146">
        <v>1021.01</v>
      </c>
      <c r="N112" s="97">
        <f t="shared" si="13"/>
        <v>0</v>
      </c>
      <c r="O112" s="153">
        <f t="shared" si="15"/>
        <v>0</v>
      </c>
    </row>
    <row r="113" spans="1:15" hidden="1" outlineLevel="1">
      <c r="A113" s="281"/>
      <c r="B113" s="142" t="s">
        <v>586</v>
      </c>
      <c r="C113" s="142" t="s">
        <v>1490</v>
      </c>
      <c r="D113" s="142">
        <v>2.4375</v>
      </c>
      <c r="E113" s="286" t="s">
        <v>1011</v>
      </c>
      <c r="F113" s="142" t="s">
        <v>1011</v>
      </c>
      <c r="G113" s="284" t="str">
        <f t="shared" si="14"/>
        <v>12X20CF2.4375N/AN/A</v>
      </c>
      <c r="H113" s="284"/>
      <c r="I113" s="284"/>
      <c r="J113" s="285" t="s">
        <v>1491</v>
      </c>
      <c r="K113" s="285"/>
      <c r="L113" s="285"/>
      <c r="M113" s="146">
        <v>925.22</v>
      </c>
      <c r="N113" s="97">
        <f t="shared" si="13"/>
        <v>0</v>
      </c>
      <c r="O113" s="153">
        <f t="shared" si="15"/>
        <v>0</v>
      </c>
    </row>
    <row r="114" spans="1:15" hidden="1" outlineLevel="1">
      <c r="A114" s="281"/>
      <c r="B114" s="142" t="s">
        <v>1446</v>
      </c>
      <c r="C114" s="142" t="s">
        <v>1490</v>
      </c>
      <c r="D114" s="142">
        <v>2.4375</v>
      </c>
      <c r="E114" s="286" t="s">
        <v>1011</v>
      </c>
      <c r="F114" s="142" t="s">
        <v>1011</v>
      </c>
      <c r="G114" s="284" t="str">
        <f t="shared" si="14"/>
        <v>12X26CF2.4375N/AN/A</v>
      </c>
      <c r="H114" s="284"/>
      <c r="I114" s="284"/>
      <c r="J114" s="285" t="s">
        <v>1492</v>
      </c>
      <c r="K114" s="285"/>
      <c r="L114" s="285"/>
      <c r="M114" s="146">
        <v>1037.3599999999999</v>
      </c>
      <c r="N114" s="97">
        <f t="shared" si="13"/>
        <v>0</v>
      </c>
      <c r="O114" s="153">
        <f t="shared" si="15"/>
        <v>0</v>
      </c>
    </row>
    <row r="115" spans="1:15" hidden="1" outlineLevel="1">
      <c r="A115" s="281"/>
      <c r="B115" s="142" t="s">
        <v>1457</v>
      </c>
      <c r="C115" s="142" t="s">
        <v>1490</v>
      </c>
      <c r="D115" s="142">
        <v>2.4375</v>
      </c>
      <c r="E115" s="286" t="s">
        <v>1011</v>
      </c>
      <c r="F115" s="142" t="s">
        <v>1011</v>
      </c>
      <c r="G115" s="284" t="str">
        <f t="shared" si="14"/>
        <v>12X32CF2.4375N/AN/A</v>
      </c>
      <c r="H115" s="284"/>
      <c r="I115" s="284"/>
      <c r="J115" s="285" t="s">
        <v>1493</v>
      </c>
      <c r="K115" s="285"/>
      <c r="L115" s="285"/>
      <c r="M115" s="146">
        <v>1149.03</v>
      </c>
      <c r="N115" s="97">
        <f t="shared" si="13"/>
        <v>0</v>
      </c>
      <c r="O115" s="153">
        <f t="shared" si="15"/>
        <v>0</v>
      </c>
    </row>
    <row r="116" spans="1:15" hidden="1" outlineLevel="1">
      <c r="A116" s="281"/>
      <c r="B116" s="142" t="s">
        <v>1468</v>
      </c>
      <c r="C116" s="142" t="s">
        <v>1490</v>
      </c>
      <c r="D116" s="142">
        <v>2.4375</v>
      </c>
      <c r="E116" s="286" t="s">
        <v>1011</v>
      </c>
      <c r="F116" s="142" t="s">
        <v>1011</v>
      </c>
      <c r="G116" s="284" t="str">
        <f t="shared" si="14"/>
        <v>12X38CF2.4375N/AN/A</v>
      </c>
      <c r="H116" s="284"/>
      <c r="I116" s="284"/>
      <c r="J116" s="285" t="s">
        <v>1494</v>
      </c>
      <c r="K116" s="285"/>
      <c r="L116" s="285"/>
      <c r="M116" s="146">
        <v>1261.18</v>
      </c>
      <c r="N116" s="97">
        <f t="shared" si="13"/>
        <v>0</v>
      </c>
      <c r="O116" s="153">
        <f t="shared" si="15"/>
        <v>0</v>
      </c>
    </row>
    <row r="117" spans="1:15" hidden="1" outlineLevel="1">
      <c r="A117" s="281"/>
      <c r="B117" s="142" t="s">
        <v>1479</v>
      </c>
      <c r="C117" s="142" t="s">
        <v>1490</v>
      </c>
      <c r="D117" s="142">
        <v>2.4375</v>
      </c>
      <c r="E117" s="286" t="s">
        <v>1011</v>
      </c>
      <c r="F117" s="142" t="s">
        <v>1011</v>
      </c>
      <c r="G117" s="284" t="str">
        <f t="shared" si="14"/>
        <v>12X44CF2.4375N/AN/A</v>
      </c>
      <c r="H117" s="284"/>
      <c r="I117" s="284"/>
      <c r="J117" s="285" t="s">
        <v>1495</v>
      </c>
      <c r="K117" s="285"/>
      <c r="L117" s="285"/>
      <c r="M117" s="146">
        <v>1372.85</v>
      </c>
      <c r="N117" s="97">
        <f t="shared" si="13"/>
        <v>0</v>
      </c>
      <c r="O117" s="153">
        <f t="shared" si="15"/>
        <v>0</v>
      </c>
    </row>
    <row r="118" spans="1:15" hidden="1" outlineLevel="1">
      <c r="A118" s="281"/>
      <c r="B118" s="142" t="s">
        <v>1496</v>
      </c>
      <c r="C118" s="142" t="s">
        <v>592</v>
      </c>
      <c r="D118" s="142">
        <v>2.4375</v>
      </c>
      <c r="E118" s="286" t="s">
        <v>1011</v>
      </c>
      <c r="F118" s="142" t="s">
        <v>1011</v>
      </c>
      <c r="G118" s="284" t="str">
        <f t="shared" si="14"/>
        <v>14X20MES2.4375N/AN/A</v>
      </c>
      <c r="H118" s="284"/>
      <c r="I118" s="284"/>
      <c r="J118" s="285" t="s">
        <v>1497</v>
      </c>
      <c r="K118" s="285"/>
      <c r="L118" s="285"/>
      <c r="M118" s="146">
        <v>321.45</v>
      </c>
      <c r="N118" s="97">
        <f t="shared" si="13"/>
        <v>0</v>
      </c>
      <c r="O118" s="153">
        <f t="shared" si="15"/>
        <v>0</v>
      </c>
    </row>
    <row r="119" spans="1:15" hidden="1" outlineLevel="1">
      <c r="A119" s="281"/>
      <c r="B119" s="142" t="s">
        <v>1496</v>
      </c>
      <c r="C119" s="142" t="s">
        <v>592</v>
      </c>
      <c r="D119" s="142">
        <v>2.4375</v>
      </c>
      <c r="E119" s="286">
        <v>0.375</v>
      </c>
      <c r="F119" s="142" t="s">
        <v>1436</v>
      </c>
      <c r="G119" s="284" t="str">
        <f t="shared" si="14"/>
        <v>14X20MES2.43750.375DGL</v>
      </c>
      <c r="H119" s="284"/>
      <c r="I119" s="284"/>
      <c r="J119" s="285" t="s">
        <v>1498</v>
      </c>
      <c r="K119" s="285"/>
      <c r="L119" s="285"/>
      <c r="M119" s="146">
        <v>677.71</v>
      </c>
      <c r="N119" s="97">
        <f t="shared" si="13"/>
        <v>0</v>
      </c>
      <c r="O119" s="153">
        <f t="shared" si="15"/>
        <v>0</v>
      </c>
    </row>
    <row r="120" spans="1:15" hidden="1" outlineLevel="1">
      <c r="A120" s="281"/>
      <c r="B120" s="142" t="s">
        <v>1496</v>
      </c>
      <c r="C120" s="142" t="s">
        <v>592</v>
      </c>
      <c r="D120" s="142">
        <v>2.4375</v>
      </c>
      <c r="E120" s="286">
        <v>0.375</v>
      </c>
      <c r="F120" s="142" t="s">
        <v>598</v>
      </c>
      <c r="G120" s="284" t="str">
        <f t="shared" si="14"/>
        <v>14X20MES2.43750.375HBL</v>
      </c>
      <c r="H120" s="284"/>
      <c r="I120" s="284"/>
      <c r="J120" s="285" t="s">
        <v>1499</v>
      </c>
      <c r="K120" s="285"/>
      <c r="L120" s="285"/>
      <c r="M120" s="146">
        <v>588.08000000000004</v>
      </c>
      <c r="N120" s="97">
        <f t="shared" si="13"/>
        <v>0</v>
      </c>
      <c r="O120" s="153">
        <f t="shared" si="15"/>
        <v>0</v>
      </c>
    </row>
    <row r="121" spans="1:15" hidden="1" outlineLevel="1">
      <c r="A121" s="281"/>
      <c r="B121" s="142" t="s">
        <v>1496</v>
      </c>
      <c r="C121" s="142" t="s">
        <v>592</v>
      </c>
      <c r="D121" s="142">
        <v>2.4375</v>
      </c>
      <c r="E121" s="286">
        <v>0.5</v>
      </c>
      <c r="F121" s="142" t="s">
        <v>1436</v>
      </c>
      <c r="G121" s="284" t="str">
        <f t="shared" si="14"/>
        <v>14X20MES2.43750.5DGL</v>
      </c>
      <c r="H121" s="284"/>
      <c r="I121" s="284"/>
      <c r="J121" s="285" t="s">
        <v>1500</v>
      </c>
      <c r="K121" s="285"/>
      <c r="L121" s="285"/>
      <c r="M121" s="146">
        <v>718.08</v>
      </c>
      <c r="N121" s="97">
        <f t="shared" si="13"/>
        <v>0</v>
      </c>
      <c r="O121" s="153">
        <f t="shared" si="15"/>
        <v>0</v>
      </c>
    </row>
    <row r="122" spans="1:15" hidden="1" outlineLevel="1">
      <c r="A122" s="281"/>
      <c r="B122" s="142" t="s">
        <v>1496</v>
      </c>
      <c r="C122" s="142" t="s">
        <v>592</v>
      </c>
      <c r="D122" s="142">
        <v>2.4375</v>
      </c>
      <c r="E122" s="286">
        <v>0.5</v>
      </c>
      <c r="F122" s="142" t="s">
        <v>598</v>
      </c>
      <c r="G122" s="284" t="str">
        <f t="shared" si="14"/>
        <v>14X20MES2.43750.5HBL</v>
      </c>
      <c r="H122" s="284"/>
      <c r="I122" s="284"/>
      <c r="J122" s="285" t="s">
        <v>1501</v>
      </c>
      <c r="K122" s="285"/>
      <c r="L122" s="285"/>
      <c r="M122" s="146">
        <v>628.45000000000005</v>
      </c>
      <c r="N122" s="97">
        <f t="shared" si="13"/>
        <v>0</v>
      </c>
      <c r="O122" s="153">
        <f t="shared" si="15"/>
        <v>0</v>
      </c>
    </row>
    <row r="123" spans="1:15" hidden="1" outlineLevel="1">
      <c r="A123" s="281"/>
      <c r="B123" s="142" t="s">
        <v>1496</v>
      </c>
      <c r="C123" s="142" t="s">
        <v>592</v>
      </c>
      <c r="D123" s="142">
        <v>2.9375</v>
      </c>
      <c r="E123" s="286" t="s">
        <v>1011</v>
      </c>
      <c r="F123" s="142" t="s">
        <v>1011</v>
      </c>
      <c r="G123" s="284" t="str">
        <f t="shared" si="14"/>
        <v>14X20MES2.9375N/AN/A</v>
      </c>
      <c r="H123" s="284"/>
      <c r="I123" s="284"/>
      <c r="J123" s="285" t="s">
        <v>1502</v>
      </c>
      <c r="K123" s="285"/>
      <c r="L123" s="285"/>
      <c r="M123" s="146">
        <v>321.45</v>
      </c>
      <c r="N123" s="97">
        <f t="shared" si="13"/>
        <v>0</v>
      </c>
      <c r="O123" s="153">
        <f t="shared" si="15"/>
        <v>0</v>
      </c>
    </row>
    <row r="124" spans="1:15" hidden="1" outlineLevel="1">
      <c r="A124" s="281"/>
      <c r="B124" s="142" t="s">
        <v>1496</v>
      </c>
      <c r="C124" s="142" t="s">
        <v>592</v>
      </c>
      <c r="D124" s="142">
        <v>2.9375</v>
      </c>
      <c r="E124" s="286">
        <v>0.375</v>
      </c>
      <c r="F124" s="142" t="s">
        <v>1436</v>
      </c>
      <c r="G124" s="284" t="str">
        <f t="shared" si="14"/>
        <v>14X20MES2.93750.375DGL</v>
      </c>
      <c r="H124" s="284"/>
      <c r="I124" s="284"/>
      <c r="J124" s="285" t="s">
        <v>1503</v>
      </c>
      <c r="K124" s="285"/>
      <c r="L124" s="285"/>
      <c r="M124" s="146">
        <v>705.36</v>
      </c>
      <c r="N124" s="97">
        <f t="shared" si="13"/>
        <v>0</v>
      </c>
      <c r="O124" s="153">
        <f t="shared" si="15"/>
        <v>0</v>
      </c>
    </row>
    <row r="125" spans="1:15" hidden="1" outlineLevel="1">
      <c r="A125" s="281"/>
      <c r="B125" s="142" t="s">
        <v>1496</v>
      </c>
      <c r="C125" s="142" t="s">
        <v>592</v>
      </c>
      <c r="D125" s="142">
        <v>2.9375</v>
      </c>
      <c r="E125" s="286">
        <v>0.375</v>
      </c>
      <c r="F125" s="142" t="s">
        <v>598</v>
      </c>
      <c r="G125" s="284" t="str">
        <f t="shared" si="14"/>
        <v>14X20MES2.93750.375HBL</v>
      </c>
      <c r="H125" s="284"/>
      <c r="I125" s="284"/>
      <c r="J125" s="285" t="s">
        <v>1504</v>
      </c>
      <c r="K125" s="285"/>
      <c r="L125" s="285"/>
      <c r="M125" s="146">
        <v>615.73</v>
      </c>
      <c r="N125" s="97">
        <f t="shared" si="13"/>
        <v>0</v>
      </c>
      <c r="O125" s="153">
        <f t="shared" si="15"/>
        <v>0</v>
      </c>
    </row>
    <row r="126" spans="1:15" hidden="1" outlineLevel="1">
      <c r="A126" s="281"/>
      <c r="B126" s="142" t="s">
        <v>1496</v>
      </c>
      <c r="C126" s="142" t="s">
        <v>592</v>
      </c>
      <c r="D126" s="142">
        <v>2.9375</v>
      </c>
      <c r="E126" s="286">
        <v>0.5</v>
      </c>
      <c r="F126" s="142" t="s">
        <v>1436</v>
      </c>
      <c r="G126" s="284" t="str">
        <f t="shared" si="14"/>
        <v>14X20MES2.93750.5DGL</v>
      </c>
      <c r="H126" s="284"/>
      <c r="I126" s="284"/>
      <c r="J126" s="285" t="s">
        <v>1505</v>
      </c>
      <c r="K126" s="285"/>
      <c r="L126" s="285"/>
      <c r="M126" s="146">
        <v>745.73</v>
      </c>
      <c r="N126" s="97">
        <f t="shared" si="13"/>
        <v>0</v>
      </c>
      <c r="O126" s="153">
        <f t="shared" si="15"/>
        <v>0</v>
      </c>
    </row>
    <row r="127" spans="1:15" hidden="1" outlineLevel="1">
      <c r="A127" s="281"/>
      <c r="B127" s="142" t="s">
        <v>1496</v>
      </c>
      <c r="C127" s="142" t="s">
        <v>592</v>
      </c>
      <c r="D127" s="142">
        <v>2.9375</v>
      </c>
      <c r="E127" s="286">
        <v>0.5</v>
      </c>
      <c r="F127" s="142" t="s">
        <v>598</v>
      </c>
      <c r="G127" s="284" t="str">
        <f t="shared" si="14"/>
        <v>14X20MES2.93750.5HBL</v>
      </c>
      <c r="H127" s="284"/>
      <c r="I127" s="284"/>
      <c r="J127" s="285" t="s">
        <v>1506</v>
      </c>
      <c r="K127" s="285"/>
      <c r="L127" s="285"/>
      <c r="M127" s="146">
        <v>656.09</v>
      </c>
      <c r="N127" s="97">
        <f t="shared" ref="N127:N190" si="16">IF(AND(G127=HP_PN,G127=TP_PN),2,IF(G127=HP_PN,1,IF(G127=TP_PN,1,0)))</f>
        <v>0</v>
      </c>
      <c r="O127" s="153">
        <f t="shared" si="15"/>
        <v>0</v>
      </c>
    </row>
    <row r="128" spans="1:15" hidden="1" outlineLevel="1">
      <c r="A128" s="281"/>
      <c r="B128" s="142" t="s">
        <v>1507</v>
      </c>
      <c r="C128" s="142" t="s">
        <v>592</v>
      </c>
      <c r="D128" s="142">
        <v>2.4375</v>
      </c>
      <c r="E128" s="286" t="s">
        <v>1011</v>
      </c>
      <c r="F128" s="142" t="s">
        <v>1011</v>
      </c>
      <c r="G128" s="284" t="str">
        <f t="shared" ref="G128:G191" si="17">B128&amp;C128&amp;D128&amp;E128&amp;F128</f>
        <v>14X26MES2.4375N/AN/A</v>
      </c>
      <c r="H128" s="284"/>
      <c r="I128" s="284"/>
      <c r="J128" s="285" t="s">
        <v>1508</v>
      </c>
      <c r="K128" s="285"/>
      <c r="L128" s="285"/>
      <c r="M128" s="146">
        <v>346.68</v>
      </c>
      <c r="N128" s="97">
        <f t="shared" si="16"/>
        <v>0</v>
      </c>
      <c r="O128" s="153">
        <f t="shared" si="15"/>
        <v>0</v>
      </c>
    </row>
    <row r="129" spans="1:15" hidden="1" outlineLevel="1">
      <c r="A129" s="281"/>
      <c r="B129" s="142" t="s">
        <v>1507</v>
      </c>
      <c r="C129" s="142" t="s">
        <v>592</v>
      </c>
      <c r="D129" s="142">
        <v>2.4375</v>
      </c>
      <c r="E129" s="286">
        <v>0.375</v>
      </c>
      <c r="F129" s="142" t="s">
        <v>1436</v>
      </c>
      <c r="G129" s="284" t="str">
        <f t="shared" si="17"/>
        <v>14X26MES2.43750.375DGL</v>
      </c>
      <c r="H129" s="284"/>
      <c r="I129" s="284"/>
      <c r="J129" s="285" t="s">
        <v>1509</v>
      </c>
      <c r="K129" s="285"/>
      <c r="L129" s="285"/>
      <c r="M129" s="146">
        <v>756.59</v>
      </c>
      <c r="N129" s="97">
        <f t="shared" si="16"/>
        <v>0</v>
      </c>
      <c r="O129" s="153">
        <f t="shared" si="15"/>
        <v>0</v>
      </c>
    </row>
    <row r="130" spans="1:15" hidden="1" outlineLevel="1">
      <c r="A130" s="281"/>
      <c r="B130" s="142" t="s">
        <v>1507</v>
      </c>
      <c r="C130" s="142" t="s">
        <v>592</v>
      </c>
      <c r="D130" s="142">
        <v>2.4375</v>
      </c>
      <c r="E130" s="286">
        <v>0.375</v>
      </c>
      <c r="F130" s="142" t="s">
        <v>598</v>
      </c>
      <c r="G130" s="284" t="str">
        <f t="shared" si="17"/>
        <v>14X26MES2.43750.375HBL</v>
      </c>
      <c r="H130" s="284"/>
      <c r="I130" s="284"/>
      <c r="J130" s="285" t="s">
        <v>1510</v>
      </c>
      <c r="K130" s="285"/>
      <c r="L130" s="285"/>
      <c r="M130" s="146">
        <v>666.95</v>
      </c>
      <c r="N130" s="97">
        <f t="shared" si="16"/>
        <v>0</v>
      </c>
      <c r="O130" s="153">
        <f t="shared" si="15"/>
        <v>0</v>
      </c>
    </row>
    <row r="131" spans="1:15" hidden="1" outlineLevel="1">
      <c r="A131" s="281"/>
      <c r="B131" s="142" t="s">
        <v>1507</v>
      </c>
      <c r="C131" s="142" t="s">
        <v>592</v>
      </c>
      <c r="D131" s="142">
        <v>2.4375</v>
      </c>
      <c r="E131" s="286">
        <v>0.5</v>
      </c>
      <c r="F131" s="142" t="s">
        <v>1436</v>
      </c>
      <c r="G131" s="284" t="str">
        <f t="shared" si="17"/>
        <v>14X26MES2.43750.5DGL</v>
      </c>
      <c r="H131" s="284"/>
      <c r="I131" s="284"/>
      <c r="J131" s="285" t="s">
        <v>1511</v>
      </c>
      <c r="K131" s="285"/>
      <c r="L131" s="285"/>
      <c r="M131" s="146">
        <v>809.07</v>
      </c>
      <c r="N131" s="97">
        <f t="shared" si="16"/>
        <v>0</v>
      </c>
      <c r="O131" s="153">
        <f t="shared" si="15"/>
        <v>0</v>
      </c>
    </row>
    <row r="132" spans="1:15" hidden="1" outlineLevel="1">
      <c r="A132" s="281"/>
      <c r="B132" s="142" t="s">
        <v>1507</v>
      </c>
      <c r="C132" s="142" t="s">
        <v>592</v>
      </c>
      <c r="D132" s="142">
        <v>2.4375</v>
      </c>
      <c r="E132" s="286">
        <v>0.5</v>
      </c>
      <c r="F132" s="142" t="s">
        <v>598</v>
      </c>
      <c r="G132" s="284" t="str">
        <f t="shared" si="17"/>
        <v>14X26MES2.43750.5HBL</v>
      </c>
      <c r="H132" s="284"/>
      <c r="I132" s="284"/>
      <c r="J132" s="285" t="s">
        <v>1512</v>
      </c>
      <c r="K132" s="285"/>
      <c r="L132" s="285"/>
      <c r="M132" s="146">
        <v>719.44</v>
      </c>
      <c r="N132" s="97">
        <f t="shared" si="16"/>
        <v>0</v>
      </c>
      <c r="O132" s="153">
        <f t="shared" si="15"/>
        <v>0</v>
      </c>
    </row>
    <row r="133" spans="1:15" hidden="1" outlineLevel="1">
      <c r="A133" s="281"/>
      <c r="B133" s="142" t="s">
        <v>1507</v>
      </c>
      <c r="C133" s="142" t="s">
        <v>592</v>
      </c>
      <c r="D133" s="142">
        <v>2.9375</v>
      </c>
      <c r="E133" s="286" t="s">
        <v>1011</v>
      </c>
      <c r="F133" s="142" t="s">
        <v>1011</v>
      </c>
      <c r="G133" s="284" t="str">
        <f t="shared" si="17"/>
        <v>14X26MES2.9375N/AN/A</v>
      </c>
      <c r="H133" s="284"/>
      <c r="I133" s="284"/>
      <c r="J133" s="285" t="s">
        <v>1513</v>
      </c>
      <c r="K133" s="285"/>
      <c r="L133" s="285"/>
      <c r="M133" s="146">
        <v>346.61</v>
      </c>
      <c r="N133" s="97">
        <f t="shared" si="16"/>
        <v>0</v>
      </c>
      <c r="O133" s="153">
        <f t="shared" si="15"/>
        <v>0</v>
      </c>
    </row>
    <row r="134" spans="1:15" hidden="1" outlineLevel="1">
      <c r="A134" s="281"/>
      <c r="B134" s="142" t="s">
        <v>1507</v>
      </c>
      <c r="C134" s="142" t="s">
        <v>592</v>
      </c>
      <c r="D134" s="142">
        <v>2.9375</v>
      </c>
      <c r="E134" s="286">
        <v>0.375</v>
      </c>
      <c r="F134" s="142" t="s">
        <v>1436</v>
      </c>
      <c r="G134" s="284" t="str">
        <f t="shared" si="17"/>
        <v>14X26MES2.93750.375DGL</v>
      </c>
      <c r="H134" s="284"/>
      <c r="I134" s="284"/>
      <c r="J134" s="285" t="s">
        <v>1514</v>
      </c>
      <c r="K134" s="285"/>
      <c r="L134" s="285"/>
      <c r="M134" s="146">
        <v>704.63</v>
      </c>
      <c r="N134" s="97">
        <f t="shared" si="16"/>
        <v>0</v>
      </c>
      <c r="O134" s="153">
        <f t="shared" si="15"/>
        <v>0</v>
      </c>
    </row>
    <row r="135" spans="1:15" hidden="1" outlineLevel="1">
      <c r="A135" s="281"/>
      <c r="B135" s="142" t="s">
        <v>1507</v>
      </c>
      <c r="C135" s="142" t="s">
        <v>592</v>
      </c>
      <c r="D135" s="142">
        <v>2.9375</v>
      </c>
      <c r="E135" s="286">
        <v>0.375</v>
      </c>
      <c r="F135" s="142" t="s">
        <v>598</v>
      </c>
      <c r="G135" s="284" t="str">
        <f t="shared" si="17"/>
        <v>14X26MES2.93750.375HBL</v>
      </c>
      <c r="H135" s="284"/>
      <c r="I135" s="284"/>
      <c r="J135" s="285" t="s">
        <v>1515</v>
      </c>
      <c r="K135" s="285"/>
      <c r="L135" s="285"/>
      <c r="M135" s="146">
        <v>695.09</v>
      </c>
      <c r="N135" s="97">
        <f t="shared" si="16"/>
        <v>0</v>
      </c>
      <c r="O135" s="153">
        <f t="shared" si="15"/>
        <v>0</v>
      </c>
    </row>
    <row r="136" spans="1:15" hidden="1" outlineLevel="1">
      <c r="A136" s="281"/>
      <c r="B136" s="142" t="s">
        <v>1507</v>
      </c>
      <c r="C136" s="142" t="s">
        <v>592</v>
      </c>
      <c r="D136" s="142">
        <v>2.9375</v>
      </c>
      <c r="E136" s="286">
        <v>0.5</v>
      </c>
      <c r="F136" s="142" t="s">
        <v>1436</v>
      </c>
      <c r="G136" s="284" t="str">
        <f t="shared" si="17"/>
        <v>14X26MES2.93750.5DGL</v>
      </c>
      <c r="H136" s="284"/>
      <c r="I136" s="284"/>
      <c r="J136" s="285" t="s">
        <v>1516</v>
      </c>
      <c r="K136" s="285"/>
      <c r="L136" s="285"/>
      <c r="M136" s="146">
        <v>837.2</v>
      </c>
      <c r="N136" s="97">
        <f t="shared" si="16"/>
        <v>0</v>
      </c>
      <c r="O136" s="153">
        <f t="shared" si="15"/>
        <v>0</v>
      </c>
    </row>
    <row r="137" spans="1:15" hidden="1" outlineLevel="1">
      <c r="A137" s="281"/>
      <c r="B137" s="142" t="s">
        <v>1507</v>
      </c>
      <c r="C137" s="142" t="s">
        <v>592</v>
      </c>
      <c r="D137" s="142">
        <v>2.9375</v>
      </c>
      <c r="E137" s="286">
        <v>0.5</v>
      </c>
      <c r="F137" s="142" t="s">
        <v>598</v>
      </c>
      <c r="G137" s="284" t="str">
        <f t="shared" si="17"/>
        <v>14X26MES2.93750.5HBL</v>
      </c>
      <c r="H137" s="284"/>
      <c r="I137" s="284"/>
      <c r="J137" s="285" t="s">
        <v>1517</v>
      </c>
      <c r="K137" s="285"/>
      <c r="L137" s="285"/>
      <c r="M137" s="146">
        <v>747.57</v>
      </c>
      <c r="N137" s="97">
        <f t="shared" si="16"/>
        <v>0</v>
      </c>
      <c r="O137" s="153">
        <f t="shared" si="15"/>
        <v>0</v>
      </c>
    </row>
    <row r="138" spans="1:15" hidden="1" outlineLevel="1">
      <c r="A138" s="281"/>
      <c r="B138" s="142" t="s">
        <v>1507</v>
      </c>
      <c r="C138" s="142" t="s">
        <v>592</v>
      </c>
      <c r="D138" s="142">
        <v>3.4375</v>
      </c>
      <c r="E138" s="286">
        <v>0.375</v>
      </c>
      <c r="F138" s="142" t="s">
        <v>1436</v>
      </c>
      <c r="G138" s="284" t="str">
        <f t="shared" si="17"/>
        <v>14X26MES3.43750.375DGL</v>
      </c>
      <c r="H138" s="284"/>
      <c r="I138" s="284"/>
      <c r="J138" s="285" t="s">
        <v>1518</v>
      </c>
      <c r="K138" s="285"/>
      <c r="L138" s="285"/>
      <c r="M138" s="146">
        <v>765.46</v>
      </c>
      <c r="N138" s="97">
        <f t="shared" si="16"/>
        <v>0</v>
      </c>
      <c r="O138" s="153">
        <f t="shared" si="15"/>
        <v>0</v>
      </c>
    </row>
    <row r="139" spans="1:15" hidden="1" outlineLevel="1">
      <c r="A139" s="281"/>
      <c r="B139" s="142" t="s">
        <v>1519</v>
      </c>
      <c r="C139" s="142" t="s">
        <v>592</v>
      </c>
      <c r="D139" s="142">
        <v>2.4375</v>
      </c>
      <c r="E139" s="286" t="s">
        <v>1011</v>
      </c>
      <c r="F139" s="142" t="s">
        <v>1011</v>
      </c>
      <c r="G139" s="284" t="str">
        <f t="shared" si="17"/>
        <v>14X32MES2.4375N/AN/A</v>
      </c>
      <c r="H139" s="284"/>
      <c r="I139" s="284"/>
      <c r="J139" s="285" t="s">
        <v>1520</v>
      </c>
      <c r="K139" s="285"/>
      <c r="L139" s="285"/>
      <c r="M139" s="146">
        <v>384.47</v>
      </c>
      <c r="N139" s="97">
        <f t="shared" si="16"/>
        <v>0</v>
      </c>
      <c r="O139" s="153">
        <f t="shared" si="15"/>
        <v>0</v>
      </c>
    </row>
    <row r="140" spans="1:15" hidden="1" outlineLevel="1">
      <c r="A140" s="281"/>
      <c r="B140" s="142" t="s">
        <v>1519</v>
      </c>
      <c r="C140" s="142" t="s">
        <v>592</v>
      </c>
      <c r="D140" s="142">
        <v>2.4375</v>
      </c>
      <c r="E140" s="286">
        <v>0.375</v>
      </c>
      <c r="F140" s="142" t="s">
        <v>1436</v>
      </c>
      <c r="G140" s="284" t="str">
        <f t="shared" si="17"/>
        <v>14X32MES2.43750.375DGL</v>
      </c>
      <c r="H140" s="284"/>
      <c r="I140" s="284"/>
      <c r="J140" s="285" t="s">
        <v>1521</v>
      </c>
      <c r="K140" s="285"/>
      <c r="L140" s="285"/>
      <c r="M140" s="146">
        <v>836.69</v>
      </c>
      <c r="N140" s="97">
        <f t="shared" si="16"/>
        <v>0</v>
      </c>
      <c r="O140" s="153">
        <f t="shared" si="15"/>
        <v>0</v>
      </c>
    </row>
    <row r="141" spans="1:15" hidden="1" outlineLevel="1">
      <c r="A141" s="281"/>
      <c r="B141" s="142" t="s">
        <v>1519</v>
      </c>
      <c r="C141" s="142" t="s">
        <v>592</v>
      </c>
      <c r="D141" s="142">
        <v>2.4375</v>
      </c>
      <c r="E141" s="286">
        <v>0.375</v>
      </c>
      <c r="F141" s="142" t="s">
        <v>598</v>
      </c>
      <c r="G141" s="284" t="str">
        <f t="shared" si="17"/>
        <v>14X32MES2.43750.375HBL</v>
      </c>
      <c r="H141" s="284"/>
      <c r="I141" s="284"/>
      <c r="J141" s="285" t="s">
        <v>1522</v>
      </c>
      <c r="K141" s="285"/>
      <c r="L141" s="285"/>
      <c r="M141" s="146">
        <v>747.05</v>
      </c>
      <c r="N141" s="97">
        <f t="shared" si="16"/>
        <v>0</v>
      </c>
      <c r="O141" s="153">
        <f t="shared" si="15"/>
        <v>0</v>
      </c>
    </row>
    <row r="142" spans="1:15" hidden="1" outlineLevel="1">
      <c r="A142" s="281"/>
      <c r="B142" s="142" t="s">
        <v>1519</v>
      </c>
      <c r="C142" s="142" t="s">
        <v>592</v>
      </c>
      <c r="D142" s="142">
        <v>2.4375</v>
      </c>
      <c r="E142" s="286">
        <v>0.5</v>
      </c>
      <c r="F142" s="142" t="s">
        <v>1436</v>
      </c>
      <c r="G142" s="284" t="str">
        <f t="shared" si="17"/>
        <v>14X32MES2.43750.5DGL</v>
      </c>
      <c r="H142" s="284"/>
      <c r="I142" s="284"/>
      <c r="J142" s="285" t="s">
        <v>1523</v>
      </c>
      <c r="K142" s="285"/>
      <c r="L142" s="285"/>
      <c r="M142" s="146">
        <v>901.29</v>
      </c>
      <c r="N142" s="97">
        <f t="shared" si="16"/>
        <v>0</v>
      </c>
      <c r="O142" s="153">
        <f t="shared" si="15"/>
        <v>0</v>
      </c>
    </row>
    <row r="143" spans="1:15" hidden="1" outlineLevel="1">
      <c r="A143" s="281"/>
      <c r="B143" s="142" t="s">
        <v>1519</v>
      </c>
      <c r="C143" s="142" t="s">
        <v>592</v>
      </c>
      <c r="D143" s="142">
        <v>2.4375</v>
      </c>
      <c r="E143" s="286">
        <v>0.5</v>
      </c>
      <c r="F143" s="142" t="s">
        <v>598</v>
      </c>
      <c r="G143" s="284" t="str">
        <f t="shared" si="17"/>
        <v>14X32MES2.43750.5HBL</v>
      </c>
      <c r="H143" s="284"/>
      <c r="I143" s="284"/>
      <c r="J143" s="285" t="s">
        <v>1524</v>
      </c>
      <c r="K143" s="285"/>
      <c r="L143" s="285"/>
      <c r="M143" s="146">
        <v>811.64</v>
      </c>
      <c r="N143" s="97">
        <f t="shared" si="16"/>
        <v>0</v>
      </c>
      <c r="O143" s="153">
        <f t="shared" si="15"/>
        <v>0</v>
      </c>
    </row>
    <row r="144" spans="1:15" hidden="1" outlineLevel="1">
      <c r="A144" s="281"/>
      <c r="B144" s="142" t="s">
        <v>1519</v>
      </c>
      <c r="C144" s="142" t="s">
        <v>592</v>
      </c>
      <c r="D144" s="142">
        <v>2.9375</v>
      </c>
      <c r="E144" s="286" t="s">
        <v>1011</v>
      </c>
      <c r="F144" s="142" t="s">
        <v>1011</v>
      </c>
      <c r="G144" s="284" t="str">
        <f t="shared" si="17"/>
        <v>14X32MES2.9375N/AN/A</v>
      </c>
      <c r="H144" s="284"/>
      <c r="I144" s="284"/>
      <c r="J144" s="285" t="s">
        <v>1525</v>
      </c>
      <c r="K144" s="285"/>
      <c r="L144" s="285"/>
      <c r="M144" s="146">
        <v>348.47</v>
      </c>
      <c r="N144" s="97">
        <f t="shared" si="16"/>
        <v>0</v>
      </c>
      <c r="O144" s="153">
        <f t="shared" si="15"/>
        <v>0</v>
      </c>
    </row>
    <row r="145" spans="1:15" hidden="1" outlineLevel="1">
      <c r="A145" s="281"/>
      <c r="B145" s="142" t="s">
        <v>1519</v>
      </c>
      <c r="C145" s="142" t="s">
        <v>592</v>
      </c>
      <c r="D145" s="142">
        <v>2.9375</v>
      </c>
      <c r="E145" s="286">
        <v>0.375</v>
      </c>
      <c r="F145" s="142" t="s">
        <v>1436</v>
      </c>
      <c r="G145" s="284" t="str">
        <f t="shared" si="17"/>
        <v>14X32MES2.93750.375DGL</v>
      </c>
      <c r="H145" s="284"/>
      <c r="I145" s="284"/>
      <c r="J145" s="285" t="s">
        <v>1526</v>
      </c>
      <c r="K145" s="285"/>
      <c r="L145" s="285"/>
      <c r="M145" s="146">
        <v>781.67</v>
      </c>
      <c r="N145" s="97">
        <f t="shared" si="16"/>
        <v>0</v>
      </c>
      <c r="O145" s="153">
        <f t="shared" si="15"/>
        <v>0</v>
      </c>
    </row>
    <row r="146" spans="1:15" hidden="1" outlineLevel="1">
      <c r="A146" s="281"/>
      <c r="B146" s="142" t="s">
        <v>1519</v>
      </c>
      <c r="C146" s="142" t="s">
        <v>592</v>
      </c>
      <c r="D146" s="142">
        <v>2.9375</v>
      </c>
      <c r="E146" s="286">
        <v>0.375</v>
      </c>
      <c r="F146" s="142" t="s">
        <v>598</v>
      </c>
      <c r="G146" s="284" t="str">
        <f t="shared" si="17"/>
        <v>14X32MES2.93750.375HBL</v>
      </c>
      <c r="H146" s="284"/>
      <c r="I146" s="284"/>
      <c r="J146" s="285" t="s">
        <v>1527</v>
      </c>
      <c r="K146" s="285"/>
      <c r="L146" s="285"/>
      <c r="M146" s="146">
        <v>780.89</v>
      </c>
      <c r="N146" s="97">
        <f t="shared" si="16"/>
        <v>0</v>
      </c>
      <c r="O146" s="153">
        <f t="shared" si="15"/>
        <v>0</v>
      </c>
    </row>
    <row r="147" spans="1:15" hidden="1" outlineLevel="1">
      <c r="A147" s="281"/>
      <c r="B147" s="142" t="s">
        <v>1519</v>
      </c>
      <c r="C147" s="142" t="s">
        <v>592</v>
      </c>
      <c r="D147" s="142">
        <v>2.9375</v>
      </c>
      <c r="E147" s="286">
        <v>0.5</v>
      </c>
      <c r="F147" s="142" t="s">
        <v>1436</v>
      </c>
      <c r="G147" s="284" t="str">
        <f t="shared" si="17"/>
        <v>14X32MES2.93750.5DGL</v>
      </c>
      <c r="H147" s="284"/>
      <c r="I147" s="284"/>
      <c r="J147" s="285" t="s">
        <v>1528</v>
      </c>
      <c r="K147" s="285"/>
      <c r="L147" s="285"/>
      <c r="M147" s="146">
        <v>935.11</v>
      </c>
      <c r="N147" s="97">
        <f t="shared" si="16"/>
        <v>0</v>
      </c>
      <c r="O147" s="153">
        <f t="shared" si="15"/>
        <v>0</v>
      </c>
    </row>
    <row r="148" spans="1:15" hidden="1" outlineLevel="1">
      <c r="A148" s="281"/>
      <c r="B148" s="142" t="s">
        <v>1519</v>
      </c>
      <c r="C148" s="142" t="s">
        <v>592</v>
      </c>
      <c r="D148" s="142">
        <v>2.9375</v>
      </c>
      <c r="E148" s="286">
        <v>0.5</v>
      </c>
      <c r="F148" s="142" t="s">
        <v>598</v>
      </c>
      <c r="G148" s="284" t="str">
        <f t="shared" si="17"/>
        <v>14X32MES2.93750.5HBL</v>
      </c>
      <c r="H148" s="284"/>
      <c r="I148" s="284"/>
      <c r="J148" s="285" t="s">
        <v>1529</v>
      </c>
      <c r="K148" s="285"/>
      <c r="L148" s="285"/>
      <c r="M148" s="146">
        <v>845.48</v>
      </c>
      <c r="N148" s="97">
        <f t="shared" si="16"/>
        <v>0</v>
      </c>
      <c r="O148" s="153">
        <f t="shared" si="15"/>
        <v>0</v>
      </c>
    </row>
    <row r="149" spans="1:15" hidden="1" outlineLevel="1">
      <c r="A149" s="281"/>
      <c r="B149" s="142" t="s">
        <v>1519</v>
      </c>
      <c r="C149" s="142" t="s">
        <v>592</v>
      </c>
      <c r="D149" s="142">
        <v>3.4375</v>
      </c>
      <c r="E149" s="286">
        <v>0.375</v>
      </c>
      <c r="F149" s="142" t="s">
        <v>1436</v>
      </c>
      <c r="G149" s="284" t="str">
        <f t="shared" si="17"/>
        <v>14X32MES3.43750.375DGL</v>
      </c>
      <c r="H149" s="284"/>
      <c r="I149" s="284"/>
      <c r="J149" s="285" t="s">
        <v>1530</v>
      </c>
      <c r="K149" s="285"/>
      <c r="L149" s="285"/>
      <c r="M149" s="146">
        <v>856.52</v>
      </c>
      <c r="N149" s="97">
        <f t="shared" si="16"/>
        <v>0</v>
      </c>
      <c r="O149" s="153">
        <f t="shared" si="15"/>
        <v>0</v>
      </c>
    </row>
    <row r="150" spans="1:15" hidden="1" outlineLevel="1">
      <c r="A150" s="281"/>
      <c r="B150" s="142" t="s">
        <v>1531</v>
      </c>
      <c r="C150" s="142" t="s">
        <v>592</v>
      </c>
      <c r="D150" s="142">
        <v>2.4375</v>
      </c>
      <c r="E150" s="286" t="s">
        <v>1011</v>
      </c>
      <c r="F150" s="142" t="s">
        <v>1011</v>
      </c>
      <c r="G150" s="284" t="str">
        <f t="shared" si="17"/>
        <v>14X38MES2.4375N/AN/A</v>
      </c>
      <c r="H150" s="284"/>
      <c r="I150" s="284"/>
      <c r="J150" s="285" t="s">
        <v>1532</v>
      </c>
      <c r="K150" s="285"/>
      <c r="L150" s="285"/>
      <c r="M150" s="146">
        <v>409.62</v>
      </c>
      <c r="N150" s="97">
        <f t="shared" si="16"/>
        <v>0</v>
      </c>
      <c r="O150" s="153">
        <f t="shared" si="15"/>
        <v>0</v>
      </c>
    </row>
    <row r="151" spans="1:15" hidden="1" outlineLevel="1">
      <c r="A151" s="281"/>
      <c r="B151" s="142" t="s">
        <v>1531</v>
      </c>
      <c r="C151" s="142" t="s">
        <v>592</v>
      </c>
      <c r="D151" s="142">
        <v>2.4375</v>
      </c>
      <c r="E151" s="286">
        <v>0.375</v>
      </c>
      <c r="F151" s="142" t="s">
        <v>1436</v>
      </c>
      <c r="G151" s="284" t="str">
        <f t="shared" si="17"/>
        <v>14X38MES2.43750.375DGL</v>
      </c>
      <c r="H151" s="284"/>
      <c r="I151" s="284"/>
      <c r="J151" s="285" t="s">
        <v>1533</v>
      </c>
      <c r="K151" s="285"/>
      <c r="L151" s="285"/>
      <c r="M151" s="146">
        <v>940.16</v>
      </c>
      <c r="N151" s="97">
        <f t="shared" si="16"/>
        <v>0</v>
      </c>
      <c r="O151" s="153">
        <f t="shared" si="15"/>
        <v>0</v>
      </c>
    </row>
    <row r="152" spans="1:15" hidden="1" outlineLevel="1">
      <c r="A152" s="281"/>
      <c r="B152" s="142" t="s">
        <v>1531</v>
      </c>
      <c r="C152" s="142" t="s">
        <v>592</v>
      </c>
      <c r="D152" s="142">
        <v>2.4375</v>
      </c>
      <c r="E152" s="286">
        <v>0.375</v>
      </c>
      <c r="F152" s="142" t="s">
        <v>598</v>
      </c>
      <c r="G152" s="284" t="str">
        <f t="shared" si="17"/>
        <v>14X38MES2.43750.375HBL</v>
      </c>
      <c r="H152" s="284"/>
      <c r="I152" s="284"/>
      <c r="J152" s="285" t="s">
        <v>1534</v>
      </c>
      <c r="K152" s="285"/>
      <c r="L152" s="285"/>
      <c r="M152" s="146">
        <v>850.53</v>
      </c>
      <c r="N152" s="97">
        <f t="shared" si="16"/>
        <v>0</v>
      </c>
      <c r="O152" s="153">
        <f t="shared" si="15"/>
        <v>0</v>
      </c>
    </row>
    <row r="153" spans="1:15" hidden="1" outlineLevel="1">
      <c r="A153" s="281"/>
      <c r="B153" s="142" t="s">
        <v>1531</v>
      </c>
      <c r="C153" s="142" t="s">
        <v>592</v>
      </c>
      <c r="D153" s="142">
        <v>2.4375</v>
      </c>
      <c r="E153" s="286">
        <v>0.5</v>
      </c>
      <c r="F153" s="142" t="s">
        <v>1436</v>
      </c>
      <c r="G153" s="284" t="str">
        <f t="shared" si="17"/>
        <v>14X38MES2.43750.5DGL</v>
      </c>
      <c r="H153" s="284"/>
      <c r="I153" s="284"/>
      <c r="J153" s="285" t="s">
        <v>1535</v>
      </c>
      <c r="K153" s="285"/>
      <c r="L153" s="285"/>
      <c r="M153" s="146">
        <v>1016.86</v>
      </c>
      <c r="N153" s="97">
        <f t="shared" si="16"/>
        <v>0</v>
      </c>
      <c r="O153" s="153">
        <f t="shared" si="15"/>
        <v>0</v>
      </c>
    </row>
    <row r="154" spans="1:15" hidden="1" outlineLevel="1">
      <c r="A154" s="281"/>
      <c r="B154" s="142" t="s">
        <v>1531</v>
      </c>
      <c r="C154" s="142" t="s">
        <v>592</v>
      </c>
      <c r="D154" s="142">
        <v>2.4375</v>
      </c>
      <c r="E154" s="286">
        <v>0.5</v>
      </c>
      <c r="F154" s="142" t="s">
        <v>598</v>
      </c>
      <c r="G154" s="284" t="str">
        <f t="shared" si="17"/>
        <v>14X38MES2.43750.5HBL</v>
      </c>
      <c r="H154" s="284"/>
      <c r="I154" s="284"/>
      <c r="J154" s="285" t="s">
        <v>1536</v>
      </c>
      <c r="K154" s="285"/>
      <c r="L154" s="285"/>
      <c r="M154" s="146">
        <v>927.23</v>
      </c>
      <c r="N154" s="97">
        <f t="shared" si="16"/>
        <v>0</v>
      </c>
      <c r="O154" s="153">
        <f t="shared" si="15"/>
        <v>0</v>
      </c>
    </row>
    <row r="155" spans="1:15" hidden="1" outlineLevel="1">
      <c r="A155" s="281"/>
      <c r="B155" s="142" t="s">
        <v>1531</v>
      </c>
      <c r="C155" s="142" t="s">
        <v>592</v>
      </c>
      <c r="D155" s="142">
        <v>2.9375</v>
      </c>
      <c r="E155" s="286" t="s">
        <v>1011</v>
      </c>
      <c r="F155" s="142" t="s">
        <v>1011</v>
      </c>
      <c r="G155" s="284" t="str">
        <f t="shared" si="17"/>
        <v>14X38MES2.9375N/AN/A</v>
      </c>
      <c r="H155" s="284"/>
      <c r="I155" s="284"/>
      <c r="J155" s="285" t="s">
        <v>1537</v>
      </c>
      <c r="K155" s="285"/>
      <c r="L155" s="285"/>
      <c r="M155" s="146">
        <v>422.19</v>
      </c>
      <c r="N155" s="97">
        <f t="shared" si="16"/>
        <v>0</v>
      </c>
      <c r="O155" s="153">
        <f t="shared" si="15"/>
        <v>0</v>
      </c>
    </row>
    <row r="156" spans="1:15" hidden="1" outlineLevel="1">
      <c r="A156" s="281"/>
      <c r="B156" s="142" t="s">
        <v>1531</v>
      </c>
      <c r="C156" s="142" t="s">
        <v>592</v>
      </c>
      <c r="D156" s="142">
        <v>2.9375</v>
      </c>
      <c r="E156" s="286">
        <v>0.375</v>
      </c>
      <c r="F156" s="142" t="s">
        <v>1436</v>
      </c>
      <c r="G156" s="284" t="str">
        <f t="shared" si="17"/>
        <v>14X38MES2.93750.375DGL</v>
      </c>
      <c r="H156" s="284"/>
      <c r="I156" s="284"/>
      <c r="J156" s="285" t="s">
        <v>1538</v>
      </c>
      <c r="K156" s="285"/>
      <c r="L156" s="285"/>
      <c r="M156" s="146">
        <v>975.02</v>
      </c>
      <c r="N156" s="97">
        <f t="shared" si="16"/>
        <v>0</v>
      </c>
      <c r="O156" s="153">
        <f t="shared" si="15"/>
        <v>0</v>
      </c>
    </row>
    <row r="157" spans="1:15" hidden="1" outlineLevel="1">
      <c r="A157" s="281"/>
      <c r="B157" s="142" t="s">
        <v>1531</v>
      </c>
      <c r="C157" s="142" t="s">
        <v>592</v>
      </c>
      <c r="D157" s="142">
        <v>2.9375</v>
      </c>
      <c r="E157" s="286">
        <v>0.375</v>
      </c>
      <c r="F157" s="142" t="s">
        <v>598</v>
      </c>
      <c r="G157" s="284" t="str">
        <f t="shared" si="17"/>
        <v>14X38MES2.93750.375HBL</v>
      </c>
      <c r="H157" s="284"/>
      <c r="I157" s="284"/>
      <c r="J157" s="285" t="s">
        <v>1539</v>
      </c>
      <c r="K157" s="285"/>
      <c r="L157" s="285"/>
      <c r="M157" s="146">
        <v>885.38</v>
      </c>
      <c r="N157" s="97">
        <f t="shared" si="16"/>
        <v>0</v>
      </c>
      <c r="O157" s="153">
        <f t="shared" si="15"/>
        <v>0</v>
      </c>
    </row>
    <row r="158" spans="1:15" hidden="1" outlineLevel="1">
      <c r="A158" s="281"/>
      <c r="B158" s="142" t="s">
        <v>1531</v>
      </c>
      <c r="C158" s="142" t="s">
        <v>592</v>
      </c>
      <c r="D158" s="142">
        <v>2.9375</v>
      </c>
      <c r="E158" s="286">
        <v>0.5</v>
      </c>
      <c r="F158" s="142" t="s">
        <v>1436</v>
      </c>
      <c r="G158" s="284" t="str">
        <f t="shared" si="17"/>
        <v>14X38MES2.93750.5DGL</v>
      </c>
      <c r="H158" s="284"/>
      <c r="I158" s="284"/>
      <c r="J158" s="285" t="s">
        <v>1540</v>
      </c>
      <c r="K158" s="285"/>
      <c r="L158" s="285"/>
      <c r="M158" s="146">
        <v>1051.72</v>
      </c>
      <c r="N158" s="97">
        <f t="shared" si="16"/>
        <v>0</v>
      </c>
      <c r="O158" s="153">
        <f t="shared" si="15"/>
        <v>0</v>
      </c>
    </row>
    <row r="159" spans="1:15" hidden="1" outlineLevel="1">
      <c r="A159" s="281"/>
      <c r="B159" s="142" t="s">
        <v>1531</v>
      </c>
      <c r="C159" s="142" t="s">
        <v>592</v>
      </c>
      <c r="D159" s="142">
        <v>2.9375</v>
      </c>
      <c r="E159" s="286">
        <v>0.5</v>
      </c>
      <c r="F159" s="142" t="s">
        <v>598</v>
      </c>
      <c r="G159" s="284" t="str">
        <f t="shared" si="17"/>
        <v>14X38MES2.93750.5HBL</v>
      </c>
      <c r="H159" s="284"/>
      <c r="I159" s="284"/>
      <c r="J159" s="285" t="s">
        <v>1541</v>
      </c>
      <c r="K159" s="285"/>
      <c r="L159" s="285"/>
      <c r="M159" s="146">
        <v>962.09</v>
      </c>
      <c r="N159" s="97">
        <f t="shared" si="16"/>
        <v>0</v>
      </c>
      <c r="O159" s="153">
        <f t="shared" si="15"/>
        <v>0</v>
      </c>
    </row>
    <row r="160" spans="1:15" hidden="1" outlineLevel="1">
      <c r="A160" s="281"/>
      <c r="B160" s="142" t="s">
        <v>1542</v>
      </c>
      <c r="C160" s="142" t="s">
        <v>592</v>
      </c>
      <c r="D160" s="142">
        <v>2.4375</v>
      </c>
      <c r="E160" s="286" t="s">
        <v>1011</v>
      </c>
      <c r="F160" s="142" t="s">
        <v>1011</v>
      </c>
      <c r="G160" s="284" t="str">
        <f t="shared" si="17"/>
        <v>14X44MES2.4375N/AN/A</v>
      </c>
      <c r="H160" s="284"/>
      <c r="I160" s="284"/>
      <c r="J160" s="285" t="s">
        <v>1543</v>
      </c>
      <c r="K160" s="285"/>
      <c r="L160" s="285"/>
      <c r="M160" s="146">
        <v>469.04</v>
      </c>
      <c r="N160" s="97">
        <f t="shared" si="16"/>
        <v>0</v>
      </c>
      <c r="O160" s="153">
        <f t="shared" si="15"/>
        <v>0</v>
      </c>
    </row>
    <row r="161" spans="1:15" hidden="1" outlineLevel="1">
      <c r="A161" s="281"/>
      <c r="B161" s="142" t="s">
        <v>1542</v>
      </c>
      <c r="C161" s="142" t="s">
        <v>592</v>
      </c>
      <c r="D161" s="142">
        <v>2.4375</v>
      </c>
      <c r="E161" s="286">
        <v>0.375</v>
      </c>
      <c r="F161" s="142" t="s">
        <v>1436</v>
      </c>
      <c r="G161" s="284" t="str">
        <f t="shared" si="17"/>
        <v>14X44MES2.43750.375DGL</v>
      </c>
      <c r="H161" s="284"/>
      <c r="I161" s="284"/>
      <c r="J161" s="285" t="s">
        <v>1544</v>
      </c>
      <c r="K161" s="285"/>
      <c r="L161" s="285"/>
      <c r="M161" s="146">
        <v>1069.51</v>
      </c>
      <c r="N161" s="97">
        <f t="shared" si="16"/>
        <v>0</v>
      </c>
      <c r="O161" s="153">
        <f t="shared" si="15"/>
        <v>0</v>
      </c>
    </row>
    <row r="162" spans="1:15" hidden="1" outlineLevel="1">
      <c r="A162" s="281"/>
      <c r="B162" s="142" t="s">
        <v>1542</v>
      </c>
      <c r="C162" s="142" t="s">
        <v>592</v>
      </c>
      <c r="D162" s="142">
        <v>2.4375</v>
      </c>
      <c r="E162" s="286">
        <v>0.375</v>
      </c>
      <c r="F162" s="142" t="s">
        <v>598</v>
      </c>
      <c r="G162" s="284" t="str">
        <f t="shared" si="17"/>
        <v>14X44MES2.43750.375HBL</v>
      </c>
      <c r="H162" s="284"/>
      <c r="I162" s="284"/>
      <c r="J162" s="285" t="s">
        <v>1545</v>
      </c>
      <c r="K162" s="285"/>
      <c r="L162" s="285"/>
      <c r="M162" s="146">
        <v>979.88</v>
      </c>
      <c r="N162" s="97">
        <f t="shared" si="16"/>
        <v>0</v>
      </c>
      <c r="O162" s="153">
        <f t="shared" si="15"/>
        <v>0</v>
      </c>
    </row>
    <row r="163" spans="1:15" hidden="1" outlineLevel="1">
      <c r="A163" s="281"/>
      <c r="B163" s="142" t="s">
        <v>1542</v>
      </c>
      <c r="C163" s="142" t="s">
        <v>592</v>
      </c>
      <c r="D163" s="142">
        <v>2.4375</v>
      </c>
      <c r="E163" s="286">
        <v>0.5</v>
      </c>
      <c r="F163" s="142" t="s">
        <v>1436</v>
      </c>
      <c r="G163" s="284" t="str">
        <f t="shared" si="17"/>
        <v>14X44MES2.43750.5DGL</v>
      </c>
      <c r="H163" s="284"/>
      <c r="I163" s="284"/>
      <c r="J163" s="285" t="s">
        <v>1546</v>
      </c>
      <c r="K163" s="285"/>
      <c r="L163" s="285"/>
      <c r="M163" s="146">
        <v>1158.33</v>
      </c>
      <c r="N163" s="97">
        <f t="shared" si="16"/>
        <v>0</v>
      </c>
      <c r="O163" s="153">
        <f t="shared" si="15"/>
        <v>0</v>
      </c>
    </row>
    <row r="164" spans="1:15" hidden="1" outlineLevel="1">
      <c r="A164" s="281"/>
      <c r="B164" s="142" t="s">
        <v>1542</v>
      </c>
      <c r="C164" s="142" t="s">
        <v>592</v>
      </c>
      <c r="D164" s="142">
        <v>2.4375</v>
      </c>
      <c r="E164" s="286">
        <v>0.5</v>
      </c>
      <c r="F164" s="142" t="s">
        <v>598</v>
      </c>
      <c r="G164" s="284" t="str">
        <f t="shared" si="17"/>
        <v>14X44MES2.43750.5HBL</v>
      </c>
      <c r="H164" s="284"/>
      <c r="I164" s="284"/>
      <c r="J164" s="285" t="s">
        <v>1547</v>
      </c>
      <c r="K164" s="285"/>
      <c r="L164" s="285"/>
      <c r="M164" s="146">
        <v>1068.7</v>
      </c>
      <c r="N164" s="97">
        <f t="shared" si="16"/>
        <v>0</v>
      </c>
      <c r="O164" s="153">
        <f t="shared" si="15"/>
        <v>0</v>
      </c>
    </row>
    <row r="165" spans="1:15" hidden="1" outlineLevel="1">
      <c r="A165" s="281"/>
      <c r="B165" s="142" t="s">
        <v>1542</v>
      </c>
      <c r="C165" s="142" t="s">
        <v>592</v>
      </c>
      <c r="D165" s="142">
        <v>2.9375</v>
      </c>
      <c r="E165" s="286" t="s">
        <v>1011</v>
      </c>
      <c r="F165" s="142" t="s">
        <v>1011</v>
      </c>
      <c r="G165" s="284" t="str">
        <f t="shared" si="17"/>
        <v>14X44MES2.9375N/AN/A</v>
      </c>
      <c r="H165" s="284"/>
      <c r="I165" s="284"/>
      <c r="J165" s="285" t="s">
        <v>1548</v>
      </c>
      <c r="K165" s="285"/>
      <c r="L165" s="285"/>
      <c r="M165" s="146">
        <v>512.62</v>
      </c>
      <c r="N165" s="97">
        <f t="shared" si="16"/>
        <v>0</v>
      </c>
      <c r="O165" s="153">
        <f t="shared" si="15"/>
        <v>0</v>
      </c>
    </row>
    <row r="166" spans="1:15" hidden="1" outlineLevel="1">
      <c r="A166" s="281"/>
      <c r="B166" s="142" t="s">
        <v>1542</v>
      </c>
      <c r="C166" s="142" t="s">
        <v>592</v>
      </c>
      <c r="D166" s="142">
        <v>2.9375</v>
      </c>
      <c r="E166" s="286">
        <v>0.375</v>
      </c>
      <c r="F166" s="142" t="s">
        <v>1436</v>
      </c>
      <c r="G166" s="284" t="str">
        <f t="shared" si="17"/>
        <v>14X44MES2.93750.375DGL</v>
      </c>
      <c r="H166" s="284"/>
      <c r="I166" s="284"/>
      <c r="J166" s="285" t="s">
        <v>1549</v>
      </c>
      <c r="K166" s="285"/>
      <c r="L166" s="285"/>
      <c r="M166" s="146">
        <v>1111.83</v>
      </c>
      <c r="N166" s="97">
        <f t="shared" si="16"/>
        <v>0</v>
      </c>
      <c r="O166" s="153">
        <f t="shared" si="15"/>
        <v>0</v>
      </c>
    </row>
    <row r="167" spans="1:15" hidden="1" outlineLevel="1">
      <c r="A167" s="281"/>
      <c r="B167" s="142" t="s">
        <v>1542</v>
      </c>
      <c r="C167" s="142" t="s">
        <v>592</v>
      </c>
      <c r="D167" s="142">
        <v>2.9375</v>
      </c>
      <c r="E167" s="286">
        <v>0.375</v>
      </c>
      <c r="F167" s="142" t="s">
        <v>598</v>
      </c>
      <c r="G167" s="284" t="str">
        <f t="shared" si="17"/>
        <v>14X44MES2.93750.375HBL</v>
      </c>
      <c r="H167" s="284"/>
      <c r="I167" s="284"/>
      <c r="J167" s="285" t="s">
        <v>1550</v>
      </c>
      <c r="K167" s="285"/>
      <c r="L167" s="285"/>
      <c r="M167" s="146">
        <v>1022.2</v>
      </c>
      <c r="N167" s="97">
        <f t="shared" si="16"/>
        <v>0</v>
      </c>
      <c r="O167" s="153">
        <f t="shared" si="15"/>
        <v>0</v>
      </c>
    </row>
    <row r="168" spans="1:15" hidden="1" outlineLevel="1">
      <c r="A168" s="281"/>
      <c r="B168" s="142" t="s">
        <v>1542</v>
      </c>
      <c r="C168" s="142" t="s">
        <v>592</v>
      </c>
      <c r="D168" s="142">
        <v>2.9375</v>
      </c>
      <c r="E168" s="286">
        <v>0.5</v>
      </c>
      <c r="F168" s="142" t="s">
        <v>1436</v>
      </c>
      <c r="G168" s="284" t="str">
        <f t="shared" si="17"/>
        <v>14X44MES2.93750.5DGL</v>
      </c>
      <c r="H168" s="284"/>
      <c r="I168" s="284"/>
      <c r="J168" s="285" t="s">
        <v>1551</v>
      </c>
      <c r="K168" s="285"/>
      <c r="L168" s="285"/>
      <c r="M168" s="146">
        <v>1200.6400000000001</v>
      </c>
      <c r="N168" s="97">
        <f t="shared" si="16"/>
        <v>0</v>
      </c>
      <c r="O168" s="153">
        <f t="shared" si="15"/>
        <v>0</v>
      </c>
    </row>
    <row r="169" spans="1:15" hidden="1" outlineLevel="1">
      <c r="A169" s="281"/>
      <c r="B169" s="142" t="s">
        <v>1542</v>
      </c>
      <c r="C169" s="142" t="s">
        <v>592</v>
      </c>
      <c r="D169" s="142">
        <v>2.9375</v>
      </c>
      <c r="E169" s="286">
        <v>0.5</v>
      </c>
      <c r="F169" s="142" t="s">
        <v>598</v>
      </c>
      <c r="G169" s="284" t="str">
        <f t="shared" si="17"/>
        <v>14X44MES2.93750.5HBL</v>
      </c>
      <c r="H169" s="284"/>
      <c r="I169" s="284"/>
      <c r="J169" s="285" t="s">
        <v>1552</v>
      </c>
      <c r="K169" s="285"/>
      <c r="L169" s="285"/>
      <c r="M169" s="146">
        <v>1111.04</v>
      </c>
      <c r="N169" s="97">
        <f t="shared" si="16"/>
        <v>0</v>
      </c>
      <c r="O169" s="153">
        <f t="shared" si="15"/>
        <v>0</v>
      </c>
    </row>
    <row r="170" spans="1:15" hidden="1" outlineLevel="1">
      <c r="A170" s="281"/>
      <c r="B170" s="142" t="s">
        <v>1496</v>
      </c>
      <c r="C170" s="142" t="s">
        <v>1490</v>
      </c>
      <c r="D170" s="142">
        <v>2.4375</v>
      </c>
      <c r="E170" s="286" t="s">
        <v>1011</v>
      </c>
      <c r="F170" s="142" t="s">
        <v>1011</v>
      </c>
      <c r="G170" s="284" t="str">
        <f t="shared" si="17"/>
        <v>14X20CF2.4375N/AN/A</v>
      </c>
      <c r="H170" s="284"/>
      <c r="I170" s="284"/>
      <c r="J170" s="285" t="s">
        <v>1553</v>
      </c>
      <c r="K170" s="285"/>
      <c r="L170" s="285"/>
      <c r="M170" s="146">
        <v>1080.1300000000001</v>
      </c>
      <c r="N170" s="97">
        <f t="shared" si="16"/>
        <v>0</v>
      </c>
      <c r="O170" s="153">
        <f t="shared" si="15"/>
        <v>0</v>
      </c>
    </row>
    <row r="171" spans="1:15" hidden="1" outlineLevel="1">
      <c r="A171" s="281"/>
      <c r="B171" s="142" t="s">
        <v>1496</v>
      </c>
      <c r="C171" s="142" t="s">
        <v>1490</v>
      </c>
      <c r="D171" s="142">
        <v>2.9375</v>
      </c>
      <c r="E171" s="286" t="s">
        <v>1011</v>
      </c>
      <c r="F171" s="142" t="s">
        <v>1011</v>
      </c>
      <c r="G171" s="284" t="str">
        <f t="shared" si="17"/>
        <v>14X20CF2.9375N/AN/A</v>
      </c>
      <c r="H171" s="284"/>
      <c r="I171" s="284"/>
      <c r="J171" s="285" t="s">
        <v>1554</v>
      </c>
      <c r="K171" s="285"/>
      <c r="L171" s="285"/>
      <c r="M171" s="146">
        <v>1092.01</v>
      </c>
      <c r="N171" s="97">
        <f t="shared" si="16"/>
        <v>0</v>
      </c>
      <c r="O171" s="153">
        <f t="shared" si="15"/>
        <v>0</v>
      </c>
    </row>
    <row r="172" spans="1:15" hidden="1" outlineLevel="1">
      <c r="A172" s="281"/>
      <c r="B172" s="142" t="s">
        <v>1507</v>
      </c>
      <c r="C172" s="142" t="s">
        <v>1490</v>
      </c>
      <c r="D172" s="142">
        <v>2.4375</v>
      </c>
      <c r="E172" s="286" t="s">
        <v>1011</v>
      </c>
      <c r="F172" s="142" t="s">
        <v>1011</v>
      </c>
      <c r="G172" s="284" t="str">
        <f t="shared" si="17"/>
        <v>14X26CF2.4375N/AN/A</v>
      </c>
      <c r="H172" s="284"/>
      <c r="I172" s="284"/>
      <c r="J172" s="285" t="s">
        <v>1555</v>
      </c>
      <c r="K172" s="285"/>
      <c r="L172" s="285"/>
      <c r="M172" s="146">
        <v>1219.8399999999999</v>
      </c>
      <c r="N172" s="97">
        <f t="shared" si="16"/>
        <v>0</v>
      </c>
      <c r="O172" s="153">
        <f t="shared" si="15"/>
        <v>0</v>
      </c>
    </row>
    <row r="173" spans="1:15" hidden="1" outlineLevel="1">
      <c r="A173" s="281"/>
      <c r="B173" s="142" t="s">
        <v>1507</v>
      </c>
      <c r="C173" s="142" t="s">
        <v>1490</v>
      </c>
      <c r="D173" s="142">
        <v>2.9375</v>
      </c>
      <c r="E173" s="286" t="s">
        <v>1011</v>
      </c>
      <c r="F173" s="142" t="s">
        <v>1011</v>
      </c>
      <c r="G173" s="284" t="str">
        <f t="shared" si="17"/>
        <v>14X26CF2.9375N/AN/A</v>
      </c>
      <c r="H173" s="284"/>
      <c r="I173" s="284"/>
      <c r="J173" s="285" t="s">
        <v>1556</v>
      </c>
      <c r="K173" s="285"/>
      <c r="L173" s="285"/>
      <c r="M173" s="146">
        <v>1105.58</v>
      </c>
      <c r="N173" s="97">
        <f t="shared" si="16"/>
        <v>0</v>
      </c>
      <c r="O173" s="153">
        <f t="shared" si="15"/>
        <v>0</v>
      </c>
    </row>
    <row r="174" spans="1:15" hidden="1" outlineLevel="1">
      <c r="A174" s="281"/>
      <c r="B174" s="142" t="s">
        <v>1507</v>
      </c>
      <c r="C174" s="142" t="s">
        <v>1490</v>
      </c>
      <c r="D174" s="142">
        <v>3.4375</v>
      </c>
      <c r="E174" s="286" t="s">
        <v>1011</v>
      </c>
      <c r="F174" s="142" t="s">
        <v>1011</v>
      </c>
      <c r="G174" s="284" t="str">
        <f t="shared" si="17"/>
        <v>14X26CF3.4375N/AN/A</v>
      </c>
      <c r="H174" s="284"/>
      <c r="I174" s="284"/>
      <c r="J174" s="285" t="s">
        <v>1557</v>
      </c>
      <c r="K174" s="285"/>
      <c r="L174" s="285"/>
      <c r="M174" s="146">
        <v>1117.95</v>
      </c>
      <c r="N174" s="97">
        <f t="shared" si="16"/>
        <v>0</v>
      </c>
      <c r="O174" s="153">
        <f t="shared" si="15"/>
        <v>0</v>
      </c>
    </row>
    <row r="175" spans="1:15" hidden="1" outlineLevel="1">
      <c r="A175" s="281"/>
      <c r="B175" s="142" t="s">
        <v>1519</v>
      </c>
      <c r="C175" s="142" t="s">
        <v>1490</v>
      </c>
      <c r="D175" s="142">
        <v>2.4375</v>
      </c>
      <c r="E175" s="286" t="s">
        <v>1011</v>
      </c>
      <c r="F175" s="142" t="s">
        <v>1011</v>
      </c>
      <c r="G175" s="284" t="str">
        <f t="shared" si="17"/>
        <v>14X32CF2.4375N/AN/A</v>
      </c>
      <c r="H175" s="284"/>
      <c r="I175" s="284"/>
      <c r="J175" s="285" t="s">
        <v>1558</v>
      </c>
      <c r="K175" s="285"/>
      <c r="L175" s="285"/>
      <c r="M175" s="146">
        <v>1359.07</v>
      </c>
      <c r="N175" s="97">
        <f t="shared" si="16"/>
        <v>0</v>
      </c>
      <c r="O175" s="153">
        <f t="shared" si="15"/>
        <v>0</v>
      </c>
    </row>
    <row r="176" spans="1:15" hidden="1" outlineLevel="1">
      <c r="A176" s="281"/>
      <c r="B176" s="142" t="s">
        <v>1519</v>
      </c>
      <c r="C176" s="142" t="s">
        <v>1490</v>
      </c>
      <c r="D176" s="142">
        <v>2.9375</v>
      </c>
      <c r="E176" s="286" t="s">
        <v>1011</v>
      </c>
      <c r="F176" s="142" t="s">
        <v>1011</v>
      </c>
      <c r="G176" s="284" t="str">
        <f t="shared" si="17"/>
        <v>14X32CF2.9375N/AN/A</v>
      </c>
      <c r="H176" s="284"/>
      <c r="I176" s="284"/>
      <c r="J176" s="285" t="s">
        <v>1559</v>
      </c>
      <c r="K176" s="285"/>
      <c r="L176" s="285"/>
      <c r="M176" s="146">
        <v>1231.03</v>
      </c>
      <c r="N176" s="97">
        <f t="shared" si="16"/>
        <v>0</v>
      </c>
      <c r="O176" s="153">
        <f t="shared" si="15"/>
        <v>0</v>
      </c>
    </row>
    <row r="177" spans="1:15" hidden="1" outlineLevel="1">
      <c r="A177" s="281"/>
      <c r="B177" s="142" t="s">
        <v>1519</v>
      </c>
      <c r="C177" s="142" t="s">
        <v>1490</v>
      </c>
      <c r="D177" s="142">
        <v>2.9375</v>
      </c>
      <c r="E177" s="286" t="s">
        <v>1011</v>
      </c>
      <c r="F177" s="142" t="s">
        <v>1011</v>
      </c>
      <c r="G177" s="284" t="str">
        <f t="shared" si="17"/>
        <v>14X32CF2.9375N/AN/A</v>
      </c>
      <c r="H177" s="284"/>
      <c r="I177" s="284"/>
      <c r="J177" s="285" t="s">
        <v>1559</v>
      </c>
      <c r="K177" s="285"/>
      <c r="L177" s="285"/>
      <c r="M177" s="146">
        <v>1370.95</v>
      </c>
      <c r="N177" s="97">
        <f t="shared" si="16"/>
        <v>0</v>
      </c>
      <c r="O177" s="153">
        <f t="shared" si="15"/>
        <v>0</v>
      </c>
    </row>
    <row r="178" spans="1:15" hidden="1" outlineLevel="1">
      <c r="A178" s="281"/>
      <c r="B178" s="142" t="s">
        <v>1519</v>
      </c>
      <c r="C178" s="142" t="s">
        <v>1490</v>
      </c>
      <c r="D178" s="142">
        <v>3.4375</v>
      </c>
      <c r="E178" s="286" t="s">
        <v>1011</v>
      </c>
      <c r="F178" s="142" t="s">
        <v>1011</v>
      </c>
      <c r="G178" s="284" t="str">
        <f t="shared" si="17"/>
        <v>14X32CF3.4375N/AN/A</v>
      </c>
      <c r="H178" s="284"/>
      <c r="I178" s="284"/>
      <c r="J178" s="285" t="s">
        <v>1560</v>
      </c>
      <c r="K178" s="285"/>
      <c r="L178" s="285"/>
      <c r="M178" s="146">
        <v>1243.4100000000001</v>
      </c>
      <c r="N178" s="97">
        <f t="shared" si="16"/>
        <v>0</v>
      </c>
      <c r="O178" s="153">
        <f t="shared" si="15"/>
        <v>0</v>
      </c>
    </row>
    <row r="179" spans="1:15" hidden="1" outlineLevel="1">
      <c r="A179" s="281"/>
      <c r="B179" s="142" t="s">
        <v>1531</v>
      </c>
      <c r="C179" s="142" t="s">
        <v>1490</v>
      </c>
      <c r="D179" s="142">
        <v>2.4375</v>
      </c>
      <c r="E179" s="286" t="s">
        <v>1011</v>
      </c>
      <c r="F179" s="142" t="s">
        <v>1011</v>
      </c>
      <c r="G179" s="284" t="str">
        <f t="shared" si="17"/>
        <v>14X38CF2.4375N/AN/A</v>
      </c>
      <c r="H179" s="284"/>
      <c r="I179" s="284"/>
      <c r="J179" s="285" t="s">
        <v>1561</v>
      </c>
      <c r="K179" s="285"/>
      <c r="L179" s="285"/>
      <c r="M179" s="146">
        <v>1498.78</v>
      </c>
      <c r="N179" s="97">
        <f t="shared" si="16"/>
        <v>0</v>
      </c>
      <c r="O179" s="153">
        <f t="shared" si="15"/>
        <v>0</v>
      </c>
    </row>
    <row r="180" spans="1:15" hidden="1" outlineLevel="1">
      <c r="A180" s="281"/>
      <c r="B180" s="142" t="s">
        <v>1531</v>
      </c>
      <c r="C180" s="142" t="s">
        <v>1490</v>
      </c>
      <c r="D180" s="142">
        <v>2.9375</v>
      </c>
      <c r="E180" s="286" t="s">
        <v>1011</v>
      </c>
      <c r="F180" s="142" t="s">
        <v>1011</v>
      </c>
      <c r="G180" s="284" t="str">
        <f t="shared" si="17"/>
        <v>14X38CF2.9375N/AN/A</v>
      </c>
      <c r="H180" s="284"/>
      <c r="I180" s="284"/>
      <c r="J180" s="285" t="s">
        <v>1562</v>
      </c>
      <c r="K180" s="285"/>
      <c r="L180" s="285"/>
      <c r="M180" s="146">
        <v>1510.18</v>
      </c>
      <c r="N180" s="97">
        <f t="shared" si="16"/>
        <v>0</v>
      </c>
      <c r="O180" s="153">
        <f t="shared" si="15"/>
        <v>0</v>
      </c>
    </row>
    <row r="181" spans="1:15" hidden="1" outlineLevel="1">
      <c r="A181" s="281"/>
      <c r="B181" s="142" t="s">
        <v>1542</v>
      </c>
      <c r="C181" s="142" t="s">
        <v>1490</v>
      </c>
      <c r="D181" s="142">
        <v>2.4375</v>
      </c>
      <c r="E181" s="286" t="s">
        <v>1011</v>
      </c>
      <c r="F181" s="142" t="s">
        <v>1011</v>
      </c>
      <c r="G181" s="284" t="str">
        <f t="shared" si="17"/>
        <v>14X44CF2.4375N/AN/A</v>
      </c>
      <c r="H181" s="284"/>
      <c r="I181" s="284"/>
      <c r="J181" s="285" t="s">
        <v>1563</v>
      </c>
      <c r="K181" s="285"/>
      <c r="L181" s="285"/>
      <c r="M181" s="146">
        <v>1638.02</v>
      </c>
      <c r="N181" s="97">
        <f t="shared" si="16"/>
        <v>0</v>
      </c>
      <c r="O181" s="153">
        <f t="shared" si="15"/>
        <v>0</v>
      </c>
    </row>
    <row r="182" spans="1:15" hidden="1" outlineLevel="1">
      <c r="A182" s="281"/>
      <c r="B182" s="142" t="s">
        <v>1542</v>
      </c>
      <c r="C182" s="142" t="s">
        <v>1490</v>
      </c>
      <c r="D182" s="142">
        <v>2.9375</v>
      </c>
      <c r="E182" s="286" t="s">
        <v>1011</v>
      </c>
      <c r="F182" s="142" t="s">
        <v>1011</v>
      </c>
      <c r="G182" s="284" t="str">
        <f t="shared" si="17"/>
        <v>14X44CF2.9375N/AN/A</v>
      </c>
      <c r="H182" s="284"/>
      <c r="I182" s="284"/>
      <c r="J182" s="285" t="s">
        <v>1564</v>
      </c>
      <c r="K182" s="285"/>
      <c r="L182" s="285"/>
      <c r="M182" s="146">
        <v>1649.9</v>
      </c>
      <c r="N182" s="97">
        <f t="shared" si="16"/>
        <v>0</v>
      </c>
      <c r="O182" s="153">
        <f t="shared" si="15"/>
        <v>0</v>
      </c>
    </row>
    <row r="183" spans="1:15" hidden="1" outlineLevel="1">
      <c r="A183" s="281"/>
      <c r="B183" s="142" t="s">
        <v>1565</v>
      </c>
      <c r="C183" s="142" t="s">
        <v>592</v>
      </c>
      <c r="D183" s="142">
        <v>2.4375</v>
      </c>
      <c r="E183" s="286">
        <v>0.375</v>
      </c>
      <c r="F183" s="142" t="s">
        <v>598</v>
      </c>
      <c r="G183" s="284" t="str">
        <f t="shared" si="17"/>
        <v>16X20MES2.43750.375HBL</v>
      </c>
      <c r="H183" s="284"/>
      <c r="I183" s="284"/>
      <c r="J183" s="285" t="s">
        <v>1566</v>
      </c>
      <c r="K183" s="285"/>
      <c r="L183" s="285"/>
      <c r="M183" s="146">
        <v>658.29</v>
      </c>
      <c r="N183" s="97">
        <f t="shared" si="16"/>
        <v>0</v>
      </c>
      <c r="O183" s="153">
        <f t="shared" si="15"/>
        <v>0</v>
      </c>
    </row>
    <row r="184" spans="1:15" hidden="1" outlineLevel="1">
      <c r="A184" s="281"/>
      <c r="B184" s="142" t="s">
        <v>1567</v>
      </c>
      <c r="C184" s="142" t="s">
        <v>592</v>
      </c>
      <c r="D184" s="142">
        <v>2.4375</v>
      </c>
      <c r="E184" s="286">
        <v>0.375</v>
      </c>
      <c r="F184" s="142" t="s">
        <v>1436</v>
      </c>
      <c r="G184" s="284" t="str">
        <f t="shared" si="17"/>
        <v>16X26MES2.43750.375DGL</v>
      </c>
      <c r="H184" s="284"/>
      <c r="I184" s="284"/>
      <c r="J184" s="285" t="s">
        <v>1568</v>
      </c>
      <c r="K184" s="285"/>
      <c r="L184" s="285"/>
      <c r="M184" s="146">
        <v>838.11</v>
      </c>
      <c r="N184" s="97">
        <f t="shared" si="16"/>
        <v>0</v>
      </c>
      <c r="O184" s="153">
        <f t="shared" si="15"/>
        <v>0</v>
      </c>
    </row>
    <row r="185" spans="1:15" hidden="1" outlineLevel="1">
      <c r="A185" s="281"/>
      <c r="B185" s="142" t="s">
        <v>1567</v>
      </c>
      <c r="C185" s="142" t="s">
        <v>592</v>
      </c>
      <c r="D185" s="142">
        <v>2.4375</v>
      </c>
      <c r="E185" s="286">
        <v>0.5</v>
      </c>
      <c r="F185" s="142" t="s">
        <v>1436</v>
      </c>
      <c r="G185" s="284" t="str">
        <f t="shared" si="17"/>
        <v>16X26MES2.43750.5DGL</v>
      </c>
      <c r="H185" s="284"/>
      <c r="I185" s="284"/>
      <c r="J185" s="285" t="s">
        <v>1569</v>
      </c>
      <c r="K185" s="285"/>
      <c r="L185" s="285"/>
      <c r="M185" s="146">
        <v>897.1</v>
      </c>
      <c r="N185" s="97">
        <f t="shared" si="16"/>
        <v>0</v>
      </c>
      <c r="O185" s="153">
        <f t="shared" si="15"/>
        <v>0</v>
      </c>
    </row>
    <row r="186" spans="1:15" hidden="1" outlineLevel="1">
      <c r="A186" s="281"/>
      <c r="B186" s="142" t="s">
        <v>1567</v>
      </c>
      <c r="C186" s="142" t="s">
        <v>592</v>
      </c>
      <c r="D186" s="142">
        <v>2.4375</v>
      </c>
      <c r="E186" s="286">
        <v>0.5</v>
      </c>
      <c r="F186" s="142" t="s">
        <v>598</v>
      </c>
      <c r="G186" s="284" t="str">
        <f t="shared" si="17"/>
        <v>16X26MES2.43750.5HBL</v>
      </c>
      <c r="H186" s="284"/>
      <c r="I186" s="284"/>
      <c r="J186" s="285" t="s">
        <v>1570</v>
      </c>
      <c r="K186" s="285"/>
      <c r="L186" s="285"/>
      <c r="M186" s="146">
        <v>793.32</v>
      </c>
      <c r="N186" s="97">
        <f t="shared" si="16"/>
        <v>0</v>
      </c>
      <c r="O186" s="153">
        <f t="shared" si="15"/>
        <v>0</v>
      </c>
    </row>
    <row r="187" spans="1:15" hidden="1" outlineLevel="1">
      <c r="A187" s="281"/>
      <c r="B187" s="142" t="s">
        <v>1567</v>
      </c>
      <c r="C187" s="142" t="s">
        <v>592</v>
      </c>
      <c r="D187" s="142">
        <v>2.9375</v>
      </c>
      <c r="E187" s="286">
        <v>0.375</v>
      </c>
      <c r="F187" s="142" t="s">
        <v>1436</v>
      </c>
      <c r="G187" s="284" t="str">
        <f t="shared" si="17"/>
        <v>16X26MES2.93750.375DGL</v>
      </c>
      <c r="H187" s="284"/>
      <c r="I187" s="284"/>
      <c r="J187" s="285" t="s">
        <v>1571</v>
      </c>
      <c r="K187" s="285"/>
      <c r="L187" s="285"/>
      <c r="M187" s="146">
        <v>776.38</v>
      </c>
      <c r="N187" s="97">
        <f t="shared" si="16"/>
        <v>0</v>
      </c>
      <c r="O187" s="153">
        <f t="shared" si="15"/>
        <v>0</v>
      </c>
    </row>
    <row r="188" spans="1:15" hidden="1" outlineLevel="1">
      <c r="A188" s="281"/>
      <c r="B188" s="142" t="s">
        <v>1567</v>
      </c>
      <c r="C188" s="142" t="s">
        <v>592</v>
      </c>
      <c r="D188" s="142">
        <v>2.9375</v>
      </c>
      <c r="E188" s="286">
        <v>0.375</v>
      </c>
      <c r="F188" s="142" t="s">
        <v>598</v>
      </c>
      <c r="G188" s="284" t="str">
        <f t="shared" si="17"/>
        <v>16X26MES2.93750.375HBL</v>
      </c>
      <c r="H188" s="284"/>
      <c r="I188" s="284"/>
      <c r="J188" s="285" t="s">
        <v>1572</v>
      </c>
      <c r="K188" s="285"/>
      <c r="L188" s="285"/>
      <c r="M188" s="146">
        <v>760.84</v>
      </c>
      <c r="N188" s="97">
        <f t="shared" si="16"/>
        <v>0</v>
      </c>
      <c r="O188" s="153">
        <f t="shared" si="15"/>
        <v>0</v>
      </c>
    </row>
    <row r="189" spans="1:15" hidden="1" outlineLevel="1">
      <c r="A189" s="281"/>
      <c r="B189" s="142" t="s">
        <v>1567</v>
      </c>
      <c r="C189" s="142" t="s">
        <v>592</v>
      </c>
      <c r="D189" s="142">
        <v>2.9375</v>
      </c>
      <c r="E189" s="286">
        <v>0.5</v>
      </c>
      <c r="F189" s="142" t="s">
        <v>1436</v>
      </c>
      <c r="G189" s="284" t="str">
        <f t="shared" si="17"/>
        <v>16X26MES2.93750.5DGL</v>
      </c>
      <c r="H189" s="284"/>
      <c r="I189" s="284"/>
      <c r="J189" s="285" t="s">
        <v>1573</v>
      </c>
      <c r="K189" s="285"/>
      <c r="L189" s="285"/>
      <c r="M189" s="146">
        <v>923.63</v>
      </c>
      <c r="N189" s="97">
        <f t="shared" si="16"/>
        <v>0</v>
      </c>
      <c r="O189" s="153">
        <f t="shared" si="15"/>
        <v>0</v>
      </c>
    </row>
    <row r="190" spans="1:15" hidden="1" outlineLevel="1">
      <c r="A190" s="281"/>
      <c r="B190" s="142" t="s">
        <v>1567</v>
      </c>
      <c r="C190" s="142" t="s">
        <v>592</v>
      </c>
      <c r="D190" s="142">
        <v>2.9375</v>
      </c>
      <c r="E190" s="286">
        <v>0.5</v>
      </c>
      <c r="F190" s="142" t="s">
        <v>1436</v>
      </c>
      <c r="G190" s="284" t="str">
        <f t="shared" si="17"/>
        <v>16X26MES2.93750.5DGL</v>
      </c>
      <c r="H190" s="284"/>
      <c r="I190" s="284"/>
      <c r="J190" s="285" t="s">
        <v>1573</v>
      </c>
      <c r="K190" s="285"/>
      <c r="L190" s="285"/>
      <c r="M190" s="146">
        <v>923.63</v>
      </c>
      <c r="N190" s="97">
        <f t="shared" si="16"/>
        <v>0</v>
      </c>
      <c r="O190" s="153">
        <f t="shared" si="15"/>
        <v>0</v>
      </c>
    </row>
    <row r="191" spans="1:15" hidden="1" outlineLevel="1">
      <c r="A191" s="281"/>
      <c r="B191" s="142" t="s">
        <v>1567</v>
      </c>
      <c r="C191" s="142" t="s">
        <v>592</v>
      </c>
      <c r="D191" s="142">
        <v>2.9375</v>
      </c>
      <c r="E191" s="286">
        <v>0.5</v>
      </c>
      <c r="F191" s="142" t="s">
        <v>598</v>
      </c>
      <c r="G191" s="284" t="str">
        <f t="shared" si="17"/>
        <v>16X26MES2.93750.5HBL</v>
      </c>
      <c r="H191" s="284"/>
      <c r="I191" s="284"/>
      <c r="J191" s="285" t="s">
        <v>1574</v>
      </c>
      <c r="K191" s="285"/>
      <c r="L191" s="285"/>
      <c r="M191" s="146">
        <v>819.84</v>
      </c>
      <c r="N191" s="97">
        <f t="shared" ref="N191:N254" si="18">IF(AND(G191=HP_PN,G191=TP_PN),2,IF(G191=HP_PN,1,IF(G191=TP_PN,1,0)))</f>
        <v>0</v>
      </c>
      <c r="O191" s="153">
        <f t="shared" si="15"/>
        <v>0</v>
      </c>
    </row>
    <row r="192" spans="1:15" hidden="1" outlineLevel="1">
      <c r="A192" s="281"/>
      <c r="B192" s="142" t="s">
        <v>1567</v>
      </c>
      <c r="C192" s="142" t="s">
        <v>592</v>
      </c>
      <c r="D192" s="142">
        <v>2.9375</v>
      </c>
      <c r="E192" s="286">
        <v>0.5</v>
      </c>
      <c r="F192" s="142" t="s">
        <v>598</v>
      </c>
      <c r="G192" s="284" t="str">
        <f t="shared" ref="G192:G254" si="19">B192&amp;C192&amp;D192&amp;E192&amp;F192</f>
        <v>16X26MES2.93750.5HBL</v>
      </c>
      <c r="H192" s="284"/>
      <c r="I192" s="284"/>
      <c r="J192" s="285" t="s">
        <v>1574</v>
      </c>
      <c r="K192" s="285"/>
      <c r="L192" s="285"/>
      <c r="M192" s="146">
        <v>819.84</v>
      </c>
      <c r="N192" s="97">
        <f t="shared" si="18"/>
        <v>0</v>
      </c>
      <c r="O192" s="153">
        <f t="shared" si="15"/>
        <v>0</v>
      </c>
    </row>
    <row r="193" spans="1:15" hidden="1" outlineLevel="1">
      <c r="A193" s="281"/>
      <c r="B193" s="142" t="s">
        <v>1567</v>
      </c>
      <c r="C193" s="142" t="s">
        <v>592</v>
      </c>
      <c r="D193" s="142">
        <v>3.4375</v>
      </c>
      <c r="E193" s="286">
        <v>0.375</v>
      </c>
      <c r="F193" s="142" t="s">
        <v>1436</v>
      </c>
      <c r="G193" s="284" t="str">
        <f t="shared" si="19"/>
        <v>16X26MES3.43750.375DGL</v>
      </c>
      <c r="H193" s="284"/>
      <c r="I193" s="284"/>
      <c r="J193" s="285" t="s">
        <v>1575</v>
      </c>
      <c r="K193" s="285"/>
      <c r="L193" s="285"/>
      <c r="M193" s="146">
        <v>837.45</v>
      </c>
      <c r="N193" s="97">
        <f t="shared" si="18"/>
        <v>0</v>
      </c>
      <c r="O193" s="153">
        <f t="shared" si="15"/>
        <v>0</v>
      </c>
    </row>
    <row r="194" spans="1:15" hidden="1" outlineLevel="1">
      <c r="A194" s="281"/>
      <c r="B194" s="142" t="s">
        <v>1567</v>
      </c>
      <c r="C194" s="142" t="s">
        <v>592</v>
      </c>
      <c r="D194" s="142">
        <v>3.9375</v>
      </c>
      <c r="E194" s="286">
        <v>0.375</v>
      </c>
      <c r="F194" s="142" t="s">
        <v>1436</v>
      </c>
      <c r="G194" s="284" t="str">
        <f t="shared" si="19"/>
        <v>16X26MES3.93750.375DGL</v>
      </c>
      <c r="H194" s="284"/>
      <c r="I194" s="284"/>
      <c r="J194" s="285" t="s">
        <v>1576</v>
      </c>
      <c r="K194" s="285"/>
      <c r="L194" s="285"/>
      <c r="M194" s="146">
        <v>950.37</v>
      </c>
      <c r="N194" s="97">
        <f t="shared" si="18"/>
        <v>0</v>
      </c>
      <c r="O194" s="153">
        <f t="shared" si="15"/>
        <v>0</v>
      </c>
    </row>
    <row r="195" spans="1:15" hidden="1" outlineLevel="1">
      <c r="A195" s="281"/>
      <c r="B195" s="142" t="s">
        <v>1577</v>
      </c>
      <c r="C195" s="142" t="s">
        <v>592</v>
      </c>
      <c r="D195" s="142">
        <v>2.4375</v>
      </c>
      <c r="E195" s="286">
        <v>0.375</v>
      </c>
      <c r="F195" s="142" t="s">
        <v>1436</v>
      </c>
      <c r="G195" s="284" t="str">
        <f t="shared" si="19"/>
        <v>16X32MES2.43750.375DGL</v>
      </c>
      <c r="H195" s="284"/>
      <c r="I195" s="284"/>
      <c r="J195" s="285" t="s">
        <v>1578</v>
      </c>
      <c r="K195" s="285"/>
      <c r="L195" s="285"/>
      <c r="M195" s="146">
        <v>926.15</v>
      </c>
      <c r="N195" s="97">
        <f t="shared" si="18"/>
        <v>0</v>
      </c>
      <c r="O195" s="153">
        <f t="shared" si="15"/>
        <v>0</v>
      </c>
    </row>
    <row r="196" spans="1:15" hidden="1" outlineLevel="1">
      <c r="A196" s="281"/>
      <c r="B196" s="142" t="s">
        <v>1577</v>
      </c>
      <c r="C196" s="142" t="s">
        <v>592</v>
      </c>
      <c r="D196" s="142">
        <v>2.4375</v>
      </c>
      <c r="E196" s="286">
        <v>0.375</v>
      </c>
      <c r="F196" s="142" t="s">
        <v>598</v>
      </c>
      <c r="G196" s="284" t="str">
        <f t="shared" si="19"/>
        <v>16X32MES2.43750.375HBL</v>
      </c>
      <c r="H196" s="284"/>
      <c r="I196" s="284"/>
      <c r="J196" s="285" t="s">
        <v>1579</v>
      </c>
      <c r="K196" s="285"/>
      <c r="L196" s="285"/>
      <c r="M196" s="146">
        <v>822.38</v>
      </c>
      <c r="N196" s="97">
        <f t="shared" si="18"/>
        <v>0</v>
      </c>
      <c r="O196" s="153">
        <f t="shared" si="15"/>
        <v>0</v>
      </c>
    </row>
    <row r="197" spans="1:15" hidden="1" outlineLevel="1">
      <c r="A197" s="281"/>
      <c r="B197" s="142" t="s">
        <v>1577</v>
      </c>
      <c r="C197" s="142" t="s">
        <v>592</v>
      </c>
      <c r="D197" s="142">
        <v>2.4375</v>
      </c>
      <c r="E197" s="286">
        <v>0.5</v>
      </c>
      <c r="F197" s="142" t="s">
        <v>1436</v>
      </c>
      <c r="G197" s="284" t="str">
        <f t="shared" si="19"/>
        <v>16X32MES2.43750.5DGL</v>
      </c>
      <c r="H197" s="284"/>
      <c r="I197" s="284"/>
      <c r="J197" s="285" t="s">
        <v>1580</v>
      </c>
      <c r="K197" s="285"/>
      <c r="L197" s="285"/>
      <c r="M197" s="146">
        <v>998.78</v>
      </c>
      <c r="N197" s="97">
        <f t="shared" si="18"/>
        <v>0</v>
      </c>
      <c r="O197" s="153">
        <f t="shared" si="15"/>
        <v>0</v>
      </c>
    </row>
    <row r="198" spans="1:15" hidden="1" outlineLevel="1">
      <c r="A198" s="281"/>
      <c r="B198" s="142" t="s">
        <v>1577</v>
      </c>
      <c r="C198" s="142" t="s">
        <v>592</v>
      </c>
      <c r="D198" s="142">
        <v>2.4375</v>
      </c>
      <c r="E198" s="286">
        <v>0.5</v>
      </c>
      <c r="F198" s="142" t="s">
        <v>598</v>
      </c>
      <c r="G198" s="284" t="str">
        <f t="shared" si="19"/>
        <v>16X32MES2.43750.5HBL</v>
      </c>
      <c r="H198" s="284"/>
      <c r="I198" s="284"/>
      <c r="J198" s="285" t="s">
        <v>1581</v>
      </c>
      <c r="K198" s="285"/>
      <c r="L198" s="285"/>
      <c r="M198" s="146">
        <v>894.99</v>
      </c>
      <c r="N198" s="97">
        <f t="shared" si="18"/>
        <v>0</v>
      </c>
      <c r="O198" s="153">
        <f t="shared" si="15"/>
        <v>0</v>
      </c>
    </row>
    <row r="199" spans="1:15" hidden="1" outlineLevel="1">
      <c r="A199" s="281"/>
      <c r="B199" s="142" t="s">
        <v>1577</v>
      </c>
      <c r="C199" s="142" t="s">
        <v>592</v>
      </c>
      <c r="D199" s="142">
        <v>2.9375</v>
      </c>
      <c r="E199" s="286">
        <v>0.375</v>
      </c>
      <c r="F199" s="142" t="s">
        <v>1436</v>
      </c>
      <c r="G199" s="284" t="str">
        <f t="shared" si="19"/>
        <v>16X32MES2.93750.375DGL</v>
      </c>
      <c r="H199" s="284"/>
      <c r="I199" s="284"/>
      <c r="J199" s="285" t="s">
        <v>1582</v>
      </c>
      <c r="K199" s="285"/>
      <c r="L199" s="285"/>
      <c r="M199" s="146">
        <v>857.44</v>
      </c>
      <c r="N199" s="97">
        <f t="shared" si="18"/>
        <v>0</v>
      </c>
      <c r="O199" s="153">
        <f t="shared" si="15"/>
        <v>0</v>
      </c>
    </row>
    <row r="200" spans="1:15" hidden="1" outlineLevel="1">
      <c r="A200" s="281"/>
      <c r="B200" s="142" t="s">
        <v>1577</v>
      </c>
      <c r="C200" s="142" t="s">
        <v>592</v>
      </c>
      <c r="D200" s="142">
        <v>2.9375</v>
      </c>
      <c r="E200" s="286">
        <v>0.375</v>
      </c>
      <c r="F200" s="142" t="s">
        <v>598</v>
      </c>
      <c r="G200" s="284" t="str">
        <f t="shared" si="19"/>
        <v>16X32MES2.93750.375HBL</v>
      </c>
      <c r="H200" s="284"/>
      <c r="I200" s="284"/>
      <c r="J200" s="285" t="s">
        <v>1583</v>
      </c>
      <c r="K200" s="285"/>
      <c r="L200" s="285"/>
      <c r="M200" s="146">
        <v>851.11</v>
      </c>
      <c r="N200" s="97">
        <f t="shared" si="18"/>
        <v>0</v>
      </c>
      <c r="O200" s="153">
        <f t="shared" si="15"/>
        <v>0</v>
      </c>
    </row>
    <row r="201" spans="1:15" hidden="1" outlineLevel="1">
      <c r="A201" s="281"/>
      <c r="B201" s="142" t="s">
        <v>1577</v>
      </c>
      <c r="C201" s="142" t="s">
        <v>592</v>
      </c>
      <c r="D201" s="142">
        <v>3.4375</v>
      </c>
      <c r="E201" s="286">
        <v>0.375</v>
      </c>
      <c r="F201" s="142" t="s">
        <v>1436</v>
      </c>
      <c r="G201" s="284" t="str">
        <f t="shared" si="19"/>
        <v>16X32MES3.43750.375DGL</v>
      </c>
      <c r="H201" s="284"/>
      <c r="I201" s="284"/>
      <c r="J201" s="285" t="s">
        <v>1584</v>
      </c>
      <c r="K201" s="285"/>
      <c r="L201" s="285"/>
      <c r="M201" s="146">
        <v>917.73</v>
      </c>
      <c r="N201" s="97">
        <f t="shared" si="18"/>
        <v>0</v>
      </c>
      <c r="O201" s="153">
        <f t="shared" si="15"/>
        <v>0</v>
      </c>
    </row>
    <row r="202" spans="1:15" hidden="1" outlineLevel="1">
      <c r="A202" s="281"/>
      <c r="B202" s="142" t="s">
        <v>1577</v>
      </c>
      <c r="C202" s="142" t="s">
        <v>592</v>
      </c>
      <c r="D202" s="142">
        <v>3.9375</v>
      </c>
      <c r="E202" s="286">
        <v>0.375</v>
      </c>
      <c r="F202" s="142" t="s">
        <v>1436</v>
      </c>
      <c r="G202" s="284" t="str">
        <f t="shared" si="19"/>
        <v>16X32MES3.93750.375DGL</v>
      </c>
      <c r="H202" s="284"/>
      <c r="I202" s="284"/>
      <c r="J202" s="285" t="s">
        <v>1585</v>
      </c>
      <c r="K202" s="285"/>
      <c r="L202" s="285"/>
      <c r="M202" s="146">
        <v>1033.8800000000001</v>
      </c>
      <c r="N202" s="97">
        <f t="shared" si="18"/>
        <v>0</v>
      </c>
      <c r="O202" s="153">
        <f t="shared" si="15"/>
        <v>0</v>
      </c>
    </row>
    <row r="203" spans="1:15" hidden="1" outlineLevel="1">
      <c r="A203" s="281"/>
      <c r="B203" s="142" t="s">
        <v>1586</v>
      </c>
      <c r="C203" s="142" t="s">
        <v>592</v>
      </c>
      <c r="D203" s="142">
        <v>2.4375</v>
      </c>
      <c r="E203" s="286">
        <v>0.375</v>
      </c>
      <c r="F203" s="142" t="s">
        <v>1436</v>
      </c>
      <c r="G203" s="284" t="str">
        <f t="shared" si="19"/>
        <v>16X38MES2.43750.375DGL</v>
      </c>
      <c r="H203" s="284"/>
      <c r="I203" s="284"/>
      <c r="J203" s="285" t="s">
        <v>1587</v>
      </c>
      <c r="K203" s="285"/>
      <c r="L203" s="285"/>
      <c r="M203" s="146">
        <v>1043.95</v>
      </c>
      <c r="N203" s="97">
        <f t="shared" si="18"/>
        <v>0</v>
      </c>
      <c r="O203" s="153">
        <f t="shared" si="15"/>
        <v>0</v>
      </c>
    </row>
    <row r="204" spans="1:15" hidden="1" outlineLevel="1">
      <c r="A204" s="281"/>
      <c r="B204" s="142" t="s">
        <v>1586</v>
      </c>
      <c r="C204" s="142" t="s">
        <v>592</v>
      </c>
      <c r="D204" s="142">
        <v>2.4375</v>
      </c>
      <c r="E204" s="286">
        <v>0.375</v>
      </c>
      <c r="F204" s="142" t="s">
        <v>598</v>
      </c>
      <c r="G204" s="284" t="str">
        <f t="shared" si="19"/>
        <v>16X38MES2.43750.375HBL</v>
      </c>
      <c r="H204" s="284"/>
      <c r="I204" s="284"/>
      <c r="J204" s="285" t="s">
        <v>1588</v>
      </c>
      <c r="K204" s="285"/>
      <c r="L204" s="285"/>
      <c r="M204" s="146">
        <v>940.17</v>
      </c>
      <c r="N204" s="97">
        <f t="shared" si="18"/>
        <v>0</v>
      </c>
      <c r="O204" s="153">
        <f t="shared" si="15"/>
        <v>0</v>
      </c>
    </row>
    <row r="205" spans="1:15" hidden="1" outlineLevel="1">
      <c r="A205" s="281"/>
      <c r="B205" s="142" t="s">
        <v>1586</v>
      </c>
      <c r="C205" s="142" t="s">
        <v>592</v>
      </c>
      <c r="D205" s="142">
        <v>2.4375</v>
      </c>
      <c r="E205" s="286">
        <v>0.5</v>
      </c>
      <c r="F205" s="142" t="s">
        <v>1436</v>
      </c>
      <c r="G205" s="284" t="str">
        <f t="shared" si="19"/>
        <v>16X38MES2.43750.5DGL</v>
      </c>
      <c r="H205" s="284"/>
      <c r="I205" s="284"/>
      <c r="J205" s="285" t="s">
        <v>1589</v>
      </c>
      <c r="K205" s="285"/>
      <c r="L205" s="285"/>
      <c r="M205" s="146">
        <v>1130.18</v>
      </c>
      <c r="N205" s="97">
        <f t="shared" si="18"/>
        <v>0</v>
      </c>
      <c r="O205" s="153">
        <f t="shared" si="15"/>
        <v>0</v>
      </c>
    </row>
    <row r="206" spans="1:15" hidden="1" outlineLevel="1">
      <c r="A206" s="281"/>
      <c r="B206" s="142" t="s">
        <v>1586</v>
      </c>
      <c r="C206" s="142" t="s">
        <v>592</v>
      </c>
      <c r="D206" s="142">
        <v>2.4375</v>
      </c>
      <c r="E206" s="286">
        <v>0.5</v>
      </c>
      <c r="F206" s="142" t="s">
        <v>598</v>
      </c>
      <c r="G206" s="284" t="str">
        <f t="shared" si="19"/>
        <v>16X38MES2.43750.5HBL</v>
      </c>
      <c r="H206" s="284"/>
      <c r="I206" s="284"/>
      <c r="J206" s="285" t="s">
        <v>1590</v>
      </c>
      <c r="K206" s="285"/>
      <c r="L206" s="285"/>
      <c r="M206" s="146">
        <v>1026.4000000000001</v>
      </c>
      <c r="N206" s="97">
        <f t="shared" si="18"/>
        <v>0</v>
      </c>
      <c r="O206" s="153">
        <f t="shared" si="15"/>
        <v>0</v>
      </c>
    </row>
    <row r="207" spans="1:15" hidden="1" outlineLevel="1">
      <c r="A207" s="281"/>
      <c r="B207" s="142" t="s">
        <v>1586</v>
      </c>
      <c r="C207" s="142" t="s">
        <v>592</v>
      </c>
      <c r="D207" s="142">
        <v>2.9375</v>
      </c>
      <c r="E207" s="286">
        <v>0.375</v>
      </c>
      <c r="F207" s="142" t="s">
        <v>1436</v>
      </c>
      <c r="G207" s="284" t="str">
        <f t="shared" si="19"/>
        <v>16X38MES2.93750.375DGL</v>
      </c>
      <c r="H207" s="284"/>
      <c r="I207" s="284"/>
      <c r="J207" s="285" t="s">
        <v>1591</v>
      </c>
      <c r="K207" s="285"/>
      <c r="L207" s="285"/>
      <c r="M207" s="146">
        <v>1083.56</v>
      </c>
      <c r="N207" s="97">
        <f t="shared" si="18"/>
        <v>0</v>
      </c>
      <c r="O207" s="153">
        <f t="shared" si="15"/>
        <v>0</v>
      </c>
    </row>
    <row r="208" spans="1:15" hidden="1" outlineLevel="1">
      <c r="A208" s="281"/>
      <c r="B208" s="142" t="s">
        <v>1586</v>
      </c>
      <c r="C208" s="142" t="s">
        <v>592</v>
      </c>
      <c r="D208" s="142">
        <v>2.9375</v>
      </c>
      <c r="E208" s="286">
        <v>0.375</v>
      </c>
      <c r="F208" s="142" t="s">
        <v>598</v>
      </c>
      <c r="G208" s="284" t="str">
        <f t="shared" si="19"/>
        <v>16X38MES2.93750.375HBL</v>
      </c>
      <c r="H208" s="284"/>
      <c r="I208" s="284"/>
      <c r="J208" s="285" t="s">
        <v>1592</v>
      </c>
      <c r="K208" s="285"/>
      <c r="L208" s="285"/>
      <c r="M208" s="146">
        <v>979.79</v>
      </c>
      <c r="N208" s="97">
        <f t="shared" si="18"/>
        <v>0</v>
      </c>
      <c r="O208" s="153">
        <f t="shared" si="15"/>
        <v>0</v>
      </c>
    </row>
    <row r="209" spans="1:15" hidden="1" outlineLevel="1">
      <c r="A209" s="281"/>
      <c r="B209" s="142" t="s">
        <v>1586</v>
      </c>
      <c r="C209" s="142" t="s">
        <v>592</v>
      </c>
      <c r="D209" s="142">
        <v>2.9375</v>
      </c>
      <c r="E209" s="286">
        <v>0.5</v>
      </c>
      <c r="F209" s="142" t="s">
        <v>1436</v>
      </c>
      <c r="G209" s="284" t="str">
        <f t="shared" si="19"/>
        <v>16X38MES2.93750.5DGL</v>
      </c>
      <c r="H209" s="284"/>
      <c r="I209" s="284"/>
      <c r="J209" s="285" t="s">
        <v>1593</v>
      </c>
      <c r="K209" s="285"/>
      <c r="L209" s="285"/>
      <c r="M209" s="146">
        <v>1169.79</v>
      </c>
      <c r="N209" s="97">
        <f t="shared" si="18"/>
        <v>0</v>
      </c>
      <c r="O209" s="153">
        <f t="shared" si="15"/>
        <v>0</v>
      </c>
    </row>
    <row r="210" spans="1:15" hidden="1" outlineLevel="1">
      <c r="A210" s="281"/>
      <c r="B210" s="142" t="s">
        <v>1586</v>
      </c>
      <c r="C210" s="142" t="s">
        <v>592</v>
      </c>
      <c r="D210" s="142">
        <v>2.9375</v>
      </c>
      <c r="E210" s="286">
        <v>0.5</v>
      </c>
      <c r="F210" s="142" t="s">
        <v>598</v>
      </c>
      <c r="G210" s="284" t="str">
        <f t="shared" si="19"/>
        <v>16X38MES2.93750.5HBL</v>
      </c>
      <c r="H210" s="284"/>
      <c r="I210" s="284"/>
      <c r="J210" s="285" t="s">
        <v>1594</v>
      </c>
      <c r="K210" s="285"/>
      <c r="L210" s="285"/>
      <c r="M210" s="146">
        <v>1066.01</v>
      </c>
      <c r="N210" s="97">
        <f t="shared" si="18"/>
        <v>0</v>
      </c>
      <c r="O210" s="153">
        <f t="shared" si="15"/>
        <v>0</v>
      </c>
    </row>
    <row r="211" spans="1:15" hidden="1" outlineLevel="1">
      <c r="A211" s="281"/>
      <c r="B211" s="142" t="s">
        <v>1595</v>
      </c>
      <c r="C211" s="142" t="s">
        <v>592</v>
      </c>
      <c r="D211" s="142">
        <v>2.4375</v>
      </c>
      <c r="E211" s="286">
        <v>0.375</v>
      </c>
      <c r="F211" s="142" t="s">
        <v>1436</v>
      </c>
      <c r="G211" s="284" t="str">
        <f t="shared" si="19"/>
        <v>16X44MES2.43750.375DGL</v>
      </c>
      <c r="H211" s="284"/>
      <c r="I211" s="284"/>
      <c r="J211" s="285" t="s">
        <v>1596</v>
      </c>
      <c r="K211" s="285"/>
      <c r="L211" s="285"/>
      <c r="M211" s="146">
        <v>1178.6400000000001</v>
      </c>
      <c r="N211" s="97">
        <f t="shared" si="18"/>
        <v>0</v>
      </c>
      <c r="O211" s="153">
        <f t="shared" si="15"/>
        <v>0</v>
      </c>
    </row>
    <row r="212" spans="1:15" hidden="1" outlineLevel="1">
      <c r="A212" s="281"/>
      <c r="B212" s="142" t="s">
        <v>1595</v>
      </c>
      <c r="C212" s="142" t="s">
        <v>592</v>
      </c>
      <c r="D212" s="142">
        <v>2.4375</v>
      </c>
      <c r="E212" s="286">
        <v>0.375</v>
      </c>
      <c r="F212" s="142" t="s">
        <v>598</v>
      </c>
      <c r="G212" s="284" t="str">
        <f t="shared" si="19"/>
        <v>16X44MES2.43750.375HBL</v>
      </c>
      <c r="H212" s="284"/>
      <c r="I212" s="284"/>
      <c r="J212" s="285" t="s">
        <v>1597</v>
      </c>
      <c r="K212" s="285"/>
      <c r="L212" s="285"/>
      <c r="M212" s="146">
        <v>1074.8499999999999</v>
      </c>
      <c r="N212" s="97">
        <f t="shared" si="18"/>
        <v>0</v>
      </c>
      <c r="O212" s="153">
        <f t="shared" si="15"/>
        <v>0</v>
      </c>
    </row>
    <row r="213" spans="1:15" hidden="1" outlineLevel="1">
      <c r="A213" s="281"/>
      <c r="B213" s="142" t="s">
        <v>1595</v>
      </c>
      <c r="C213" s="142" t="s">
        <v>592</v>
      </c>
      <c r="D213" s="142">
        <v>2.4375</v>
      </c>
      <c r="E213" s="286">
        <v>0.5</v>
      </c>
      <c r="F213" s="142" t="s">
        <v>1436</v>
      </c>
      <c r="G213" s="284" t="str">
        <f t="shared" si="19"/>
        <v>16X44MES2.43750.5DGL</v>
      </c>
      <c r="H213" s="284"/>
      <c r="I213" s="284"/>
      <c r="J213" s="285" t="s">
        <v>1598</v>
      </c>
      <c r="K213" s="285"/>
      <c r="L213" s="285"/>
      <c r="M213" s="146">
        <v>1278.49</v>
      </c>
      <c r="N213" s="97">
        <f t="shared" si="18"/>
        <v>0</v>
      </c>
      <c r="O213" s="153">
        <f t="shared" si="15"/>
        <v>0</v>
      </c>
    </row>
    <row r="214" spans="1:15" hidden="1" outlineLevel="1">
      <c r="A214" s="281"/>
      <c r="B214" s="142" t="s">
        <v>1595</v>
      </c>
      <c r="C214" s="142" t="s">
        <v>592</v>
      </c>
      <c r="D214" s="142">
        <v>2.4375</v>
      </c>
      <c r="E214" s="286">
        <v>0.5</v>
      </c>
      <c r="F214" s="142" t="s">
        <v>598</v>
      </c>
      <c r="G214" s="284" t="str">
        <f t="shared" si="19"/>
        <v>16X44MES2.43750.5HBL</v>
      </c>
      <c r="H214" s="284"/>
      <c r="I214" s="284"/>
      <c r="J214" s="285" t="s">
        <v>1599</v>
      </c>
      <c r="K214" s="285"/>
      <c r="L214" s="285"/>
      <c r="M214" s="146">
        <v>1174.7</v>
      </c>
      <c r="N214" s="97">
        <f t="shared" si="18"/>
        <v>0</v>
      </c>
      <c r="O214" s="153">
        <f t="shared" si="15"/>
        <v>0</v>
      </c>
    </row>
    <row r="215" spans="1:15" hidden="1" outlineLevel="1">
      <c r="A215" s="281"/>
      <c r="B215" s="142" t="s">
        <v>1595</v>
      </c>
      <c r="C215" s="142" t="s">
        <v>592</v>
      </c>
      <c r="D215" s="142">
        <v>2.9375</v>
      </c>
      <c r="E215" s="286">
        <v>0.375</v>
      </c>
      <c r="F215" s="142" t="s">
        <v>1436</v>
      </c>
      <c r="G215" s="284" t="str">
        <f t="shared" si="19"/>
        <v>16X44MES2.93750.375DGL</v>
      </c>
      <c r="H215" s="284"/>
      <c r="I215" s="284"/>
      <c r="J215" s="285" t="s">
        <v>1600</v>
      </c>
      <c r="K215" s="285"/>
      <c r="L215" s="285"/>
      <c r="M215" s="146">
        <v>1234.4000000000001</v>
      </c>
      <c r="N215" s="97">
        <f t="shared" si="18"/>
        <v>0</v>
      </c>
      <c r="O215" s="153">
        <f t="shared" si="15"/>
        <v>0</v>
      </c>
    </row>
    <row r="216" spans="1:15" hidden="1" outlineLevel="1">
      <c r="A216" s="281"/>
      <c r="B216" s="142" t="s">
        <v>1595</v>
      </c>
      <c r="C216" s="142" t="s">
        <v>592</v>
      </c>
      <c r="D216" s="142">
        <v>2.9375</v>
      </c>
      <c r="E216" s="286">
        <v>0.375</v>
      </c>
      <c r="F216" s="142" t="s">
        <v>598</v>
      </c>
      <c r="G216" s="284" t="str">
        <f t="shared" si="19"/>
        <v>16X44MES2.93750.375HBL</v>
      </c>
      <c r="H216" s="284"/>
      <c r="I216" s="284"/>
      <c r="J216" s="285" t="s">
        <v>1601</v>
      </c>
      <c r="K216" s="285"/>
      <c r="L216" s="285"/>
      <c r="M216" s="146">
        <v>1130.6099999999999</v>
      </c>
      <c r="N216" s="97">
        <f t="shared" si="18"/>
        <v>0</v>
      </c>
      <c r="O216" s="153">
        <f t="shared" si="15"/>
        <v>0</v>
      </c>
    </row>
    <row r="217" spans="1:15" hidden="1" outlineLevel="1">
      <c r="A217" s="281"/>
      <c r="B217" s="142" t="s">
        <v>1595</v>
      </c>
      <c r="C217" s="142" t="s">
        <v>592</v>
      </c>
      <c r="D217" s="142">
        <v>2.9375</v>
      </c>
      <c r="E217" s="286">
        <v>0.5</v>
      </c>
      <c r="F217" s="142" t="s">
        <v>1436</v>
      </c>
      <c r="G217" s="284" t="str">
        <f t="shared" si="19"/>
        <v>16X44MES2.93750.5DGL</v>
      </c>
      <c r="H217" s="284"/>
      <c r="I217" s="284"/>
      <c r="J217" s="285" t="s">
        <v>1602</v>
      </c>
      <c r="K217" s="285"/>
      <c r="L217" s="285"/>
      <c r="M217" s="146">
        <v>1334.24</v>
      </c>
      <c r="N217" s="97">
        <f t="shared" si="18"/>
        <v>0</v>
      </c>
      <c r="O217" s="153">
        <f t="shared" si="15"/>
        <v>0</v>
      </c>
    </row>
    <row r="218" spans="1:15" hidden="1" outlineLevel="1">
      <c r="A218" s="281"/>
      <c r="B218" s="142" t="s">
        <v>1595</v>
      </c>
      <c r="C218" s="142" t="s">
        <v>592</v>
      </c>
      <c r="D218" s="142">
        <v>2.9375</v>
      </c>
      <c r="E218" s="286">
        <v>0.5</v>
      </c>
      <c r="F218" s="142" t="s">
        <v>598</v>
      </c>
      <c r="G218" s="284" t="str">
        <f t="shared" si="19"/>
        <v>16X44MES2.93750.5HBL</v>
      </c>
      <c r="H218" s="284"/>
      <c r="I218" s="284"/>
      <c r="J218" s="285" t="s">
        <v>1603</v>
      </c>
      <c r="K218" s="285"/>
      <c r="L218" s="285"/>
      <c r="M218" s="146">
        <v>1230.45</v>
      </c>
      <c r="N218" s="97">
        <f t="shared" si="18"/>
        <v>0</v>
      </c>
      <c r="O218" s="153">
        <f t="shared" si="15"/>
        <v>0</v>
      </c>
    </row>
    <row r="219" spans="1:15" hidden="1" outlineLevel="1">
      <c r="A219" s="281"/>
      <c r="B219" s="142" t="s">
        <v>1567</v>
      </c>
      <c r="C219" s="142" t="s">
        <v>1490</v>
      </c>
      <c r="D219" s="142">
        <v>2.4375</v>
      </c>
      <c r="E219" s="286" t="s">
        <v>1011</v>
      </c>
      <c r="F219" s="142" t="s">
        <v>1011</v>
      </c>
      <c r="G219" s="284" t="str">
        <f t="shared" ref="G219" si="20">B219&amp;C219&amp;D219&amp;E219&amp;F219</f>
        <v>16X26CF2.4375N/AN/A</v>
      </c>
      <c r="H219" s="284"/>
      <c r="I219" s="284"/>
      <c r="J219" s="285" t="s">
        <v>1604</v>
      </c>
      <c r="K219" s="285"/>
      <c r="L219" s="285"/>
      <c r="M219" s="146">
        <v>1200</v>
      </c>
      <c r="N219" s="97">
        <f t="shared" si="18"/>
        <v>0</v>
      </c>
      <c r="O219" s="153">
        <f t="shared" ref="O219" si="21">M219*N219</f>
        <v>0</v>
      </c>
    </row>
    <row r="220" spans="1:15" hidden="1" outlineLevel="1">
      <c r="A220" s="281"/>
      <c r="B220" s="1118" t="s">
        <v>1567</v>
      </c>
      <c r="C220" s="1118" t="s">
        <v>1490</v>
      </c>
      <c r="D220" s="142">
        <v>2.9375</v>
      </c>
      <c r="E220" s="1190" t="s">
        <v>1011</v>
      </c>
      <c r="F220" s="1118" t="s">
        <v>1011</v>
      </c>
      <c r="G220" s="284" t="str">
        <f t="shared" si="19"/>
        <v>16X26CF2.9375N/AN/A</v>
      </c>
      <c r="H220" s="284"/>
      <c r="I220" s="284"/>
      <c r="J220" s="285" t="s">
        <v>1605</v>
      </c>
      <c r="K220" s="285"/>
      <c r="L220" s="285"/>
      <c r="M220" s="146">
        <v>1205.43</v>
      </c>
      <c r="N220" s="97">
        <f t="shared" si="18"/>
        <v>0</v>
      </c>
      <c r="O220" s="153">
        <f t="shared" si="15"/>
        <v>0</v>
      </c>
    </row>
    <row r="221" spans="1:15" hidden="1" outlineLevel="1">
      <c r="A221" s="281"/>
      <c r="B221" s="142" t="s">
        <v>1567</v>
      </c>
      <c r="C221" s="142" t="s">
        <v>1490</v>
      </c>
      <c r="D221" s="142">
        <v>3.4375</v>
      </c>
      <c r="E221" s="286" t="s">
        <v>1011</v>
      </c>
      <c r="F221" s="142" t="s">
        <v>1011</v>
      </c>
      <c r="G221" s="284" t="str">
        <f t="shared" si="19"/>
        <v>16X26CF3.4375N/AN/A</v>
      </c>
      <c r="H221" s="284"/>
      <c r="I221" s="284"/>
      <c r="J221" s="285" t="s">
        <v>1604</v>
      </c>
      <c r="K221" s="285"/>
      <c r="L221" s="285"/>
      <c r="M221" s="146">
        <v>1217.8</v>
      </c>
      <c r="N221" s="97">
        <f t="shared" si="18"/>
        <v>0</v>
      </c>
      <c r="O221" s="153">
        <f t="shared" si="15"/>
        <v>0</v>
      </c>
    </row>
    <row r="222" spans="1:15" hidden="1" outlineLevel="1">
      <c r="A222" s="281"/>
      <c r="B222" s="142" t="s">
        <v>1606</v>
      </c>
      <c r="C222" s="142" t="s">
        <v>592</v>
      </c>
      <c r="D222" s="142">
        <v>2.4375</v>
      </c>
      <c r="E222" s="286">
        <v>0.375</v>
      </c>
      <c r="F222" s="142" t="s">
        <v>1436</v>
      </c>
      <c r="G222" s="284" t="str">
        <f t="shared" si="19"/>
        <v>18X20MES2.43750.375DGL</v>
      </c>
      <c r="H222" s="284"/>
      <c r="I222" s="284"/>
      <c r="J222" s="285" t="s">
        <v>1607</v>
      </c>
      <c r="K222" s="285"/>
      <c r="L222" s="285"/>
      <c r="M222" s="146">
        <v>836.8</v>
      </c>
      <c r="N222" s="97">
        <f t="shared" si="18"/>
        <v>0</v>
      </c>
      <c r="O222" s="153">
        <f t="shared" si="15"/>
        <v>0</v>
      </c>
    </row>
    <row r="223" spans="1:15" hidden="1" outlineLevel="1">
      <c r="A223" s="281"/>
      <c r="B223" s="142" t="s">
        <v>1606</v>
      </c>
      <c r="C223" s="142" t="s">
        <v>592</v>
      </c>
      <c r="D223" s="142">
        <v>2.4375</v>
      </c>
      <c r="E223" s="286">
        <v>0.375</v>
      </c>
      <c r="F223" s="142" t="s">
        <v>598</v>
      </c>
      <c r="G223" s="284" t="str">
        <f t="shared" si="19"/>
        <v>18X20MES2.43750.375HBL</v>
      </c>
      <c r="H223" s="284"/>
      <c r="I223" s="284"/>
      <c r="J223" s="285" t="s">
        <v>1608</v>
      </c>
      <c r="K223" s="285"/>
      <c r="L223" s="285"/>
      <c r="M223" s="146">
        <v>723.58</v>
      </c>
      <c r="N223" s="97">
        <f t="shared" si="18"/>
        <v>0</v>
      </c>
      <c r="O223" s="153">
        <f t="shared" ref="O223:O270" si="22">M223*N223</f>
        <v>0</v>
      </c>
    </row>
    <row r="224" spans="1:15" hidden="1" outlineLevel="1">
      <c r="A224" s="281"/>
      <c r="B224" s="142" t="s">
        <v>1606</v>
      </c>
      <c r="C224" s="142" t="s">
        <v>592</v>
      </c>
      <c r="D224" s="142">
        <v>2.9375</v>
      </c>
      <c r="E224" s="286">
        <v>0.375</v>
      </c>
      <c r="F224" s="142" t="s">
        <v>1436</v>
      </c>
      <c r="G224" s="284" t="str">
        <f t="shared" si="19"/>
        <v>18X20MES2.93750.375DGL</v>
      </c>
      <c r="H224" s="284"/>
      <c r="I224" s="284"/>
      <c r="J224" s="285" t="s">
        <v>1609</v>
      </c>
      <c r="K224" s="285"/>
      <c r="L224" s="285"/>
      <c r="M224" s="146">
        <v>863.25</v>
      </c>
      <c r="N224" s="97">
        <f t="shared" si="18"/>
        <v>0</v>
      </c>
      <c r="O224" s="153">
        <f t="shared" si="22"/>
        <v>0</v>
      </c>
    </row>
    <row r="225" spans="1:15" hidden="1" outlineLevel="1">
      <c r="A225" s="281"/>
      <c r="B225" s="142" t="s">
        <v>1606</v>
      </c>
      <c r="C225" s="142" t="s">
        <v>592</v>
      </c>
      <c r="D225" s="142">
        <v>2.9375</v>
      </c>
      <c r="E225" s="286">
        <v>0.375</v>
      </c>
      <c r="F225" s="142" t="s">
        <v>598</v>
      </c>
      <c r="G225" s="284" t="str">
        <f t="shared" si="19"/>
        <v>18X20MES2.93750.375HBL</v>
      </c>
      <c r="H225" s="284"/>
      <c r="I225" s="284"/>
      <c r="J225" s="285" t="s">
        <v>1610</v>
      </c>
      <c r="K225" s="285"/>
      <c r="L225" s="285"/>
      <c r="M225" s="146">
        <v>750.03</v>
      </c>
      <c r="N225" s="97">
        <f t="shared" si="18"/>
        <v>0</v>
      </c>
      <c r="O225" s="153">
        <f t="shared" si="22"/>
        <v>0</v>
      </c>
    </row>
    <row r="226" spans="1:15" hidden="1" outlineLevel="1">
      <c r="A226" s="281"/>
      <c r="B226" s="142" t="s">
        <v>1606</v>
      </c>
      <c r="C226" s="142" t="s">
        <v>592</v>
      </c>
      <c r="D226" s="142">
        <v>2.9375</v>
      </c>
      <c r="E226" s="286">
        <v>0.5</v>
      </c>
      <c r="F226" s="142" t="s">
        <v>1436</v>
      </c>
      <c r="G226" s="284" t="str">
        <f t="shared" si="19"/>
        <v>18X20MES2.93750.5DGL</v>
      </c>
      <c r="H226" s="284"/>
      <c r="I226" s="284"/>
      <c r="J226" s="285" t="s">
        <v>1611</v>
      </c>
      <c r="K226" s="285"/>
      <c r="L226" s="285"/>
      <c r="M226" s="146">
        <v>913.65</v>
      </c>
      <c r="N226" s="97">
        <f t="shared" si="18"/>
        <v>0</v>
      </c>
      <c r="O226" s="153">
        <f t="shared" si="22"/>
        <v>0</v>
      </c>
    </row>
    <row r="227" spans="1:15" hidden="1" outlineLevel="1">
      <c r="A227" s="281"/>
      <c r="B227" s="142" t="s">
        <v>1606</v>
      </c>
      <c r="C227" s="142" t="s">
        <v>592</v>
      </c>
      <c r="D227" s="142">
        <v>2.9375</v>
      </c>
      <c r="E227" s="286">
        <v>0.5</v>
      </c>
      <c r="F227" s="142" t="s">
        <v>1436</v>
      </c>
      <c r="G227" s="284" t="str">
        <f t="shared" si="19"/>
        <v>18X20MES2.93750.5DGL</v>
      </c>
      <c r="H227" s="284"/>
      <c r="I227" s="284"/>
      <c r="J227" s="285" t="s">
        <v>1611</v>
      </c>
      <c r="K227" s="285"/>
      <c r="L227" s="285"/>
      <c r="M227" s="146">
        <v>913.65</v>
      </c>
      <c r="N227" s="97">
        <f t="shared" si="18"/>
        <v>0</v>
      </c>
      <c r="O227" s="153">
        <f t="shared" si="22"/>
        <v>0</v>
      </c>
    </row>
    <row r="228" spans="1:15" hidden="1" outlineLevel="1">
      <c r="A228" s="281"/>
      <c r="B228" s="142" t="s">
        <v>1606</v>
      </c>
      <c r="C228" s="142" t="s">
        <v>592</v>
      </c>
      <c r="D228" s="142">
        <v>2.9375</v>
      </c>
      <c r="E228" s="286">
        <v>0.5</v>
      </c>
      <c r="F228" s="142" t="s">
        <v>598</v>
      </c>
      <c r="G228" s="284" t="str">
        <f t="shared" si="19"/>
        <v>18X20MES2.93750.5HBL</v>
      </c>
      <c r="H228" s="284"/>
      <c r="I228" s="284"/>
      <c r="J228" s="285" t="s">
        <v>1612</v>
      </c>
      <c r="K228" s="285"/>
      <c r="L228" s="285"/>
      <c r="M228" s="146">
        <v>800.44</v>
      </c>
      <c r="N228" s="97">
        <f t="shared" si="18"/>
        <v>0</v>
      </c>
      <c r="O228" s="153">
        <f t="shared" si="22"/>
        <v>0</v>
      </c>
    </row>
    <row r="229" spans="1:15" hidden="1" outlineLevel="1">
      <c r="A229" s="281"/>
      <c r="B229" s="142" t="s">
        <v>1606</v>
      </c>
      <c r="C229" s="142" t="s">
        <v>592</v>
      </c>
      <c r="D229" s="142">
        <v>2.9375</v>
      </c>
      <c r="E229" s="286">
        <v>0.5</v>
      </c>
      <c r="F229" s="142" t="s">
        <v>598</v>
      </c>
      <c r="G229" s="284" t="str">
        <f t="shared" si="19"/>
        <v>18X20MES2.93750.5HBL</v>
      </c>
      <c r="H229" s="284"/>
      <c r="I229" s="284"/>
      <c r="J229" s="285" t="s">
        <v>1612</v>
      </c>
      <c r="K229" s="285"/>
      <c r="L229" s="285"/>
      <c r="M229" s="146">
        <v>800.43</v>
      </c>
      <c r="N229" s="97">
        <f t="shared" si="18"/>
        <v>0</v>
      </c>
      <c r="O229" s="153">
        <f t="shared" si="22"/>
        <v>0</v>
      </c>
    </row>
    <row r="230" spans="1:15" hidden="1" outlineLevel="1">
      <c r="A230" s="281"/>
      <c r="B230" s="142" t="s">
        <v>1613</v>
      </c>
      <c r="C230" s="142" t="s">
        <v>592</v>
      </c>
      <c r="D230" s="142">
        <v>2.4375</v>
      </c>
      <c r="E230" s="286">
        <v>0.375</v>
      </c>
      <c r="F230" s="142" t="s">
        <v>1436</v>
      </c>
      <c r="G230" s="284" t="str">
        <f t="shared" si="19"/>
        <v>18X26MES2.43750.375DGL</v>
      </c>
      <c r="H230" s="284"/>
      <c r="I230" s="284"/>
      <c r="J230" s="285" t="s">
        <v>1614</v>
      </c>
      <c r="K230" s="285"/>
      <c r="L230" s="285"/>
      <c r="M230" s="146">
        <v>942.49</v>
      </c>
      <c r="N230" s="97">
        <f t="shared" si="18"/>
        <v>0</v>
      </c>
      <c r="O230" s="153">
        <f t="shared" si="22"/>
        <v>0</v>
      </c>
    </row>
    <row r="231" spans="1:15" hidden="1" outlineLevel="1">
      <c r="A231" s="281"/>
      <c r="B231" s="142" t="s">
        <v>1613</v>
      </c>
      <c r="C231" s="142" t="s">
        <v>592</v>
      </c>
      <c r="D231" s="142">
        <v>2.4375</v>
      </c>
      <c r="E231" s="286">
        <v>0.375</v>
      </c>
      <c r="F231" s="142" t="s">
        <v>598</v>
      </c>
      <c r="G231" s="284" t="str">
        <f t="shared" si="19"/>
        <v>18X26MES2.43750.375HBL</v>
      </c>
      <c r="H231" s="284"/>
      <c r="I231" s="284"/>
      <c r="J231" s="285" t="s">
        <v>1615</v>
      </c>
      <c r="K231" s="285"/>
      <c r="L231" s="285"/>
      <c r="M231" s="146">
        <v>829.27</v>
      </c>
      <c r="N231" s="97">
        <f t="shared" si="18"/>
        <v>0</v>
      </c>
      <c r="O231" s="153">
        <f t="shared" si="22"/>
        <v>0</v>
      </c>
    </row>
    <row r="232" spans="1:15" hidden="1" outlineLevel="1">
      <c r="A232" s="281"/>
      <c r="B232" s="142" t="s">
        <v>1613</v>
      </c>
      <c r="C232" s="142" t="s">
        <v>592</v>
      </c>
      <c r="D232" s="142">
        <v>2.4375</v>
      </c>
      <c r="E232" s="286">
        <v>0.5</v>
      </c>
      <c r="F232" s="142" t="s">
        <v>1436</v>
      </c>
      <c r="G232" s="284" t="str">
        <f t="shared" si="19"/>
        <v>18X26MES2.43750.5DGL</v>
      </c>
      <c r="H232" s="284"/>
      <c r="I232" s="284"/>
      <c r="J232" s="285" t="s">
        <v>1616</v>
      </c>
      <c r="K232" s="285"/>
      <c r="L232" s="285"/>
      <c r="M232" s="146">
        <v>1008</v>
      </c>
      <c r="N232" s="97">
        <f t="shared" si="18"/>
        <v>0</v>
      </c>
      <c r="O232" s="153">
        <f t="shared" si="22"/>
        <v>0</v>
      </c>
    </row>
    <row r="233" spans="1:15" hidden="1" outlineLevel="1">
      <c r="A233" s="281"/>
      <c r="B233" s="142" t="s">
        <v>1613</v>
      </c>
      <c r="C233" s="142" t="s">
        <v>592</v>
      </c>
      <c r="D233" s="142">
        <v>2.4375</v>
      </c>
      <c r="E233" s="286">
        <v>0.5</v>
      </c>
      <c r="F233" s="142" t="s">
        <v>598</v>
      </c>
      <c r="G233" s="284" t="str">
        <f t="shared" si="19"/>
        <v>18X26MES2.43750.5HBL</v>
      </c>
      <c r="H233" s="284"/>
      <c r="I233" s="284"/>
      <c r="J233" s="285" t="s">
        <v>1617</v>
      </c>
      <c r="K233" s="285"/>
      <c r="L233" s="285"/>
      <c r="M233" s="146">
        <v>894.79</v>
      </c>
      <c r="N233" s="97">
        <f t="shared" si="18"/>
        <v>0</v>
      </c>
      <c r="O233" s="153">
        <f t="shared" si="22"/>
        <v>0</v>
      </c>
    </row>
    <row r="234" spans="1:15" hidden="1" outlineLevel="1">
      <c r="A234" s="281"/>
      <c r="B234" s="142" t="s">
        <v>1613</v>
      </c>
      <c r="C234" s="142" t="s">
        <v>592</v>
      </c>
      <c r="D234" s="142">
        <v>2.9375</v>
      </c>
      <c r="E234" s="286">
        <v>0.375</v>
      </c>
      <c r="F234" s="142" t="s">
        <v>1436</v>
      </c>
      <c r="G234" s="284" t="str">
        <f t="shared" si="19"/>
        <v>18X26MES2.93750.375DGL</v>
      </c>
      <c r="H234" s="284"/>
      <c r="I234" s="284"/>
      <c r="J234" s="285" t="s">
        <v>1618</v>
      </c>
      <c r="K234" s="285"/>
      <c r="L234" s="285"/>
      <c r="M234" s="146">
        <v>872.91</v>
      </c>
      <c r="N234" s="97">
        <f t="shared" si="18"/>
        <v>0</v>
      </c>
      <c r="O234" s="153">
        <f t="shared" si="22"/>
        <v>0</v>
      </c>
    </row>
    <row r="235" spans="1:15" hidden="1" outlineLevel="1">
      <c r="A235" s="281"/>
      <c r="B235" s="142" t="s">
        <v>1613</v>
      </c>
      <c r="C235" s="142" t="s">
        <v>592</v>
      </c>
      <c r="D235" s="142">
        <v>2.9375</v>
      </c>
      <c r="E235" s="286">
        <v>0.375</v>
      </c>
      <c r="F235" s="142" t="s">
        <v>598</v>
      </c>
      <c r="G235" s="284" t="str">
        <f t="shared" si="19"/>
        <v>18X26MES2.93750.375HBL</v>
      </c>
      <c r="H235" s="284"/>
      <c r="I235" s="284"/>
      <c r="J235" s="285" t="s">
        <v>1619</v>
      </c>
      <c r="K235" s="285"/>
      <c r="L235" s="285"/>
      <c r="M235" s="146">
        <v>858.01</v>
      </c>
      <c r="N235" s="97">
        <f t="shared" si="18"/>
        <v>0</v>
      </c>
      <c r="O235" s="153">
        <f t="shared" si="22"/>
        <v>0</v>
      </c>
    </row>
    <row r="236" spans="1:15" hidden="1" outlineLevel="1">
      <c r="A236" s="281"/>
      <c r="B236" s="142" t="s">
        <v>1613</v>
      </c>
      <c r="C236" s="142" t="s">
        <v>592</v>
      </c>
      <c r="D236" s="142">
        <v>2.9375</v>
      </c>
      <c r="E236" s="286">
        <v>0.5</v>
      </c>
      <c r="F236" s="142" t="s">
        <v>1436</v>
      </c>
      <c r="G236" s="284" t="str">
        <f t="shared" si="19"/>
        <v>18X26MES2.93750.5DGL</v>
      </c>
      <c r="H236" s="284"/>
      <c r="I236" s="284"/>
      <c r="J236" s="285" t="s">
        <v>1620</v>
      </c>
      <c r="K236" s="285"/>
      <c r="L236" s="285"/>
      <c r="M236" s="146">
        <v>1036.74</v>
      </c>
      <c r="N236" s="97">
        <f t="shared" si="18"/>
        <v>0</v>
      </c>
      <c r="O236" s="153">
        <f t="shared" si="22"/>
        <v>0</v>
      </c>
    </row>
    <row r="237" spans="1:15" hidden="1" outlineLevel="1">
      <c r="A237" s="281"/>
      <c r="B237" s="142" t="s">
        <v>1613</v>
      </c>
      <c r="C237" s="142" t="s">
        <v>592</v>
      </c>
      <c r="D237" s="142">
        <v>2.9375</v>
      </c>
      <c r="E237" s="286">
        <v>0.5</v>
      </c>
      <c r="F237" s="142" t="s">
        <v>598</v>
      </c>
      <c r="G237" s="284" t="str">
        <f t="shared" si="19"/>
        <v>18X26MES2.93750.5HBL</v>
      </c>
      <c r="H237" s="284"/>
      <c r="I237" s="284"/>
      <c r="J237" s="285" t="s">
        <v>1621</v>
      </c>
      <c r="K237" s="285"/>
      <c r="L237" s="285"/>
      <c r="M237" s="146">
        <v>923.52</v>
      </c>
      <c r="N237" s="97">
        <f t="shared" si="18"/>
        <v>0</v>
      </c>
      <c r="O237" s="153">
        <f t="shared" si="22"/>
        <v>0</v>
      </c>
    </row>
    <row r="238" spans="1:15" hidden="1" outlineLevel="1">
      <c r="A238" s="281"/>
      <c r="B238" s="142" t="s">
        <v>1613</v>
      </c>
      <c r="C238" s="142" t="s">
        <v>592</v>
      </c>
      <c r="D238" s="142">
        <v>3.4375</v>
      </c>
      <c r="E238" s="286">
        <v>0.375</v>
      </c>
      <c r="F238" s="142" t="s">
        <v>1436</v>
      </c>
      <c r="G238" s="284" t="str">
        <f t="shared" si="19"/>
        <v>18X26MES3.43750.375DGL</v>
      </c>
      <c r="H238" s="284"/>
      <c r="I238" s="284"/>
      <c r="J238" s="285" t="s">
        <v>1622</v>
      </c>
      <c r="K238" s="285"/>
      <c r="L238" s="285"/>
      <c r="M238" s="146">
        <v>931.63</v>
      </c>
      <c r="N238" s="97">
        <f t="shared" si="18"/>
        <v>0</v>
      </c>
      <c r="O238" s="153">
        <f t="shared" si="22"/>
        <v>0</v>
      </c>
    </row>
    <row r="239" spans="1:15" hidden="1" outlineLevel="1">
      <c r="A239" s="281"/>
      <c r="B239" s="142" t="s">
        <v>1613</v>
      </c>
      <c r="C239" s="142" t="s">
        <v>592</v>
      </c>
      <c r="D239" s="142">
        <v>3.9375</v>
      </c>
      <c r="E239" s="286">
        <v>0.375</v>
      </c>
      <c r="F239" s="142" t="s">
        <v>1436</v>
      </c>
      <c r="G239" s="284" t="str">
        <f t="shared" si="19"/>
        <v>18X26MES3.93750.375DGL</v>
      </c>
      <c r="H239" s="284"/>
      <c r="I239" s="284"/>
      <c r="J239" s="285" t="s">
        <v>1623</v>
      </c>
      <c r="K239" s="285"/>
      <c r="L239" s="285"/>
      <c r="M239" s="146">
        <v>1008.1</v>
      </c>
      <c r="N239" s="97">
        <f t="shared" si="18"/>
        <v>0</v>
      </c>
      <c r="O239" s="153">
        <f t="shared" si="22"/>
        <v>0</v>
      </c>
    </row>
    <row r="240" spans="1:15" hidden="1" outlineLevel="1">
      <c r="A240" s="281"/>
      <c r="B240" s="142" t="s">
        <v>1624</v>
      </c>
      <c r="C240" s="142" t="s">
        <v>592</v>
      </c>
      <c r="D240" s="142">
        <v>2.4375</v>
      </c>
      <c r="E240" s="286">
        <v>0.375</v>
      </c>
      <c r="F240" s="142" t="s">
        <v>1436</v>
      </c>
      <c r="G240" s="284" t="str">
        <f t="shared" si="19"/>
        <v>18X32MES2.43750.375DGL</v>
      </c>
      <c r="H240" s="284"/>
      <c r="I240" s="284"/>
      <c r="J240" s="285" t="s">
        <v>1625</v>
      </c>
      <c r="K240" s="285"/>
      <c r="L240" s="285"/>
      <c r="M240" s="146">
        <v>1047.02</v>
      </c>
      <c r="N240" s="97">
        <f t="shared" si="18"/>
        <v>0</v>
      </c>
      <c r="O240" s="153">
        <f t="shared" si="22"/>
        <v>0</v>
      </c>
    </row>
    <row r="241" spans="1:15" hidden="1" outlineLevel="1">
      <c r="A241" s="281"/>
      <c r="B241" s="142" t="s">
        <v>1624</v>
      </c>
      <c r="C241" s="142" t="s">
        <v>592</v>
      </c>
      <c r="D241" s="142">
        <v>2.4375</v>
      </c>
      <c r="E241" s="286">
        <v>0.375</v>
      </c>
      <c r="F241" s="142" t="s">
        <v>598</v>
      </c>
      <c r="G241" s="284" t="str">
        <f t="shared" si="19"/>
        <v>18X32MES2.43750.375HBL</v>
      </c>
      <c r="H241" s="284"/>
      <c r="I241" s="284"/>
      <c r="J241" s="285" t="s">
        <v>1626</v>
      </c>
      <c r="K241" s="285"/>
      <c r="L241" s="285"/>
      <c r="M241" s="146">
        <v>933.8</v>
      </c>
      <c r="N241" s="97">
        <f t="shared" si="18"/>
        <v>0</v>
      </c>
      <c r="O241" s="153">
        <f t="shared" si="22"/>
        <v>0</v>
      </c>
    </row>
    <row r="242" spans="1:15" hidden="1" outlineLevel="1">
      <c r="A242" s="281"/>
      <c r="B242" s="142" t="s">
        <v>1624</v>
      </c>
      <c r="C242" s="142" t="s">
        <v>592</v>
      </c>
      <c r="D242" s="142">
        <v>2.4375</v>
      </c>
      <c r="E242" s="286">
        <v>0.5</v>
      </c>
      <c r="F242" s="142" t="s">
        <v>1436</v>
      </c>
      <c r="G242" s="284" t="str">
        <f t="shared" si="19"/>
        <v>18X32MES2.43750.5DGL</v>
      </c>
      <c r="H242" s="284"/>
      <c r="I242" s="284"/>
      <c r="J242" s="285" t="s">
        <v>1627</v>
      </c>
      <c r="K242" s="285"/>
      <c r="L242" s="285"/>
      <c r="M242" s="146">
        <v>1127.6500000000001</v>
      </c>
      <c r="N242" s="97">
        <f t="shared" si="18"/>
        <v>0</v>
      </c>
      <c r="O242" s="153">
        <f t="shared" si="22"/>
        <v>0</v>
      </c>
    </row>
    <row r="243" spans="1:15" hidden="1" outlineLevel="1">
      <c r="A243" s="281"/>
      <c r="B243" s="142" t="s">
        <v>1624</v>
      </c>
      <c r="C243" s="142" t="s">
        <v>592</v>
      </c>
      <c r="D243" s="142">
        <v>2.4375</v>
      </c>
      <c r="E243" s="286">
        <v>0.5</v>
      </c>
      <c r="F243" s="142" t="s">
        <v>598</v>
      </c>
      <c r="G243" s="284" t="str">
        <f t="shared" si="19"/>
        <v>18X32MES2.43750.5HBL</v>
      </c>
      <c r="H243" s="284"/>
      <c r="I243" s="284"/>
      <c r="J243" s="285" t="s">
        <v>1628</v>
      </c>
      <c r="K243" s="285"/>
      <c r="L243" s="285"/>
      <c r="M243" s="146">
        <v>1014.44</v>
      </c>
      <c r="N243" s="97">
        <f t="shared" si="18"/>
        <v>0</v>
      </c>
      <c r="O243" s="153">
        <f t="shared" si="22"/>
        <v>0</v>
      </c>
    </row>
    <row r="244" spans="1:15" hidden="1" outlineLevel="1">
      <c r="A244" s="281"/>
      <c r="B244" s="142" t="s">
        <v>1624</v>
      </c>
      <c r="C244" s="142" t="s">
        <v>592</v>
      </c>
      <c r="D244" s="142">
        <v>2.9375</v>
      </c>
      <c r="E244" s="286">
        <v>0.375</v>
      </c>
      <c r="F244" s="142" t="s">
        <v>1436</v>
      </c>
      <c r="G244" s="284" t="str">
        <f t="shared" si="19"/>
        <v>18X32MES2.93750.375DGL</v>
      </c>
      <c r="H244" s="284"/>
      <c r="I244" s="284"/>
      <c r="J244" s="285" t="s">
        <v>1629</v>
      </c>
      <c r="K244" s="285"/>
      <c r="L244" s="285"/>
      <c r="M244" s="146">
        <v>965.83</v>
      </c>
      <c r="N244" s="97">
        <f t="shared" si="18"/>
        <v>0</v>
      </c>
      <c r="O244" s="153">
        <f t="shared" si="22"/>
        <v>0</v>
      </c>
    </row>
    <row r="245" spans="1:15" hidden="1" outlineLevel="1">
      <c r="A245" s="281"/>
      <c r="B245" s="142" t="s">
        <v>1624</v>
      </c>
      <c r="C245" s="142" t="s">
        <v>592</v>
      </c>
      <c r="D245" s="142">
        <v>2.9375</v>
      </c>
      <c r="E245" s="286">
        <v>0.375</v>
      </c>
      <c r="F245" s="142" t="s">
        <v>598</v>
      </c>
      <c r="G245" s="284" t="str">
        <f t="shared" si="19"/>
        <v>18X32MES2.93750.375HBL</v>
      </c>
      <c r="H245" s="284"/>
      <c r="I245" s="284"/>
      <c r="J245" s="285" t="s">
        <v>1630</v>
      </c>
      <c r="K245" s="285"/>
      <c r="L245" s="285"/>
      <c r="M245" s="146">
        <v>962.39</v>
      </c>
      <c r="N245" s="97">
        <f t="shared" si="18"/>
        <v>0</v>
      </c>
      <c r="O245" s="153">
        <f t="shared" si="22"/>
        <v>0</v>
      </c>
    </row>
    <row r="246" spans="1:15" hidden="1" outlineLevel="1">
      <c r="A246" s="281"/>
      <c r="B246" s="142" t="s">
        <v>1624</v>
      </c>
      <c r="C246" s="142" t="s">
        <v>592</v>
      </c>
      <c r="D246" s="142">
        <v>2.9375</v>
      </c>
      <c r="E246" s="286">
        <v>0.5</v>
      </c>
      <c r="F246" s="142" t="s">
        <v>1436</v>
      </c>
      <c r="G246" s="284" t="str">
        <f t="shared" si="19"/>
        <v>18X32MES2.93750.5DGL</v>
      </c>
      <c r="H246" s="284"/>
      <c r="I246" s="284"/>
      <c r="J246" s="285" t="s">
        <v>1631</v>
      </c>
      <c r="K246" s="285"/>
      <c r="L246" s="285"/>
      <c r="M246" s="146">
        <v>1156.24</v>
      </c>
      <c r="N246" s="97">
        <f t="shared" si="18"/>
        <v>0</v>
      </c>
      <c r="O246" s="153">
        <f t="shared" si="22"/>
        <v>0</v>
      </c>
    </row>
    <row r="247" spans="1:15" hidden="1" outlineLevel="1">
      <c r="A247" s="281"/>
      <c r="B247" s="142" t="s">
        <v>1624</v>
      </c>
      <c r="C247" s="142" t="s">
        <v>592</v>
      </c>
      <c r="D247" s="142">
        <v>3.9375</v>
      </c>
      <c r="E247" s="286">
        <v>0.375</v>
      </c>
      <c r="F247" s="142" t="s">
        <v>1436</v>
      </c>
      <c r="G247" s="284" t="str">
        <f t="shared" si="19"/>
        <v>18X32MES3.93750.375DGL</v>
      </c>
      <c r="H247" s="284"/>
      <c r="I247" s="284"/>
      <c r="J247" s="285" t="s">
        <v>1632</v>
      </c>
      <c r="K247" s="285"/>
      <c r="L247" s="285"/>
      <c r="M247" s="146">
        <v>1102.8699999999999</v>
      </c>
      <c r="N247" s="97">
        <f t="shared" si="18"/>
        <v>0</v>
      </c>
      <c r="O247" s="153">
        <f t="shared" si="22"/>
        <v>0</v>
      </c>
    </row>
    <row r="248" spans="1:15" hidden="1" outlineLevel="1">
      <c r="A248" s="281"/>
      <c r="B248" s="142" t="s">
        <v>1633</v>
      </c>
      <c r="C248" s="142" t="s">
        <v>592</v>
      </c>
      <c r="D248" s="142">
        <v>2.4375</v>
      </c>
      <c r="E248" s="286">
        <v>0.375</v>
      </c>
      <c r="F248" s="142" t="s">
        <v>1436</v>
      </c>
      <c r="G248" s="284" t="str">
        <f t="shared" si="19"/>
        <v>18X38MES2.43750.375DGL</v>
      </c>
      <c r="H248" s="284"/>
      <c r="I248" s="284"/>
      <c r="J248" s="285" t="s">
        <v>1634</v>
      </c>
      <c r="K248" s="285"/>
      <c r="L248" s="285"/>
      <c r="M248" s="146">
        <v>1186.8800000000001</v>
      </c>
      <c r="N248" s="97">
        <f t="shared" si="18"/>
        <v>0</v>
      </c>
      <c r="O248" s="153">
        <f t="shared" si="22"/>
        <v>0</v>
      </c>
    </row>
    <row r="249" spans="1:15" hidden="1" outlineLevel="1">
      <c r="A249" s="281"/>
      <c r="B249" s="142" t="s">
        <v>1633</v>
      </c>
      <c r="C249" s="142" t="s">
        <v>592</v>
      </c>
      <c r="D249" s="142">
        <v>2.4375</v>
      </c>
      <c r="E249" s="286">
        <v>0.375</v>
      </c>
      <c r="F249" s="142" t="s">
        <v>598</v>
      </c>
      <c r="G249" s="284" t="str">
        <f t="shared" si="19"/>
        <v>18X38MES2.43750.375HBL</v>
      </c>
      <c r="H249" s="284"/>
      <c r="I249" s="284"/>
      <c r="J249" s="285" t="s">
        <v>1635</v>
      </c>
      <c r="K249" s="285"/>
      <c r="L249" s="285"/>
      <c r="M249" s="146">
        <v>1073.6600000000001</v>
      </c>
      <c r="N249" s="97">
        <f t="shared" si="18"/>
        <v>0</v>
      </c>
      <c r="O249" s="153">
        <f t="shared" si="22"/>
        <v>0</v>
      </c>
    </row>
    <row r="250" spans="1:15" hidden="1" outlineLevel="1">
      <c r="A250" s="281"/>
      <c r="B250" s="142" t="s">
        <v>1633</v>
      </c>
      <c r="C250" s="142" t="s">
        <v>592</v>
      </c>
      <c r="D250" s="142">
        <v>2.4375</v>
      </c>
      <c r="E250" s="286">
        <v>0.5</v>
      </c>
      <c r="F250" s="142" t="s">
        <v>1436</v>
      </c>
      <c r="G250" s="284" t="str">
        <f t="shared" si="19"/>
        <v>18X38MES2.43750.5DGL</v>
      </c>
      <c r="H250" s="284"/>
      <c r="I250" s="284"/>
      <c r="J250" s="285" t="s">
        <v>1636</v>
      </c>
      <c r="K250" s="285"/>
      <c r="L250" s="285"/>
      <c r="M250" s="146">
        <v>1282.6400000000001</v>
      </c>
      <c r="N250" s="97">
        <f t="shared" si="18"/>
        <v>0</v>
      </c>
      <c r="O250" s="153">
        <f t="shared" si="22"/>
        <v>0</v>
      </c>
    </row>
    <row r="251" spans="1:15" hidden="1" outlineLevel="1">
      <c r="A251" s="281"/>
      <c r="B251" s="142" t="s">
        <v>1633</v>
      </c>
      <c r="C251" s="142" t="s">
        <v>592</v>
      </c>
      <c r="D251" s="142">
        <v>2.4375</v>
      </c>
      <c r="E251" s="286">
        <v>0.5</v>
      </c>
      <c r="F251" s="142" t="s">
        <v>598</v>
      </c>
      <c r="G251" s="284" t="str">
        <f t="shared" si="19"/>
        <v>18X38MES2.43750.5HBL</v>
      </c>
      <c r="H251" s="284"/>
      <c r="I251" s="284"/>
      <c r="J251" s="285" t="s">
        <v>1637</v>
      </c>
      <c r="K251" s="285"/>
      <c r="L251" s="285"/>
      <c r="M251" s="146">
        <v>1169.42</v>
      </c>
      <c r="N251" s="97">
        <f t="shared" si="18"/>
        <v>0</v>
      </c>
      <c r="O251" s="153">
        <f t="shared" si="22"/>
        <v>0</v>
      </c>
    </row>
    <row r="252" spans="1:15" hidden="1" outlineLevel="1">
      <c r="A252" s="281"/>
      <c r="B252" s="142" t="s">
        <v>1633</v>
      </c>
      <c r="C252" s="142" t="s">
        <v>592</v>
      </c>
      <c r="D252" s="142">
        <v>2.9375</v>
      </c>
      <c r="E252" s="286">
        <v>0.375</v>
      </c>
      <c r="F252" s="142" t="s">
        <v>1436</v>
      </c>
      <c r="G252" s="284" t="str">
        <f t="shared" si="19"/>
        <v>18X38MES2.93750.375DGL</v>
      </c>
      <c r="H252" s="284"/>
      <c r="I252" s="284"/>
      <c r="J252" s="285" t="s">
        <v>1638</v>
      </c>
      <c r="K252" s="285"/>
      <c r="L252" s="285"/>
      <c r="M252" s="146">
        <v>1214.6099999999999</v>
      </c>
      <c r="N252" s="97">
        <f t="shared" si="18"/>
        <v>0</v>
      </c>
      <c r="O252" s="153">
        <f t="shared" si="22"/>
        <v>0</v>
      </c>
    </row>
    <row r="253" spans="1:15" hidden="1" outlineLevel="1">
      <c r="A253" s="281"/>
      <c r="B253" s="142" t="s">
        <v>1633</v>
      </c>
      <c r="C253" s="142" t="s">
        <v>592</v>
      </c>
      <c r="D253" s="142">
        <v>2.9375</v>
      </c>
      <c r="E253" s="286">
        <v>0.375</v>
      </c>
      <c r="F253" s="142" t="s">
        <v>598</v>
      </c>
      <c r="G253" s="284" t="str">
        <f t="shared" si="19"/>
        <v>18X38MES2.93750.375HBL</v>
      </c>
      <c r="H253" s="284"/>
      <c r="I253" s="284"/>
      <c r="J253" s="285" t="s">
        <v>1639</v>
      </c>
      <c r="K253" s="285"/>
      <c r="L253" s="285"/>
      <c r="M253" s="146">
        <v>1101.3900000000001</v>
      </c>
      <c r="N253" s="97">
        <f t="shared" si="18"/>
        <v>0</v>
      </c>
      <c r="O253" s="153">
        <f t="shared" si="22"/>
        <v>0</v>
      </c>
    </row>
    <row r="254" spans="1:15" hidden="1" outlineLevel="1">
      <c r="A254" s="281"/>
      <c r="B254" s="142" t="s">
        <v>1633</v>
      </c>
      <c r="C254" s="142" t="s">
        <v>592</v>
      </c>
      <c r="D254" s="142">
        <v>2.9375</v>
      </c>
      <c r="E254" s="286">
        <v>0.5</v>
      </c>
      <c r="F254" s="142" t="s">
        <v>1436</v>
      </c>
      <c r="G254" s="284" t="str">
        <f t="shared" si="19"/>
        <v>18X38MES2.93750.5DGL</v>
      </c>
      <c r="H254" s="284"/>
      <c r="I254" s="284"/>
      <c r="J254" s="285" t="s">
        <v>1640</v>
      </c>
      <c r="K254" s="285"/>
      <c r="L254" s="285"/>
      <c r="M254" s="146">
        <v>1310.3599999999999</v>
      </c>
      <c r="N254" s="97">
        <f t="shared" si="18"/>
        <v>0</v>
      </c>
      <c r="O254" s="153">
        <f t="shared" si="22"/>
        <v>0</v>
      </c>
    </row>
    <row r="255" spans="1:15" hidden="1" outlineLevel="1">
      <c r="A255" s="281"/>
      <c r="B255" s="142" t="s">
        <v>1633</v>
      </c>
      <c r="C255" s="142" t="s">
        <v>592</v>
      </c>
      <c r="D255" s="142">
        <v>2.9375</v>
      </c>
      <c r="E255" s="286">
        <v>0.5</v>
      </c>
      <c r="F255" s="142" t="s">
        <v>598</v>
      </c>
      <c r="G255" s="284" t="str">
        <f t="shared" ref="G255:G270" si="23">B255&amp;C255&amp;D255&amp;E255&amp;F255</f>
        <v>18X38MES2.93750.5HBL</v>
      </c>
      <c r="H255" s="284"/>
      <c r="I255" s="284"/>
      <c r="J255" s="285" t="s">
        <v>1641</v>
      </c>
      <c r="K255" s="285"/>
      <c r="L255" s="285"/>
      <c r="M255" s="146">
        <v>1197.1400000000001</v>
      </c>
      <c r="N255" s="97">
        <f t="shared" ref="N255:N270" si="24">IF(AND(G255=HP_PN,G255=TP_PN),2,IF(G255=HP_PN,1,IF(G255=TP_PN,1,0)))</f>
        <v>0</v>
      </c>
      <c r="O255" s="153">
        <f t="shared" si="22"/>
        <v>0</v>
      </c>
    </row>
    <row r="256" spans="1:15" hidden="1" outlineLevel="1">
      <c r="A256" s="281"/>
      <c r="B256" s="142" t="s">
        <v>1642</v>
      </c>
      <c r="C256" s="142" t="s">
        <v>592</v>
      </c>
      <c r="D256" s="142">
        <v>2.4375</v>
      </c>
      <c r="E256" s="286">
        <v>0.375</v>
      </c>
      <c r="F256" s="142" t="s">
        <v>1436</v>
      </c>
      <c r="G256" s="284" t="str">
        <f t="shared" si="23"/>
        <v>18X44MES2.43750.375DGL</v>
      </c>
      <c r="H256" s="284"/>
      <c r="I256" s="284"/>
      <c r="J256" s="285" t="s">
        <v>1643</v>
      </c>
      <c r="K256" s="285"/>
      <c r="L256" s="285"/>
      <c r="M256" s="146">
        <v>1292.94</v>
      </c>
      <c r="N256" s="97">
        <f t="shared" si="24"/>
        <v>0</v>
      </c>
      <c r="O256" s="153">
        <f t="shared" si="22"/>
        <v>0</v>
      </c>
    </row>
    <row r="257" spans="1:15" hidden="1" outlineLevel="1">
      <c r="A257" s="281"/>
      <c r="B257" s="142" t="s">
        <v>1642</v>
      </c>
      <c r="C257" s="142" t="s">
        <v>592</v>
      </c>
      <c r="D257" s="142">
        <v>2.4375</v>
      </c>
      <c r="E257" s="286">
        <v>0.375</v>
      </c>
      <c r="F257" s="142" t="s">
        <v>598</v>
      </c>
      <c r="G257" s="284" t="str">
        <f t="shared" si="23"/>
        <v>18X44MES2.43750.375HBL</v>
      </c>
      <c r="H257" s="284"/>
      <c r="I257" s="284"/>
      <c r="J257" s="285" t="s">
        <v>1644</v>
      </c>
      <c r="K257" s="285"/>
      <c r="L257" s="285"/>
      <c r="M257" s="146">
        <v>1179.74</v>
      </c>
      <c r="N257" s="97">
        <f t="shared" si="24"/>
        <v>0</v>
      </c>
      <c r="O257" s="153">
        <f t="shared" si="22"/>
        <v>0</v>
      </c>
    </row>
    <row r="258" spans="1:15" hidden="1" outlineLevel="1">
      <c r="A258" s="281"/>
      <c r="B258" s="142" t="s">
        <v>1642</v>
      </c>
      <c r="C258" s="142" t="s">
        <v>592</v>
      </c>
      <c r="D258" s="142">
        <v>2.4375</v>
      </c>
      <c r="E258" s="286">
        <v>0.5</v>
      </c>
      <c r="F258" s="142" t="s">
        <v>1436</v>
      </c>
      <c r="G258" s="284" t="str">
        <f t="shared" si="23"/>
        <v>18X44MES2.43750.5DGL</v>
      </c>
      <c r="H258" s="284"/>
      <c r="I258" s="284"/>
      <c r="J258" s="285" t="s">
        <v>1645</v>
      </c>
      <c r="K258" s="285"/>
      <c r="L258" s="285"/>
      <c r="M258" s="146">
        <v>1403.83</v>
      </c>
      <c r="N258" s="97">
        <f t="shared" si="24"/>
        <v>0</v>
      </c>
      <c r="O258" s="153">
        <f t="shared" si="22"/>
        <v>0</v>
      </c>
    </row>
    <row r="259" spans="1:15" hidden="1" outlineLevel="1">
      <c r="A259" s="281"/>
      <c r="B259" s="142" t="s">
        <v>1642</v>
      </c>
      <c r="C259" s="142" t="s">
        <v>592</v>
      </c>
      <c r="D259" s="142">
        <v>2.4375</v>
      </c>
      <c r="E259" s="286">
        <v>0.5</v>
      </c>
      <c r="F259" s="142" t="s">
        <v>598</v>
      </c>
      <c r="G259" s="284" t="str">
        <f t="shared" si="23"/>
        <v>18X44MES2.43750.5HBL</v>
      </c>
      <c r="H259" s="284"/>
      <c r="I259" s="284"/>
      <c r="J259" s="285" t="s">
        <v>1646</v>
      </c>
      <c r="K259" s="285"/>
      <c r="L259" s="285"/>
      <c r="M259" s="146">
        <v>1290.6099999999999</v>
      </c>
      <c r="N259" s="97">
        <f t="shared" si="24"/>
        <v>0</v>
      </c>
      <c r="O259" s="153">
        <f t="shared" si="22"/>
        <v>0</v>
      </c>
    </row>
    <row r="260" spans="1:15" hidden="1" outlineLevel="1">
      <c r="A260" s="281"/>
      <c r="B260" s="142" t="s">
        <v>1642</v>
      </c>
      <c r="C260" s="142" t="s">
        <v>592</v>
      </c>
      <c r="D260" s="142">
        <v>2.9375</v>
      </c>
      <c r="E260" s="286">
        <v>0.375</v>
      </c>
      <c r="F260" s="142" t="s">
        <v>1436</v>
      </c>
      <c r="G260" s="284" t="str">
        <f t="shared" si="23"/>
        <v>18X44MES2.93750.375DGL</v>
      </c>
      <c r="H260" s="284"/>
      <c r="I260" s="284"/>
      <c r="J260" s="285" t="s">
        <v>1647</v>
      </c>
      <c r="K260" s="285"/>
      <c r="L260" s="285"/>
      <c r="M260" s="146">
        <v>1331.04</v>
      </c>
      <c r="N260" s="97">
        <f t="shared" si="24"/>
        <v>0</v>
      </c>
      <c r="O260" s="153">
        <f t="shared" si="22"/>
        <v>0</v>
      </c>
    </row>
    <row r="261" spans="1:15" hidden="1" outlineLevel="1">
      <c r="A261" s="281"/>
      <c r="B261" s="142" t="s">
        <v>1642</v>
      </c>
      <c r="C261" s="142" t="s">
        <v>592</v>
      </c>
      <c r="D261" s="142">
        <v>2.9375</v>
      </c>
      <c r="E261" s="286">
        <v>0.375</v>
      </c>
      <c r="F261" s="142" t="s">
        <v>598</v>
      </c>
      <c r="G261" s="284" t="str">
        <f t="shared" si="23"/>
        <v>18X44MES2.93750.375HBL</v>
      </c>
      <c r="H261" s="284"/>
      <c r="I261" s="284"/>
      <c r="J261" s="285" t="s">
        <v>1648</v>
      </c>
      <c r="K261" s="285"/>
      <c r="L261" s="285"/>
      <c r="M261" s="146">
        <v>1217.83</v>
      </c>
      <c r="N261" s="97">
        <f t="shared" si="24"/>
        <v>0</v>
      </c>
      <c r="O261" s="153">
        <f t="shared" si="22"/>
        <v>0</v>
      </c>
    </row>
    <row r="262" spans="1:15" hidden="1" outlineLevel="1">
      <c r="A262" s="281"/>
      <c r="B262" s="142" t="s">
        <v>1642</v>
      </c>
      <c r="C262" s="142" t="s">
        <v>592</v>
      </c>
      <c r="D262" s="142">
        <v>2.9375</v>
      </c>
      <c r="E262" s="286">
        <v>0.5</v>
      </c>
      <c r="F262" s="142" t="s">
        <v>1436</v>
      </c>
      <c r="G262" s="284" t="str">
        <f t="shared" si="23"/>
        <v>18X44MES2.93750.5DGL</v>
      </c>
      <c r="H262" s="284"/>
      <c r="I262" s="284"/>
      <c r="J262" s="285" t="s">
        <v>1649</v>
      </c>
      <c r="K262" s="285"/>
      <c r="L262" s="285"/>
      <c r="M262" s="146">
        <v>1441.92</v>
      </c>
      <c r="N262" s="97">
        <f t="shared" si="24"/>
        <v>0</v>
      </c>
      <c r="O262" s="153">
        <f t="shared" si="22"/>
        <v>0</v>
      </c>
    </row>
    <row r="263" spans="1:15" hidden="1" outlineLevel="1">
      <c r="A263" s="281"/>
      <c r="B263" s="142" t="s">
        <v>1613</v>
      </c>
      <c r="C263" s="142" t="s">
        <v>1490</v>
      </c>
      <c r="D263" s="142">
        <v>2.4375</v>
      </c>
      <c r="E263" s="286" t="s">
        <v>1011</v>
      </c>
      <c r="F263" s="142" t="s">
        <v>1011</v>
      </c>
      <c r="G263" s="284" t="str">
        <f t="shared" ref="G263" si="25">B263&amp;C263&amp;D263&amp;E263&amp;F263</f>
        <v>18X26CF2.4375N/AN/A</v>
      </c>
      <c r="H263" s="284"/>
      <c r="I263" s="284"/>
      <c r="J263" s="285" t="s">
        <v>1650</v>
      </c>
      <c r="K263" s="285"/>
      <c r="L263" s="285"/>
      <c r="M263" s="146">
        <v>1350</v>
      </c>
      <c r="N263" s="97">
        <f t="shared" si="24"/>
        <v>0</v>
      </c>
      <c r="O263" s="153">
        <f t="shared" ref="O263" si="26">M263*N263</f>
        <v>0</v>
      </c>
    </row>
    <row r="264" spans="1:15" hidden="1" outlineLevel="1">
      <c r="A264" s="281"/>
      <c r="B264" s="142" t="s">
        <v>1642</v>
      </c>
      <c r="C264" s="142" t="s">
        <v>592</v>
      </c>
      <c r="D264" s="142">
        <v>2.9375</v>
      </c>
      <c r="E264" s="286">
        <v>0.5</v>
      </c>
      <c r="F264" s="142" t="s">
        <v>598</v>
      </c>
      <c r="G264" s="284" t="str">
        <f t="shared" si="23"/>
        <v>18X44MES2.93750.5HBL</v>
      </c>
      <c r="H264" s="284"/>
      <c r="I264" s="284"/>
      <c r="J264" s="285" t="s">
        <v>1651</v>
      </c>
      <c r="K264" s="285"/>
      <c r="L264" s="285"/>
      <c r="M264" s="146">
        <v>1328.7</v>
      </c>
      <c r="N264" s="97">
        <f t="shared" si="24"/>
        <v>0</v>
      </c>
      <c r="O264" s="153">
        <f t="shared" si="22"/>
        <v>0</v>
      </c>
    </row>
    <row r="265" spans="1:15" hidden="1" outlineLevel="1">
      <c r="A265" s="281"/>
      <c r="B265" s="142" t="s">
        <v>1613</v>
      </c>
      <c r="C265" s="142" t="s">
        <v>1490</v>
      </c>
      <c r="D265" s="142">
        <v>2.9375</v>
      </c>
      <c r="E265" s="286" t="s">
        <v>1011</v>
      </c>
      <c r="F265" s="142" t="s">
        <v>1011</v>
      </c>
      <c r="G265" s="284" t="str">
        <f t="shared" si="23"/>
        <v>18X26CF2.9375N/AN/A</v>
      </c>
      <c r="H265" s="284"/>
      <c r="I265" s="284"/>
      <c r="J265" s="285" t="s">
        <v>1650</v>
      </c>
      <c r="K265" s="285"/>
      <c r="L265" s="285"/>
      <c r="M265" s="146">
        <v>1366.72</v>
      </c>
      <c r="N265" s="97">
        <f t="shared" si="24"/>
        <v>0</v>
      </c>
      <c r="O265" s="153">
        <f t="shared" si="22"/>
        <v>0</v>
      </c>
    </row>
    <row r="266" spans="1:15" hidden="1" outlineLevel="1">
      <c r="A266" s="281"/>
      <c r="B266" s="142" t="s">
        <v>1613</v>
      </c>
      <c r="C266" s="142" t="s">
        <v>1490</v>
      </c>
      <c r="D266" s="142">
        <v>3.4375</v>
      </c>
      <c r="E266" s="286" t="s">
        <v>1011</v>
      </c>
      <c r="F266" s="142" t="s">
        <v>1011</v>
      </c>
      <c r="G266" s="284" t="str">
        <f t="shared" si="23"/>
        <v>18X26CF3.4375N/AN/A</v>
      </c>
      <c r="H266" s="284"/>
      <c r="I266" s="284"/>
      <c r="J266" s="285" t="s">
        <v>1652</v>
      </c>
      <c r="K266" s="285"/>
      <c r="L266" s="285"/>
      <c r="M266" s="146">
        <v>1382.51</v>
      </c>
      <c r="N266" s="97">
        <f t="shared" si="24"/>
        <v>0</v>
      </c>
      <c r="O266" s="153">
        <f t="shared" si="22"/>
        <v>0</v>
      </c>
    </row>
    <row r="267" spans="1:15" hidden="1" outlineLevel="1">
      <c r="A267" s="281"/>
      <c r="B267" s="142" t="s">
        <v>1613</v>
      </c>
      <c r="C267" s="142" t="s">
        <v>1490</v>
      </c>
      <c r="D267" s="142">
        <v>3.9375</v>
      </c>
      <c r="E267" s="286" t="s">
        <v>1011</v>
      </c>
      <c r="F267" s="142" t="s">
        <v>1011</v>
      </c>
      <c r="G267" s="284" t="str">
        <f t="shared" si="23"/>
        <v>18X26CF3.9375N/AN/A</v>
      </c>
      <c r="H267" s="284"/>
      <c r="I267" s="284"/>
      <c r="J267" s="285" t="s">
        <v>1653</v>
      </c>
      <c r="K267" s="285"/>
      <c r="L267" s="285"/>
      <c r="M267" s="146">
        <v>1401.28</v>
      </c>
      <c r="N267" s="97">
        <f t="shared" si="24"/>
        <v>0</v>
      </c>
      <c r="O267" s="153">
        <f t="shared" si="22"/>
        <v>0</v>
      </c>
    </row>
    <row r="268" spans="1:15" hidden="1" outlineLevel="1">
      <c r="A268" s="281"/>
      <c r="B268" s="142" t="s">
        <v>1624</v>
      </c>
      <c r="C268" s="142" t="s">
        <v>1490</v>
      </c>
      <c r="D268" s="142">
        <v>2.9375</v>
      </c>
      <c r="E268" s="286" t="s">
        <v>1011</v>
      </c>
      <c r="F268" s="142" t="s">
        <v>1011</v>
      </c>
      <c r="G268" s="284" t="str">
        <f t="shared" si="23"/>
        <v>18X32CF2.9375N/AN/A</v>
      </c>
      <c r="H268" s="284"/>
      <c r="I268" s="284"/>
      <c r="J268" s="285" t="s">
        <v>1654</v>
      </c>
      <c r="K268" s="285"/>
      <c r="L268" s="285"/>
      <c r="M268" s="146">
        <v>1531.43</v>
      </c>
      <c r="N268" s="97">
        <f t="shared" si="24"/>
        <v>0</v>
      </c>
      <c r="O268" s="153">
        <f t="shared" si="22"/>
        <v>0</v>
      </c>
    </row>
    <row r="269" spans="1:15" hidden="1" outlineLevel="1">
      <c r="A269" s="281"/>
      <c r="B269" s="142" t="s">
        <v>1624</v>
      </c>
      <c r="C269" s="142" t="s">
        <v>1490</v>
      </c>
      <c r="D269" s="142">
        <v>3.4375</v>
      </c>
      <c r="E269" s="286" t="s">
        <v>1011</v>
      </c>
      <c r="F269" s="142" t="s">
        <v>1011</v>
      </c>
      <c r="G269" s="284" t="str">
        <f t="shared" si="23"/>
        <v>18X32CF3.4375N/AN/A</v>
      </c>
      <c r="H269" s="284"/>
      <c r="I269" s="284"/>
      <c r="J269" s="285" t="s">
        <v>1655</v>
      </c>
      <c r="K269" s="285"/>
      <c r="L269" s="285"/>
      <c r="M269" s="146">
        <v>1547.21</v>
      </c>
      <c r="N269" s="97">
        <f t="shared" si="24"/>
        <v>0</v>
      </c>
      <c r="O269" s="153">
        <f t="shared" si="22"/>
        <v>0</v>
      </c>
    </row>
    <row r="270" spans="1:15" hidden="1" outlineLevel="1">
      <c r="A270" s="281"/>
      <c r="B270" s="142" t="s">
        <v>1624</v>
      </c>
      <c r="C270" s="142" t="s">
        <v>1490</v>
      </c>
      <c r="D270" s="142">
        <v>3.9375</v>
      </c>
      <c r="E270" s="286" t="s">
        <v>1011</v>
      </c>
      <c r="F270" s="142" t="s">
        <v>1011</v>
      </c>
      <c r="G270" s="284" t="str">
        <f t="shared" si="23"/>
        <v>18X32CF3.9375N/AN/A</v>
      </c>
      <c r="H270" s="284"/>
      <c r="I270" s="284"/>
      <c r="J270" s="285" t="s">
        <v>1656</v>
      </c>
      <c r="K270" s="285"/>
      <c r="L270" s="285"/>
      <c r="M270" s="146">
        <v>1565.99</v>
      </c>
      <c r="N270" s="97">
        <f t="shared" si="24"/>
        <v>0</v>
      </c>
      <c r="O270" s="153">
        <f t="shared" si="22"/>
        <v>0</v>
      </c>
    </row>
    <row r="271" spans="1:15" collapsed="1"/>
    <row r="272" spans="1:15">
      <c r="N272" s="56" t="s">
        <v>917</v>
      </c>
      <c r="O272" s="69">
        <f>SUM(O4:O53)</f>
        <v>0</v>
      </c>
    </row>
    <row r="273" spans="1:15" ht="15.75" thickBot="1"/>
    <row r="274" spans="1:15" ht="15.75" thickBot="1">
      <c r="A274" s="975" t="s">
        <v>1657</v>
      </c>
      <c r="B274" s="976"/>
      <c r="C274" s="976"/>
      <c r="D274" s="976"/>
      <c r="E274" s="976"/>
      <c r="F274" s="976"/>
      <c r="G274" s="976"/>
      <c r="H274" s="976"/>
      <c r="I274" s="976"/>
      <c r="J274" s="976"/>
      <c r="K274" s="976"/>
      <c r="L274" s="976"/>
      <c r="M274" s="977"/>
    </row>
    <row r="275" spans="1:15" ht="15.75" thickBot="1">
      <c r="A275" s="969" t="s">
        <v>1318</v>
      </c>
      <c r="B275" s="974" t="s">
        <v>985</v>
      </c>
      <c r="C275" s="979" t="s">
        <v>825</v>
      </c>
      <c r="D275" s="979" t="s">
        <v>1658</v>
      </c>
      <c r="E275" s="979" t="s">
        <v>1659</v>
      </c>
      <c r="F275" s="980" t="s">
        <v>1660</v>
      </c>
      <c r="G275" s="970" t="s">
        <v>783</v>
      </c>
      <c r="H275" s="973" t="s">
        <v>1319</v>
      </c>
      <c r="I275" s="970" t="s">
        <v>1320</v>
      </c>
      <c r="J275" s="971" t="s">
        <v>1661</v>
      </c>
      <c r="K275" s="971" t="s">
        <v>1662</v>
      </c>
      <c r="L275" s="972" t="s">
        <v>1663</v>
      </c>
      <c r="M275" s="973" t="s">
        <v>669</v>
      </c>
      <c r="N275" s="72" t="s">
        <v>623</v>
      </c>
      <c r="O275" s="971" t="s">
        <v>714</v>
      </c>
    </row>
    <row r="276" spans="1:15">
      <c r="A276" s="56">
        <v>502888</v>
      </c>
      <c r="B276" s="56" t="s">
        <v>1664</v>
      </c>
      <c r="G276" s="56" t="s">
        <v>1665</v>
      </c>
      <c r="H276" s="274" t="str" cm="1">
        <f t="array" ref="H276">_xlfn.IFNA(_xlfn.XLOOKUP(SUP_DP[[#This Row],[JMS PART '#]],PC_500[[#All],[Part_PartNum]],PC_500[[#All],[PO_NUM]]),"QUOTE")</f>
        <v>QUOTE</v>
      </c>
      <c r="I276" s="978" t="str" cm="1">
        <f t="array" ref="I276">_xlfn.IFNA(_xlfn.XLOOKUP(SUP_DP[[#This Row],[JMS PART '#]],PC_500[[#All],[Part_PartNum]],PC_500[[#All],[Order_Date]]),"")</f>
        <v/>
      </c>
      <c r="J276" t="s">
        <v>1666</v>
      </c>
      <c r="M276" s="56" cm="1">
        <f t="array" ref="M276">_xlfn.IFNA(_xlfn.XLOOKUP(SUP_DP[[#This Row],[JMS PART '#]],PC_500[[#All],[Part_PartNum]],PC_500[[#All],[Unit_Cost]]),0)</f>
        <v>0</v>
      </c>
      <c r="N276" s="274" t="e">
        <f>IF(SUP_DP[[#This Row],[MFG PN]]=HP_SPN,1,0)+IF(SUP_DP[[#This Row],[MFG PN]]=TP_SPN,1,0)</f>
        <v>#N/A</v>
      </c>
      <c r="O276" s="56" t="e">
        <f>SUP_DP[[#This Row],[Cost]]*SUP_DP[[#This Row],[QTY]]</f>
        <v>#N/A</v>
      </c>
    </row>
    <row r="277" spans="1:15">
      <c r="A277" s="56">
        <v>502857</v>
      </c>
      <c r="B277" s="56" t="s">
        <v>1667</v>
      </c>
      <c r="G277" s="56" t="s">
        <v>1665</v>
      </c>
      <c r="H277" s="274" cm="1">
        <f t="array" ref="H277">_xlfn.IFNA(_xlfn.XLOOKUP(SUP_DP[[#This Row],[JMS PART '#]],PC_500[[#All],[Part_PartNum]],PC_500[[#All],[PO_NUM]]),"QUOTE")</f>
        <v>409448</v>
      </c>
      <c r="I277" s="978" cm="1">
        <f t="array" ref="I277">_xlfn.IFNA(_xlfn.XLOOKUP(SUP_DP[[#This Row],[JMS PART '#]],PC_500[[#All],[Part_PartNum]],PC_500[[#All],[Order_Date]]),"")</f>
        <v>45609</v>
      </c>
      <c r="J277" t="s">
        <v>1668</v>
      </c>
      <c r="M277" s="56" cm="1">
        <f t="array" ref="M277">_xlfn.IFNA(_xlfn.XLOOKUP(SUP_DP[[#This Row],[JMS PART '#]],PC_500[[#All],[Part_PartNum]],PC_500[[#All],[Unit_Cost]]),0)</f>
        <v>752.76</v>
      </c>
      <c r="N277" s="274" t="e">
        <f>IF(SUP_DP[[#This Row],[MFG PN]]=HP_SPN,1,0)+IF(SUP_DP[[#This Row],[MFG PN]]=TP_SPN,1,0)</f>
        <v>#N/A</v>
      </c>
      <c r="O277" s="56" t="e">
        <f>SUP_DP[[#This Row],[Cost]]*SUP_DP[[#This Row],[QTY]]</f>
        <v>#N/A</v>
      </c>
    </row>
    <row r="278" spans="1:15" collapsed="1">
      <c r="A278" s="56">
        <v>502574</v>
      </c>
      <c r="B278" s="56" t="s">
        <v>1669</v>
      </c>
      <c r="G278" s="56" t="s">
        <v>1665</v>
      </c>
      <c r="H278" s="274" cm="1">
        <f t="array" ref="H278">_xlfn.IFNA(_xlfn.XLOOKUP(SUP_DP[[#This Row],[JMS PART '#]],PC_500[[#All],[Part_PartNum]],PC_500[[#All],[PO_NUM]]),"QUOTE")</f>
        <v>405881</v>
      </c>
      <c r="I278" s="978" cm="1">
        <f t="array" ref="I278">_xlfn.IFNA(_xlfn.XLOOKUP(SUP_DP[[#This Row],[JMS PART '#]],PC_500[[#All],[Part_PartNum]],PC_500[[#All],[Order_Date]]),"")</f>
        <v>44883</v>
      </c>
      <c r="J278" t="s">
        <v>1670</v>
      </c>
      <c r="M278" s="56" cm="1">
        <f t="array" ref="M278">_xlfn.IFNA(_xlfn.XLOOKUP(SUP_DP[[#This Row],[JMS PART '#]],PC_500[[#All],[Part_PartNum]],PC_500[[#All],[Unit_Cost]]),0)</f>
        <v>421.05</v>
      </c>
      <c r="N278" s="274" t="e">
        <f>IF(SUP_DP[[#This Row],[MFG PN]]=HP_SPN,1,0)+IF(SUP_DP[[#This Row],[MFG PN]]=TP_SPN,1,0)</f>
        <v>#N/A</v>
      </c>
      <c r="O278" s="56" t="e">
        <f>SUP_DP[[#This Row],[Cost]]*SUP_DP[[#This Row],[QTY]]</f>
        <v>#N/A</v>
      </c>
    </row>
    <row r="279" spans="1:15">
      <c r="A279" s="56">
        <v>502575</v>
      </c>
      <c r="B279" s="56" t="s">
        <v>1671</v>
      </c>
      <c r="G279" s="56" t="s">
        <v>1665</v>
      </c>
      <c r="H279" s="274" cm="1">
        <f t="array" ref="H279">_xlfn.IFNA(_xlfn.XLOOKUP(SUP_DP[[#This Row],[JMS PART '#]],PC_500[[#All],[Part_PartNum]],PC_500[[#All],[PO_NUM]]),"QUOTE")</f>
        <v>405881</v>
      </c>
      <c r="I279" s="978" cm="1">
        <f t="array" ref="I279">_xlfn.IFNA(_xlfn.XLOOKUP(SUP_DP[[#This Row],[JMS PART '#]],PC_500[[#All],[Part_PartNum]],PC_500[[#All],[Order_Date]]),"")</f>
        <v>44883</v>
      </c>
      <c r="J279" t="s">
        <v>1672</v>
      </c>
      <c r="M279" s="56" cm="1">
        <f t="array" ref="M279">_xlfn.IFNA(_xlfn.XLOOKUP(SUP_DP[[#This Row],[JMS PART '#]],PC_500[[#All],[Part_PartNum]],PC_500[[#All],[Unit_Cost]]),0)</f>
        <v>307.58999999999997</v>
      </c>
      <c r="N279" s="274" t="e">
        <f>IF(SUP_DP[[#This Row],[MFG PN]]=HP_SPN,1,0)+IF(SUP_DP[[#This Row],[MFG PN]]=TP_SPN,1,0)</f>
        <v>#N/A</v>
      </c>
      <c r="O279" s="56" t="e">
        <f>SUP_DP[[#This Row],[Cost]]*SUP_DP[[#This Row],[QTY]]</f>
        <v>#N/A</v>
      </c>
    </row>
    <row r="280" spans="1:15">
      <c r="A280" s="56">
        <v>502856</v>
      </c>
      <c r="B280" s="56" t="s">
        <v>1673</v>
      </c>
      <c r="G280" s="56" t="s">
        <v>1665</v>
      </c>
      <c r="H280" s="274" cm="1">
        <f t="array" ref="H280">_xlfn.IFNA(_xlfn.XLOOKUP(SUP_DP[[#This Row],[JMS PART '#]],PC_500[[#All],[Part_PartNum]],PC_500[[#All],[PO_NUM]]),"QUOTE")</f>
        <v>409448</v>
      </c>
      <c r="I280" s="978" cm="1">
        <f t="array" ref="I280">_xlfn.IFNA(_xlfn.XLOOKUP(SUP_DP[[#This Row],[JMS PART '#]],PC_500[[#All],[Part_PartNum]],PC_500[[#All],[Order_Date]]),"")</f>
        <v>45609</v>
      </c>
      <c r="J280" t="s">
        <v>1674</v>
      </c>
      <c r="M280" s="56" cm="1">
        <f t="array" ref="M280">_xlfn.IFNA(_xlfn.XLOOKUP(SUP_DP[[#This Row],[JMS PART '#]],PC_500[[#All],[Part_PartNum]],PC_500[[#All],[Unit_Cost]]),0)</f>
        <v>587.59</v>
      </c>
      <c r="N280" s="274" t="e">
        <f>IF(SUP_DP[[#This Row],[MFG PN]]=HP_SPN,1,0)+IF(SUP_DP[[#This Row],[MFG PN]]=TP_SPN,1,0)</f>
        <v>#N/A</v>
      </c>
      <c r="O280" s="56" t="e">
        <f>SUP_DP[[#This Row],[Cost]]*SUP_DP[[#This Row],[QTY]]</f>
        <v>#N/A</v>
      </c>
    </row>
    <row r="281" spans="1:15">
      <c r="A281" s="56">
        <v>501481</v>
      </c>
      <c r="B281" s="56" t="s">
        <v>1675</v>
      </c>
      <c r="G281" s="56" t="s">
        <v>1665</v>
      </c>
      <c r="H281" s="274" t="str" cm="1">
        <f t="array" ref="H281">_xlfn.IFNA(_xlfn.XLOOKUP(SUP_DP[[#This Row],[JMS PART '#]],PC_500[[#All],[Part_PartNum]],PC_500[[#All],[PO_NUM]]),"QUOTE")</f>
        <v>QUOTE</v>
      </c>
      <c r="I281" s="978" t="str" cm="1">
        <f t="array" ref="I281">_xlfn.IFNA(_xlfn.XLOOKUP(SUP_DP[[#This Row],[JMS PART '#]],PC_500[[#All],[Part_PartNum]],PC_500[[#All],[Order_Date]]),"")</f>
        <v/>
      </c>
      <c r="J281" t="s">
        <v>1676</v>
      </c>
      <c r="M281" s="56" cm="1">
        <f t="array" ref="M281">_xlfn.IFNA(_xlfn.XLOOKUP(SUP_DP[[#This Row],[JMS PART '#]],PC_500[[#All],[Part_PartNum]],PC_500[[#All],[Unit_Cost]]),0)</f>
        <v>0</v>
      </c>
      <c r="N281" s="274" t="e">
        <f>IF(SUP_DP[[#This Row],[MFG PN]]=HP_SPN,1,0)+IF(SUP_DP[[#This Row],[MFG PN]]=TP_SPN,1,0)</f>
        <v>#N/A</v>
      </c>
      <c r="O281" s="56" t="e">
        <f>SUP_DP[[#This Row],[Cost]]*SUP_DP[[#This Row],[QTY]]</f>
        <v>#N/A</v>
      </c>
    </row>
    <row r="282" spans="1:15">
      <c r="A282" s="56">
        <v>502669</v>
      </c>
      <c r="B282" s="56" t="s">
        <v>1677</v>
      </c>
      <c r="G282" s="56" t="s">
        <v>1665</v>
      </c>
      <c r="H282" s="274" t="str" cm="1">
        <f t="array" ref="H282">_xlfn.IFNA(_xlfn.XLOOKUP(SUP_DP[[#This Row],[JMS PART '#]],PC_500[[#All],[Part_PartNum]],PC_500[[#All],[PO_NUM]]),"QUOTE")</f>
        <v>QUOTE</v>
      </c>
      <c r="I282" s="978" t="str" cm="1">
        <f t="array" ref="I282">_xlfn.IFNA(_xlfn.XLOOKUP(SUP_DP[[#This Row],[JMS PART '#]],PC_500[[#All],[Part_PartNum]],PC_500[[#All],[Order_Date]]),"")</f>
        <v/>
      </c>
      <c r="J282" t="s">
        <v>1678</v>
      </c>
      <c r="M282" s="56" cm="1">
        <f t="array" ref="M282">_xlfn.IFNA(_xlfn.XLOOKUP(SUP_DP[[#This Row],[JMS PART '#]],PC_500[[#All],[Part_PartNum]],PC_500[[#All],[Unit_Cost]]),0)</f>
        <v>0</v>
      </c>
      <c r="N282" s="274" t="e">
        <f>IF(SUP_DP[[#This Row],[MFG PN]]=HP_SPN,1,0)+IF(SUP_DP[[#This Row],[MFG PN]]=TP_SPN,1,0)</f>
        <v>#N/A</v>
      </c>
      <c r="O282" s="56" t="e">
        <f>SUP_DP[[#This Row],[Cost]]*SUP_DP[[#This Row],[QTY]]</f>
        <v>#N/A</v>
      </c>
    </row>
    <row r="283" spans="1:15">
      <c r="A283" s="56">
        <v>501509</v>
      </c>
      <c r="B283" s="56" t="s">
        <v>1679</v>
      </c>
      <c r="G283" s="56" t="s">
        <v>1665</v>
      </c>
      <c r="H283" s="274" cm="1">
        <f t="array" ref="H283">_xlfn.IFNA(_xlfn.XLOOKUP(SUP_DP[[#This Row],[JMS PART '#]],PC_500[[#All],[Part_PartNum]],PC_500[[#All],[PO_NUM]]),"QUOTE")</f>
        <v>403129</v>
      </c>
      <c r="I283" s="978" cm="1">
        <f t="array" ref="I283">_xlfn.IFNA(_xlfn.XLOOKUP(SUP_DP[[#This Row],[JMS PART '#]],PC_500[[#All],[Part_PartNum]],PC_500[[#All],[Order_Date]]),"")</f>
        <v>44337</v>
      </c>
      <c r="J283" t="s">
        <v>1680</v>
      </c>
      <c r="M283" s="56" cm="1">
        <f t="array" ref="M283">_xlfn.IFNA(_xlfn.XLOOKUP(SUP_DP[[#This Row],[JMS PART '#]],PC_500[[#All],[Part_PartNum]],PC_500[[#All],[Unit_Cost]]),0)</f>
        <v>270.29000000000002</v>
      </c>
      <c r="N283" s="274" t="e">
        <f>IF(SUP_DP[[#This Row],[MFG PN]]=HP_SPN,1,0)+IF(SUP_DP[[#This Row],[MFG PN]]=TP_SPN,1,0)</f>
        <v>#N/A</v>
      </c>
      <c r="O283" s="56" t="e">
        <f>SUP_DP[[#This Row],[Cost]]*SUP_DP[[#This Row],[QTY]]</f>
        <v>#N/A</v>
      </c>
    </row>
    <row r="284" spans="1:15">
      <c r="A284" s="56">
        <v>501648</v>
      </c>
      <c r="B284" s="56" t="s">
        <v>1681</v>
      </c>
      <c r="G284" s="56" t="s">
        <v>1665</v>
      </c>
      <c r="H284" s="274" cm="1">
        <f t="array" ref="H284">_xlfn.IFNA(_xlfn.XLOOKUP(SUP_DP[[#This Row],[JMS PART '#]],PC_500[[#All],[Part_PartNum]],PC_500[[#All],[PO_NUM]]),"QUOTE")</f>
        <v>404691</v>
      </c>
      <c r="I284" s="978" cm="1">
        <f t="array" ref="I284">_xlfn.IFNA(_xlfn.XLOOKUP(SUP_DP[[#This Row],[JMS PART '#]],PC_500[[#All],[Part_PartNum]],PC_500[[#All],[Order_Date]]),"")</f>
        <v>44636</v>
      </c>
      <c r="J284" t="s">
        <v>1682</v>
      </c>
      <c r="M284" s="56" cm="1">
        <f t="array" ref="M284">_xlfn.IFNA(_xlfn.XLOOKUP(SUP_DP[[#This Row],[JMS PART '#]],PC_500[[#All],[Part_PartNum]],PC_500[[#All],[Unit_Cost]]),0)</f>
        <v>574.1</v>
      </c>
      <c r="N284" s="274" t="e">
        <f>IF(SUP_DP[[#This Row],[MFG PN]]=HP_SPN,1,0)+IF(SUP_DP[[#This Row],[MFG PN]]=TP_SPN,1,0)</f>
        <v>#N/A</v>
      </c>
      <c r="O284" s="56" t="e">
        <f>SUP_DP[[#This Row],[Cost]]*SUP_DP[[#This Row],[QTY]]</f>
        <v>#N/A</v>
      </c>
    </row>
    <row r="285" spans="1:15">
      <c r="A285" s="56">
        <v>502342</v>
      </c>
      <c r="B285" s="56" t="s">
        <v>1683</v>
      </c>
      <c r="G285" s="56" t="s">
        <v>1665</v>
      </c>
      <c r="H285" s="274" cm="1">
        <f t="array" ref="H285">_xlfn.IFNA(_xlfn.XLOOKUP(SUP_DP[[#This Row],[JMS PART '#]],PC_500[[#All],[Part_PartNum]],PC_500[[#All],[PO_NUM]]),"QUOTE")</f>
        <v>405100</v>
      </c>
      <c r="I285" s="978" cm="1">
        <f t="array" ref="I285">_xlfn.IFNA(_xlfn.XLOOKUP(SUP_DP[[#This Row],[JMS PART '#]],PC_500[[#All],[Part_PartNum]],PC_500[[#All],[Order_Date]]),"")</f>
        <v>44714</v>
      </c>
      <c r="J285" t="s">
        <v>1684</v>
      </c>
      <c r="M285" s="56" cm="1">
        <f t="array" ref="M285">_xlfn.IFNA(_xlfn.XLOOKUP(SUP_DP[[#This Row],[JMS PART '#]],PC_500[[#All],[Part_PartNum]],PC_500[[#All],[Unit_Cost]]),0)</f>
        <v>643.21</v>
      </c>
      <c r="N285" s="274" t="e">
        <f>IF(SUP_DP[[#This Row],[MFG PN]]=HP_SPN,1,0)+IF(SUP_DP[[#This Row],[MFG PN]]=TP_SPN,1,0)</f>
        <v>#N/A</v>
      </c>
      <c r="O285" s="56" t="e">
        <f>SUP_DP[[#This Row],[Cost]]*SUP_DP[[#This Row],[QTY]]</f>
        <v>#N/A</v>
      </c>
    </row>
    <row r="286" spans="1:15">
      <c r="A286" s="56">
        <v>502428</v>
      </c>
      <c r="B286" s="56" t="s">
        <v>1685</v>
      </c>
      <c r="G286" s="56" t="s">
        <v>1665</v>
      </c>
      <c r="H286" s="274" cm="1">
        <f t="array" ref="H286">_xlfn.IFNA(_xlfn.XLOOKUP(SUP_DP[[#This Row],[JMS PART '#]],PC_500[[#All],[Part_PartNum]],PC_500[[#All],[PO_NUM]]),"QUOTE")</f>
        <v>405262</v>
      </c>
      <c r="I286" s="978" cm="1">
        <f t="array" ref="I286">_xlfn.IFNA(_xlfn.XLOOKUP(SUP_DP[[#This Row],[JMS PART '#]],PC_500[[#All],[Part_PartNum]],PC_500[[#All],[Order_Date]]),"")</f>
        <v>44750</v>
      </c>
      <c r="J286" t="s">
        <v>1686</v>
      </c>
      <c r="M286" s="56" cm="1">
        <f t="array" ref="M286">_xlfn.IFNA(_xlfn.XLOOKUP(SUP_DP[[#This Row],[JMS PART '#]],PC_500[[#All],[Part_PartNum]],PC_500[[#All],[Unit_Cost]]),0)</f>
        <v>643</v>
      </c>
      <c r="N286" s="274" t="e">
        <f>IF(SUP_DP[[#This Row],[MFG PN]]=HP_SPN,1,0)+IF(SUP_DP[[#This Row],[MFG PN]]=TP_SPN,1,0)</f>
        <v>#N/A</v>
      </c>
      <c r="O286" s="56" t="e">
        <f>SUP_DP[[#This Row],[Cost]]*SUP_DP[[#This Row],[QTY]]</f>
        <v>#N/A</v>
      </c>
    </row>
    <row r="287" spans="1:15">
      <c r="A287" s="56">
        <v>502392</v>
      </c>
      <c r="B287" s="56" t="s">
        <v>1687</v>
      </c>
      <c r="G287" s="56" t="s">
        <v>1665</v>
      </c>
      <c r="H287" s="274" cm="1">
        <f t="array" ref="H287">_xlfn.IFNA(_xlfn.XLOOKUP(SUP_DP[[#This Row],[JMS PART '#]],PC_500[[#All],[Part_PartNum]],PC_500[[#All],[PO_NUM]]),"QUOTE")</f>
        <v>409935</v>
      </c>
      <c r="I287" s="978" cm="1">
        <f t="array" ref="I287">_xlfn.IFNA(_xlfn.XLOOKUP(SUP_DP[[#This Row],[JMS PART '#]],PC_500[[#All],[Part_PartNum]],PC_500[[#All],[Order_Date]]),"")</f>
        <v>45720</v>
      </c>
      <c r="J287" t="s">
        <v>1688</v>
      </c>
      <c r="M287" s="56" cm="1">
        <f t="array" ref="M287">_xlfn.IFNA(_xlfn.XLOOKUP(SUP_DP[[#This Row],[JMS PART '#]],PC_500[[#All],[Part_PartNum]],PC_500[[#All],[Unit_Cost]]),0)</f>
        <v>670.78</v>
      </c>
      <c r="N287" s="274" t="e">
        <f>IF(SUP_DP[[#This Row],[MFG PN]]=HP_SPN,1,0)+IF(SUP_DP[[#This Row],[MFG PN]]=TP_SPN,1,0)</f>
        <v>#N/A</v>
      </c>
      <c r="O287" s="56" t="e">
        <f>SUP_DP[[#This Row],[Cost]]*SUP_DP[[#This Row],[QTY]]</f>
        <v>#N/A</v>
      </c>
    </row>
    <row r="288" spans="1:15">
      <c r="A288" s="56">
        <v>502607</v>
      </c>
      <c r="B288" s="56" t="s">
        <v>1689</v>
      </c>
      <c r="G288" s="56" t="s">
        <v>1690</v>
      </c>
      <c r="H288" s="274" cm="1">
        <f t="array" ref="H288">_xlfn.IFNA(_xlfn.XLOOKUP(SUP_DP[[#This Row],[JMS PART '#]],PC_500[[#All],[Part_PartNum]],PC_500[[#All],[PO_NUM]]),"QUOTE")</f>
        <v>406161</v>
      </c>
      <c r="I288" s="978" cm="1">
        <f t="array" ref="I288">_xlfn.IFNA(_xlfn.XLOOKUP(SUP_DP[[#This Row],[JMS PART '#]],PC_500[[#All],[Part_PartNum]],PC_500[[#All],[Order_Date]]),"")</f>
        <v>44962</v>
      </c>
      <c r="J288" t="s">
        <v>1691</v>
      </c>
      <c r="M288" s="56" cm="1">
        <f t="array" ref="M288">_xlfn.IFNA(_xlfn.XLOOKUP(SUP_DP[[#This Row],[JMS PART '#]],PC_500[[#All],[Part_PartNum]],PC_500[[#All],[Unit_Cost]]),0)</f>
        <v>1834.98</v>
      </c>
      <c r="N288" s="274" t="e">
        <f>IF(SUP_DP[[#This Row],[MFG PN]]=HP_SPN,1,0)+IF(SUP_DP[[#This Row],[MFG PN]]=TP_SPN,1,0)</f>
        <v>#N/A</v>
      </c>
      <c r="O288" s="56" t="e">
        <f>SUP_DP[[#This Row],[Cost]]*SUP_DP[[#This Row],[QTY]]</f>
        <v>#N/A</v>
      </c>
    </row>
    <row r="289" spans="1:16">
      <c r="A289" s="56">
        <v>502415</v>
      </c>
      <c r="B289" s="56" t="s">
        <v>1692</v>
      </c>
      <c r="G289" s="56" t="s">
        <v>1665</v>
      </c>
      <c r="H289" s="274" cm="1">
        <f t="array" ref="H289">_xlfn.IFNA(_xlfn.XLOOKUP(SUP_DP[[#This Row],[JMS PART '#]],PC_500[[#All],[Part_PartNum]],PC_500[[#All],[PO_NUM]]),"QUOTE")</f>
        <v>410145</v>
      </c>
      <c r="I289" s="978" cm="1">
        <f t="array" ref="I289">_xlfn.IFNA(_xlfn.XLOOKUP(SUP_DP[[#This Row],[JMS PART '#]],PC_500[[#All],[Part_PartNum]],PC_500[[#All],[Order_Date]]),"")</f>
        <v>45756</v>
      </c>
      <c r="J289" t="s">
        <v>1693</v>
      </c>
      <c r="M289" s="56" cm="1">
        <f t="array" ref="M289">_xlfn.IFNA(_xlfn.XLOOKUP(SUP_DP[[#This Row],[JMS PART '#]],PC_500[[#All],[Part_PartNum]],PC_500[[#All],[Unit_Cost]]),0)</f>
        <v>611.1</v>
      </c>
      <c r="N289" s="274" t="e">
        <f>IF(SUP_DP[[#This Row],[MFG PN]]=HP_SPN,1,0)+IF(SUP_DP[[#This Row],[MFG PN]]=TP_SPN,1,0)</f>
        <v>#N/A</v>
      </c>
      <c r="O289" s="56" t="e">
        <f>SUP_DP[[#This Row],[Cost]]*SUP_DP[[#This Row],[QTY]]</f>
        <v>#N/A</v>
      </c>
    </row>
    <row r="290" spans="1:16" collapsed="1">
      <c r="A290" s="56">
        <v>502608</v>
      </c>
      <c r="B290" s="56" t="s">
        <v>1694</v>
      </c>
      <c r="G290" s="56" t="s">
        <v>1690</v>
      </c>
      <c r="H290" s="274" cm="1">
        <f t="array" ref="H290">_xlfn.IFNA(_xlfn.XLOOKUP(SUP_DP[[#This Row],[JMS PART '#]],PC_500[[#All],[Part_PartNum]],PC_500[[#All],[PO_NUM]]),"QUOTE")</f>
        <v>406161</v>
      </c>
      <c r="I290" s="978" cm="1">
        <f t="array" ref="I290">_xlfn.IFNA(_xlfn.XLOOKUP(SUP_DP[[#This Row],[JMS PART '#]],PC_500[[#All],[Part_PartNum]],PC_500[[#All],[Order_Date]]),"")</f>
        <v>44962</v>
      </c>
      <c r="J290" t="s">
        <v>1695</v>
      </c>
      <c r="M290" s="56" cm="1">
        <f t="array" ref="M290">_xlfn.IFNA(_xlfn.XLOOKUP(SUP_DP[[#This Row],[JMS PART '#]],PC_500[[#All],[Part_PartNum]],PC_500[[#All],[Unit_Cost]]),0)</f>
        <v>1548.89</v>
      </c>
      <c r="N290" s="274" t="e">
        <f>IF(SUP_DP[[#This Row],[MFG PN]]=HP_SPN,1,0)+IF(SUP_DP[[#This Row],[MFG PN]]=TP_SPN,1,0)</f>
        <v>#N/A</v>
      </c>
      <c r="O290" s="56" t="e">
        <f>SUP_DP[[#This Row],[Cost]]*SUP_DP[[#This Row],[QTY]]</f>
        <v>#N/A</v>
      </c>
    </row>
    <row r="291" spans="1:16">
      <c r="A291" s="56">
        <v>501644</v>
      </c>
      <c r="B291" s="56" t="s">
        <v>1696</v>
      </c>
      <c r="G291" s="56" t="s">
        <v>1665</v>
      </c>
      <c r="H291" s="274" cm="1">
        <f t="array" ref="H291">_xlfn.IFNA(_xlfn.XLOOKUP(SUP_DP[[#This Row],[JMS PART '#]],PC_500[[#All],[Part_PartNum]],PC_500[[#All],[PO_NUM]]),"QUOTE")</f>
        <v>409991</v>
      </c>
      <c r="I291" s="978" cm="1">
        <f t="array" ref="I291">_xlfn.IFNA(_xlfn.XLOOKUP(SUP_DP[[#This Row],[JMS PART '#]],PC_500[[#All],[Part_PartNum]],PC_500[[#All],[Order_Date]]),"")</f>
        <v>45728</v>
      </c>
      <c r="J291" t="s">
        <v>1697</v>
      </c>
      <c r="M291" s="56" cm="1">
        <f t="array" ref="M291">_xlfn.IFNA(_xlfn.XLOOKUP(SUP_DP[[#This Row],[JMS PART '#]],PC_500[[#All],[Part_PartNum]],PC_500[[#All],[Unit_Cost]]),0)</f>
        <v>715.39</v>
      </c>
      <c r="N291" s="274" t="e">
        <f>IF(SUP_DP[[#This Row],[MFG PN]]=HP_SPN,1,0)+IF(SUP_DP[[#This Row],[MFG PN]]=TP_SPN,1,0)</f>
        <v>#N/A</v>
      </c>
      <c r="O291" s="56" t="e">
        <f>SUP_DP[[#This Row],[Cost]]*SUP_DP[[#This Row],[QTY]]</f>
        <v>#N/A</v>
      </c>
    </row>
    <row r="292" spans="1:16">
      <c r="A292" s="56">
        <v>501495</v>
      </c>
      <c r="B292" s="56" t="s">
        <v>1698</v>
      </c>
      <c r="G292" s="56" t="s">
        <v>1665</v>
      </c>
      <c r="H292" s="274" cm="1">
        <f t="array" ref="H292">_xlfn.IFNA(_xlfn.XLOOKUP(SUP_DP[[#This Row],[JMS PART '#]],PC_500[[#All],[Part_PartNum]],PC_500[[#All],[PO_NUM]]),"QUOTE")</f>
        <v>402189</v>
      </c>
      <c r="I292" s="978" cm="1">
        <f t="array" ref="I292">_xlfn.IFNA(_xlfn.XLOOKUP(SUP_DP[[#This Row],[JMS PART '#]],PC_500[[#All],[Part_PartNum]],PC_500[[#All],[Order_Date]]),"")</f>
        <v>44183</v>
      </c>
      <c r="J292" t="s">
        <v>1699</v>
      </c>
      <c r="M292" s="56" cm="1">
        <f t="array" ref="M292">_xlfn.IFNA(_xlfn.XLOOKUP(SUP_DP[[#This Row],[JMS PART '#]],PC_500[[#All],[Part_PartNum]],PC_500[[#All],[Unit_Cost]]),0)</f>
        <v>563.29</v>
      </c>
      <c r="N292" s="274" t="e">
        <f>IF(SUP_DP[[#This Row],[MFG PN]]=HP_SPN,1,0)+IF(SUP_DP[[#This Row],[MFG PN]]=TP_SPN,1,0)</f>
        <v>#N/A</v>
      </c>
      <c r="O292" s="56" t="e">
        <f>SUP_DP[[#This Row],[Cost]]*SUP_DP[[#This Row],[QTY]]</f>
        <v>#N/A</v>
      </c>
    </row>
    <row r="293" spans="1:16">
      <c r="A293" s="56">
        <v>501520</v>
      </c>
      <c r="B293" s="56" t="s">
        <v>1700</v>
      </c>
      <c r="G293" s="56" t="s">
        <v>1665</v>
      </c>
      <c r="H293" s="274" cm="1">
        <f t="array" ref="H293">_xlfn.IFNA(_xlfn.XLOOKUP(SUP_DP[[#This Row],[JMS PART '#]],PC_500[[#All],[Part_PartNum]],PC_500[[#All],[PO_NUM]]),"QUOTE")</f>
        <v>403129</v>
      </c>
      <c r="I293" s="978" cm="1">
        <f t="array" ref="I293">_xlfn.IFNA(_xlfn.XLOOKUP(SUP_DP[[#This Row],[JMS PART '#]],PC_500[[#All],[Part_PartNum]],PC_500[[#All],[Order_Date]]),"")</f>
        <v>44337</v>
      </c>
      <c r="J293" t="s">
        <v>1701</v>
      </c>
      <c r="M293" s="56" cm="1">
        <f t="array" ref="M293">_xlfn.IFNA(_xlfn.XLOOKUP(SUP_DP[[#This Row],[JMS PART '#]],PC_500[[#All],[Part_PartNum]],PC_500[[#All],[Unit_Cost]]),0)</f>
        <v>313</v>
      </c>
      <c r="N293" s="274" t="e">
        <f>IF(SUP_DP[[#This Row],[MFG PN]]=HP_SPN,1,0)+IF(SUP_DP[[#This Row],[MFG PN]]=TP_SPN,1,0)</f>
        <v>#N/A</v>
      </c>
      <c r="O293" s="56" t="e">
        <f>SUP_DP[[#This Row],[Cost]]*SUP_DP[[#This Row],[QTY]]</f>
        <v>#N/A</v>
      </c>
    </row>
    <row r="294" spans="1:16">
      <c r="A294" s="56">
        <v>501535</v>
      </c>
      <c r="B294" s="56" t="s">
        <v>1702</v>
      </c>
      <c r="G294" s="56" t="s">
        <v>1665</v>
      </c>
      <c r="H294" s="274" cm="1">
        <f t="array" ref="H294">_xlfn.IFNA(_xlfn.XLOOKUP(SUP_DP[[#This Row],[JMS PART '#]],PC_500[[#All],[Part_PartNum]],PC_500[[#All],[PO_NUM]]),"QUOTE")</f>
        <v>404021</v>
      </c>
      <c r="I294" s="978" cm="1">
        <f t="array" ref="I294">_xlfn.IFNA(_xlfn.XLOOKUP(SUP_DP[[#This Row],[JMS PART '#]],PC_500[[#All],[Part_PartNum]],PC_500[[#All],[Order_Date]]),"")</f>
        <v>44503</v>
      </c>
      <c r="J294" t="s">
        <v>1703</v>
      </c>
      <c r="M294" s="56" cm="1">
        <f t="array" ref="M294">_xlfn.IFNA(_xlfn.XLOOKUP(SUP_DP[[#This Row],[JMS PART '#]],PC_500[[#All],[Part_PartNum]],PC_500[[#All],[Unit_Cost]]),0)</f>
        <v>582.99</v>
      </c>
      <c r="N294" s="274" t="e">
        <f>IF(SUP_DP[[#This Row],[MFG PN]]=HP_SPN,1,0)+IF(SUP_DP[[#This Row],[MFG PN]]=TP_SPN,1,0)</f>
        <v>#N/A</v>
      </c>
      <c r="O294" s="56" t="e">
        <f>SUP_DP[[#This Row],[Cost]]*SUP_DP[[#This Row],[QTY]]</f>
        <v>#N/A</v>
      </c>
    </row>
    <row r="295" spans="1:16">
      <c r="A295" s="56">
        <v>501485</v>
      </c>
      <c r="B295" s="56" t="s">
        <v>1704</v>
      </c>
      <c r="G295" s="56" t="s">
        <v>1665</v>
      </c>
      <c r="H295" s="274" cm="1">
        <f t="array" ref="H295">_xlfn.IFNA(_xlfn.XLOOKUP(SUP_DP[[#This Row],[JMS PART '#]],PC_500[[#All],[Part_PartNum]],PC_500[[#All],[PO_NUM]]),"QUOTE")</f>
        <v>407966</v>
      </c>
      <c r="I295" s="978" cm="1">
        <f t="array" ref="I295">_xlfn.IFNA(_xlfn.XLOOKUP(SUP_DP[[#This Row],[JMS PART '#]],PC_500[[#All],[Part_PartNum]],PC_500[[#All],[Order_Date]]),"")</f>
        <v>45331</v>
      </c>
      <c r="J295" t="s">
        <v>1705</v>
      </c>
      <c r="M295" s="56" cm="1">
        <f t="array" ref="M295">_xlfn.IFNA(_xlfn.XLOOKUP(SUP_DP[[#This Row],[JMS PART '#]],PC_500[[#All],[Part_PartNum]],PC_500[[#All],[Unit_Cost]]),0)</f>
        <v>605.54</v>
      </c>
      <c r="N295" s="274" t="e">
        <f>IF(SUP_DP[[#This Row],[MFG PN]]=HP_SPN,1,0)+IF(SUP_DP[[#This Row],[MFG PN]]=TP_SPN,1,0)</f>
        <v>#N/A</v>
      </c>
      <c r="O295" s="56" t="e">
        <f>SUP_DP[[#This Row],[Cost]]*SUP_DP[[#This Row],[QTY]]</f>
        <v>#N/A</v>
      </c>
      <c r="P295" s="1093"/>
    </row>
    <row r="296" spans="1:16">
      <c r="A296" s="56">
        <v>501496</v>
      </c>
      <c r="B296" s="56" t="s">
        <v>1706</v>
      </c>
      <c r="G296" s="56" t="s">
        <v>1665</v>
      </c>
      <c r="H296" s="274" t="str" cm="1">
        <f t="array" ref="H296">_xlfn.IFNA(_xlfn.XLOOKUP(SUP_DP[[#This Row],[JMS PART '#]],PC_500[[#All],[Part_PartNum]],PC_500[[#All],[PO_NUM]]),"QUOTE")</f>
        <v>QUOTE</v>
      </c>
      <c r="I296" s="978" t="str" cm="1">
        <f t="array" ref="I296">_xlfn.IFNA(_xlfn.XLOOKUP(SUP_DP[[#This Row],[JMS PART '#]],PC_500[[#All],[Part_PartNum]],PC_500[[#All],[Order_Date]]),"")</f>
        <v/>
      </c>
      <c r="J296" t="s">
        <v>1707</v>
      </c>
      <c r="M296" s="56" cm="1">
        <f t="array" ref="M296">_xlfn.IFNA(_xlfn.XLOOKUP(SUP_DP[[#This Row],[JMS PART '#]],PC_500[[#All],[Part_PartNum]],PC_500[[#All],[Unit_Cost]]),0)</f>
        <v>0</v>
      </c>
      <c r="N296" s="274" t="e">
        <f>IF(SUP_DP[[#This Row],[MFG PN]]=HP_SPN,1,0)+IF(SUP_DP[[#This Row],[MFG PN]]=TP_SPN,1,0)</f>
        <v>#N/A</v>
      </c>
      <c r="O296" s="56" t="e">
        <f>SUP_DP[[#This Row],[Cost]]*SUP_DP[[#This Row],[QTY]]</f>
        <v>#N/A</v>
      </c>
      <c r="P296" s="1093"/>
    </row>
    <row r="297" spans="1:16">
      <c r="A297" s="56">
        <v>502828</v>
      </c>
      <c r="B297" s="56" t="s">
        <v>1708</v>
      </c>
      <c r="G297" s="56" t="s">
        <v>1665</v>
      </c>
      <c r="H297" s="274" t="str" cm="1">
        <f t="array" ref="H297">_xlfn.IFNA(_xlfn.XLOOKUP(SUP_DP[[#This Row],[JMS PART '#]],PC_500[[#All],[Part_PartNum]],PC_500[[#All],[PO_NUM]]),"QUOTE")</f>
        <v>QUOTE</v>
      </c>
      <c r="I297" s="978" t="str" cm="1">
        <f t="array" ref="I297">_xlfn.IFNA(_xlfn.XLOOKUP(SUP_DP[[#This Row],[JMS PART '#]],PC_500[[#All],[Part_PartNum]],PC_500[[#All],[Order_Date]]),"")</f>
        <v/>
      </c>
      <c r="J297" t="s">
        <v>1709</v>
      </c>
      <c r="M297" s="56" cm="1">
        <f t="array" ref="M297">_xlfn.IFNA(_xlfn.XLOOKUP(SUP_DP[[#This Row],[JMS PART '#]],PC_500[[#All],[Part_PartNum]],PC_500[[#All],[Unit_Cost]]),0)</f>
        <v>0</v>
      </c>
      <c r="N297" s="274" t="e">
        <f>IF(SUP_DP[[#This Row],[MFG PN]]=HP_SPN,1,0)+IF(SUP_DP[[#This Row],[MFG PN]]=TP_SPN,1,0)</f>
        <v>#N/A</v>
      </c>
      <c r="O297" s="56" t="e">
        <f>SUP_DP[[#This Row],[Cost]]*SUP_DP[[#This Row],[QTY]]</f>
        <v>#N/A</v>
      </c>
    </row>
    <row r="298" spans="1:16" collapsed="1">
      <c r="A298" s="56">
        <v>501511</v>
      </c>
      <c r="B298" s="56" t="s">
        <v>1710</v>
      </c>
      <c r="G298" s="56" t="s">
        <v>1665</v>
      </c>
      <c r="H298" s="274" cm="1">
        <f t="array" ref="H298">_xlfn.IFNA(_xlfn.XLOOKUP(SUP_DP[[#This Row],[JMS PART '#]],PC_500[[#All],[Part_PartNum]],PC_500[[#All],[PO_NUM]]),"QUOTE")</f>
        <v>409991</v>
      </c>
      <c r="I298" s="978" cm="1">
        <f t="array" ref="I298">_xlfn.IFNA(_xlfn.XLOOKUP(SUP_DP[[#This Row],[JMS PART '#]],PC_500[[#All],[Part_PartNum]],PC_500[[#All],[Order_Date]]),"")</f>
        <v>45728</v>
      </c>
      <c r="J298" t="s">
        <v>1711</v>
      </c>
      <c r="M298" s="56" cm="1">
        <f t="array" ref="M298">_xlfn.IFNA(_xlfn.XLOOKUP(SUP_DP[[#This Row],[JMS PART '#]],PC_500[[#All],[Part_PartNum]],PC_500[[#All],[Unit_Cost]]),0)</f>
        <v>611.1</v>
      </c>
      <c r="N298" s="274" t="e">
        <f>IF(SUP_DP[[#This Row],[MFG PN]]=HP_SPN,1,0)+IF(SUP_DP[[#This Row],[MFG PN]]=TP_SPN,1,0)</f>
        <v>#N/A</v>
      </c>
      <c r="O298" s="56" t="e">
        <f>SUP_DP[[#This Row],[Cost]]*SUP_DP[[#This Row],[QTY]]</f>
        <v>#N/A</v>
      </c>
    </row>
    <row r="299" spans="1:16">
      <c r="A299" s="56">
        <v>501595</v>
      </c>
      <c r="B299" s="56" t="s">
        <v>1712</v>
      </c>
      <c r="G299" s="56" t="s">
        <v>1665</v>
      </c>
      <c r="H299" s="274" t="str" cm="1">
        <f t="array" ref="H299">_xlfn.IFNA(_xlfn.XLOOKUP(SUP_DP[[#This Row],[JMS PART '#]],PC_500[[#All],[Part_PartNum]],PC_500[[#All],[PO_NUM]]),"QUOTE")</f>
        <v>QUOTE</v>
      </c>
      <c r="I299" s="978" t="str" cm="1">
        <f t="array" ref="I299">_xlfn.IFNA(_xlfn.XLOOKUP(SUP_DP[[#This Row],[JMS PART '#]],PC_500[[#All],[Part_PartNum]],PC_500[[#All],[Order_Date]]),"")</f>
        <v/>
      </c>
      <c r="J299" t="s">
        <v>1713</v>
      </c>
      <c r="M299" s="56" cm="1">
        <f t="array" ref="M299">_xlfn.IFNA(_xlfn.XLOOKUP(SUP_DP[[#This Row],[JMS PART '#]],PC_500[[#All],[Part_PartNum]],PC_500[[#All],[Unit_Cost]]),0)</f>
        <v>0</v>
      </c>
      <c r="N299" s="274" t="e">
        <f>IF(SUP_DP[[#This Row],[MFG PN]]=HP_SPN,1,0)+IF(SUP_DP[[#This Row],[MFG PN]]=TP_SPN,1,0)</f>
        <v>#N/A</v>
      </c>
      <c r="O299" s="56" t="e">
        <f>SUP_DP[[#This Row],[Cost]]*SUP_DP[[#This Row],[QTY]]</f>
        <v>#N/A</v>
      </c>
    </row>
    <row r="300" spans="1:16">
      <c r="A300" s="56">
        <v>502846</v>
      </c>
      <c r="B300" s="56" t="s">
        <v>1714</v>
      </c>
      <c r="G300" s="56" t="s">
        <v>1665</v>
      </c>
      <c r="H300" s="274" t="str" cm="1">
        <f t="array" ref="H300">_xlfn.IFNA(_xlfn.XLOOKUP(SUP_DP[[#This Row],[JMS PART '#]],PC_500[[#All],[Part_PartNum]],PC_500[[#All],[PO_NUM]]),"QUOTE")</f>
        <v>QUOTE</v>
      </c>
      <c r="I300" s="978" t="str" cm="1">
        <f t="array" ref="I300">_xlfn.IFNA(_xlfn.XLOOKUP(SUP_DP[[#This Row],[JMS PART '#]],PC_500[[#All],[Part_PartNum]],PC_500[[#All],[Order_Date]]),"")</f>
        <v/>
      </c>
      <c r="J300" t="s">
        <v>1715</v>
      </c>
      <c r="M300" s="56" cm="1">
        <f t="array" ref="M300">_xlfn.IFNA(_xlfn.XLOOKUP(SUP_DP[[#This Row],[JMS PART '#]],PC_500[[#All],[Part_PartNum]],PC_500[[#All],[Unit_Cost]]),0)</f>
        <v>0</v>
      </c>
      <c r="N300" s="274" t="e">
        <f>IF(SUP_DP[[#This Row],[MFG PN]]=HP_SPN,1,0)+IF(SUP_DP[[#This Row],[MFG PN]]=TP_SPN,1,0)</f>
        <v>#N/A</v>
      </c>
      <c r="O300" s="56" t="e">
        <f>SUP_DP[[#This Row],[Cost]]*SUP_DP[[#This Row],[QTY]]</f>
        <v>#N/A</v>
      </c>
    </row>
    <row r="301" spans="1:16">
      <c r="A301" s="56">
        <v>502718</v>
      </c>
      <c r="B301" s="56" t="s">
        <v>1716</v>
      </c>
      <c r="G301" s="56" t="s">
        <v>1665</v>
      </c>
      <c r="H301" s="274" cm="1">
        <f t="array" ref="H301">_xlfn.IFNA(_xlfn.XLOOKUP(SUP_DP[[#This Row],[JMS PART '#]],PC_500[[#All],[Part_PartNum]],PC_500[[#All],[PO_NUM]]),"QUOTE")</f>
        <v>409354</v>
      </c>
      <c r="I301" s="978" cm="1">
        <f t="array" ref="I301">_xlfn.IFNA(_xlfn.XLOOKUP(SUP_DP[[#This Row],[JMS PART '#]],PC_500[[#All],[Part_PartNum]],PC_500[[#All],[Order_Date]]),"")</f>
        <v>45593</v>
      </c>
      <c r="J301" t="s">
        <v>1717</v>
      </c>
      <c r="M301" s="56" cm="1">
        <f t="array" ref="M301">_xlfn.IFNA(_xlfn.XLOOKUP(SUP_DP[[#This Row],[JMS PART '#]],PC_500[[#All],[Part_PartNum]],PC_500[[#All],[Unit_Cost]]),0)</f>
        <v>954.42</v>
      </c>
      <c r="N301" s="274" t="e">
        <f>IF(SUP_DP[[#This Row],[MFG PN]]=HP_SPN,1,0)+IF(SUP_DP[[#This Row],[MFG PN]]=TP_SPN,1,0)</f>
        <v>#N/A</v>
      </c>
      <c r="O301" s="56" t="e">
        <f>SUP_DP[[#This Row],[Cost]]*SUP_DP[[#This Row],[QTY]]</f>
        <v>#N/A</v>
      </c>
    </row>
    <row r="302" spans="1:16">
      <c r="A302" s="56">
        <v>502238</v>
      </c>
      <c r="B302" s="56" t="s">
        <v>1718</v>
      </c>
      <c r="G302" s="56" t="s">
        <v>1665</v>
      </c>
      <c r="H302" s="274" cm="1">
        <f t="array" ref="H302">_xlfn.IFNA(_xlfn.XLOOKUP(SUP_DP[[#This Row],[JMS PART '#]],PC_500[[#All],[Part_PartNum]],PC_500[[#All],[PO_NUM]]),"QUOTE")</f>
        <v>404147</v>
      </c>
      <c r="I302" s="978" cm="1">
        <f t="array" ref="I302">_xlfn.IFNA(_xlfn.XLOOKUP(SUP_DP[[#This Row],[JMS PART '#]],PC_500[[#All],[Part_PartNum]],PC_500[[#All],[Order_Date]]),"")</f>
        <v>44522</v>
      </c>
      <c r="J302" t="s">
        <v>1719</v>
      </c>
      <c r="M302" s="56" cm="1">
        <f t="array" ref="M302">_xlfn.IFNA(_xlfn.XLOOKUP(SUP_DP[[#This Row],[JMS PART '#]],PC_500[[#All],[Part_PartNum]],PC_500[[#All],[Unit_Cost]]),0)</f>
        <v>778.51</v>
      </c>
      <c r="N302" s="274" t="e">
        <f>IF(SUP_DP[[#This Row],[MFG PN]]=HP_SPN,1,0)+IF(SUP_DP[[#This Row],[MFG PN]]=TP_SPN,1,0)</f>
        <v>#N/A</v>
      </c>
      <c r="O302" s="56" t="e">
        <f>SUP_DP[[#This Row],[Cost]]*SUP_DP[[#This Row],[QTY]]</f>
        <v>#N/A</v>
      </c>
    </row>
    <row r="303" spans="1:16">
      <c r="A303" s="56">
        <v>502674</v>
      </c>
      <c r="B303" s="56" t="s">
        <v>1720</v>
      </c>
      <c r="G303" s="56" t="s">
        <v>1665</v>
      </c>
      <c r="H303" s="274" cm="1">
        <f t="array" ref="H303">_xlfn.IFNA(_xlfn.XLOOKUP(SUP_DP[[#This Row],[JMS PART '#]],PC_500[[#All],[Part_PartNum]],PC_500[[#All],[PO_NUM]]),"QUOTE")</f>
        <v>409262</v>
      </c>
      <c r="I303" s="978" cm="1">
        <f t="array" ref="I303">_xlfn.IFNA(_xlfn.XLOOKUP(SUP_DP[[#This Row],[JMS PART '#]],PC_500[[#All],[Part_PartNum]],PC_500[[#All],[Order_Date]]),"")</f>
        <v>45575</v>
      </c>
      <c r="J303" t="s">
        <v>1721</v>
      </c>
      <c r="M303" s="56" cm="1">
        <f t="array" ref="M303">_xlfn.IFNA(_xlfn.XLOOKUP(SUP_DP[[#This Row],[JMS PART '#]],PC_500[[#All],[Part_PartNum]],PC_500[[#All],[Unit_Cost]]),0)</f>
        <v>1039.82</v>
      </c>
      <c r="N303" s="274" t="e">
        <f>IF(SUP_DP[[#This Row],[MFG PN]]=HP_SPN,1,0)+IF(SUP_DP[[#This Row],[MFG PN]]=TP_SPN,1,0)</f>
        <v>#N/A</v>
      </c>
      <c r="O303" s="56" t="e">
        <f>SUP_DP[[#This Row],[Cost]]*SUP_DP[[#This Row],[QTY]]</f>
        <v>#N/A</v>
      </c>
    </row>
    <row r="304" spans="1:16">
      <c r="A304" s="56">
        <v>502250</v>
      </c>
      <c r="B304" s="56" t="s">
        <v>1722</v>
      </c>
      <c r="G304" s="56" t="s">
        <v>1665</v>
      </c>
      <c r="H304" s="274" cm="1">
        <f t="array" ref="H304">_xlfn.IFNA(_xlfn.XLOOKUP(SUP_DP[[#This Row],[JMS PART '#]],PC_500[[#All],[Part_PartNum]],PC_500[[#All],[PO_NUM]]),"QUOTE")</f>
        <v>408361</v>
      </c>
      <c r="I304" s="978" cm="1">
        <f t="array" ref="I304">_xlfn.IFNA(_xlfn.XLOOKUP(SUP_DP[[#This Row],[JMS PART '#]],PC_500[[#All],[Part_PartNum]],PC_500[[#All],[Order_Date]]),"")</f>
        <v>45401</v>
      </c>
      <c r="J304" t="s">
        <v>1723</v>
      </c>
      <c r="M304" s="56" cm="1">
        <f t="array" ref="M304">_xlfn.IFNA(_xlfn.XLOOKUP(SUP_DP[[#This Row],[JMS PART '#]],PC_500[[#All],[Part_PartNum]],PC_500[[#All],[Unit_Cost]]),0)</f>
        <v>504.39</v>
      </c>
      <c r="N304" s="274" t="e">
        <f>IF(SUP_DP[[#This Row],[MFG PN]]=HP_SPN,1,0)+IF(SUP_DP[[#This Row],[MFG PN]]=TP_SPN,1,0)</f>
        <v>#N/A</v>
      </c>
      <c r="O304" s="56" t="e">
        <f>SUP_DP[[#This Row],[Cost]]*SUP_DP[[#This Row],[QTY]]</f>
        <v>#N/A</v>
      </c>
    </row>
    <row r="305" spans="1:15">
      <c r="A305" s="56">
        <v>502675</v>
      </c>
      <c r="B305" s="56" t="s">
        <v>1722</v>
      </c>
      <c r="G305" s="56" t="s">
        <v>1665</v>
      </c>
      <c r="H305" s="274" cm="1">
        <f t="array" ref="H305">_xlfn.IFNA(_xlfn.XLOOKUP(SUP_DP[[#This Row],[JMS PART '#]],PC_500[[#All],[Part_PartNum]],PC_500[[#All],[PO_NUM]]),"QUOTE")</f>
        <v>408361</v>
      </c>
      <c r="I305" s="978" cm="1">
        <f t="array" ref="I305">_xlfn.IFNA(_xlfn.XLOOKUP(SUP_DP[[#This Row],[JMS PART '#]],PC_500[[#All],[Part_PartNum]],PC_500[[#All],[Order_Date]]),"")</f>
        <v>45401</v>
      </c>
      <c r="J305" t="s">
        <v>1723</v>
      </c>
      <c r="M305" s="56" cm="1">
        <f t="array" ref="M305">_xlfn.IFNA(_xlfn.XLOOKUP(SUP_DP[[#This Row],[JMS PART '#]],PC_500[[#All],[Part_PartNum]],PC_500[[#All],[Unit_Cost]]),0)</f>
        <v>504.39</v>
      </c>
      <c r="N305" s="274" t="e">
        <f>IF(SUP_DP[[#This Row],[MFG PN]]=HP_SPN,1,0)+IF(SUP_DP[[#This Row],[MFG PN]]=TP_SPN,1,0)</f>
        <v>#N/A</v>
      </c>
      <c r="O305" s="56" t="e">
        <f>SUP_DP[[#This Row],[Cost]]*SUP_DP[[#This Row],[QTY]]</f>
        <v>#N/A</v>
      </c>
    </row>
    <row r="306" spans="1:15" collapsed="1">
      <c r="A306" s="56">
        <v>502790</v>
      </c>
      <c r="B306" s="56" t="s">
        <v>1724</v>
      </c>
      <c r="G306" s="56" t="s">
        <v>1665</v>
      </c>
      <c r="H306" s="274" cm="1">
        <f t="array" ref="H306">_xlfn.IFNA(_xlfn.XLOOKUP(SUP_DP[[#This Row],[JMS PART '#]],PC_500[[#All],[Part_PartNum]],PC_500[[#All],[PO_NUM]]),"QUOTE")</f>
        <v>410170</v>
      </c>
      <c r="I306" s="978" cm="1">
        <f t="array" ref="I306">_xlfn.IFNA(_xlfn.XLOOKUP(SUP_DP[[#This Row],[JMS PART '#]],PC_500[[#All],[Part_PartNum]],PC_500[[#All],[Order_Date]]),"")</f>
        <v>45761</v>
      </c>
      <c r="J306" t="s">
        <v>1725</v>
      </c>
      <c r="M306" s="56" cm="1">
        <f t="array" ref="M306">_xlfn.IFNA(_xlfn.XLOOKUP(SUP_DP[[#This Row],[JMS PART '#]],PC_500[[#All],[Part_PartNum]],PC_500[[#All],[Unit_Cost]]),0)</f>
        <v>765.41</v>
      </c>
      <c r="N306" s="274" t="e">
        <f>IF(SUP_DP[[#This Row],[MFG PN]]=HP_SPN,1,0)+IF(SUP_DP[[#This Row],[MFG PN]]=TP_SPN,1,0)</f>
        <v>#N/A</v>
      </c>
      <c r="O306" s="56" t="e">
        <f>SUP_DP[[#This Row],[Cost]]*SUP_DP[[#This Row],[QTY]]</f>
        <v>#N/A</v>
      </c>
    </row>
    <row r="307" spans="1:15">
      <c r="A307" s="56">
        <v>501508</v>
      </c>
      <c r="B307" s="56" t="s">
        <v>1726</v>
      </c>
      <c r="G307" s="56" t="s">
        <v>1665</v>
      </c>
      <c r="H307" s="274" t="str" cm="1">
        <f t="array" ref="H307">_xlfn.IFNA(_xlfn.XLOOKUP(SUP_DP[[#This Row],[JMS PART '#]],PC_500[[#All],[Part_PartNum]],PC_500[[#All],[PO_NUM]]),"QUOTE")</f>
        <v>QUOTE</v>
      </c>
      <c r="I307" s="978" t="str" cm="1">
        <f t="array" ref="I307">_xlfn.IFNA(_xlfn.XLOOKUP(SUP_DP[[#This Row],[JMS PART '#]],PC_500[[#All],[Part_PartNum]],PC_500[[#All],[Order_Date]]),"")</f>
        <v/>
      </c>
      <c r="J307" t="s">
        <v>1727</v>
      </c>
      <c r="M307" s="56" cm="1">
        <f t="array" ref="M307">_xlfn.IFNA(_xlfn.XLOOKUP(SUP_DP[[#This Row],[JMS PART '#]],PC_500[[#All],[Part_PartNum]],PC_500[[#All],[Unit_Cost]]),0)</f>
        <v>0</v>
      </c>
      <c r="N307" s="274" t="e">
        <f>IF(SUP_DP[[#This Row],[MFG PN]]=HP_SPN,1,0)+IF(SUP_DP[[#This Row],[MFG PN]]=TP_SPN,1,0)</f>
        <v>#N/A</v>
      </c>
      <c r="O307" s="56" t="e">
        <f>SUP_DP[[#This Row],[Cost]]*SUP_DP[[#This Row],[QTY]]</f>
        <v>#N/A</v>
      </c>
    </row>
    <row r="308" spans="1:15">
      <c r="A308" s="56">
        <v>501480</v>
      </c>
      <c r="B308" s="56" t="s">
        <v>1728</v>
      </c>
      <c r="G308" s="56" t="s">
        <v>1665</v>
      </c>
      <c r="H308" s="274" cm="1">
        <f t="array" ref="H308">_xlfn.IFNA(_xlfn.XLOOKUP(SUP_DP[[#This Row],[JMS PART '#]],PC_500[[#All],[Part_PartNum]],PC_500[[#All],[PO_NUM]]),"QUOTE")</f>
        <v>403129</v>
      </c>
      <c r="I308" s="978" cm="1">
        <f t="array" ref="I308">_xlfn.IFNA(_xlfn.XLOOKUP(SUP_DP[[#This Row],[JMS PART '#]],PC_500[[#All],[Part_PartNum]],PC_500[[#All],[Order_Date]]),"")</f>
        <v>44337</v>
      </c>
      <c r="J308" t="s">
        <v>1729</v>
      </c>
      <c r="M308" s="56" cm="1">
        <f t="array" ref="M308">_xlfn.IFNA(_xlfn.XLOOKUP(SUP_DP[[#This Row],[JMS PART '#]],PC_500[[#All],[Part_PartNum]],PC_500[[#All],[Unit_Cost]]),0)</f>
        <v>951.28</v>
      </c>
      <c r="N308" s="274" t="e">
        <f>IF(SUP_DP[[#This Row],[MFG PN]]=HP_SPN,1,0)+IF(SUP_DP[[#This Row],[MFG PN]]=TP_SPN,1,0)</f>
        <v>#N/A</v>
      </c>
      <c r="O308" s="56" t="e">
        <f>SUP_DP[[#This Row],[Cost]]*SUP_DP[[#This Row],[QTY]]</f>
        <v>#N/A</v>
      </c>
    </row>
    <row r="309" spans="1:15">
      <c r="A309" s="56">
        <v>501519</v>
      </c>
      <c r="B309" s="56" t="s">
        <v>1730</v>
      </c>
      <c r="G309" s="56" t="s">
        <v>1665</v>
      </c>
      <c r="H309" s="274" cm="1">
        <f t="array" ref="H309">_xlfn.IFNA(_xlfn.XLOOKUP(SUP_DP[[#This Row],[JMS PART '#]],PC_500[[#All],[Part_PartNum]],PC_500[[#All],[PO_NUM]]),"QUOTE")</f>
        <v>403129</v>
      </c>
      <c r="I309" s="978" cm="1">
        <f t="array" ref="I309">_xlfn.IFNA(_xlfn.XLOOKUP(SUP_DP[[#This Row],[JMS PART '#]],PC_500[[#All],[Part_PartNum]],PC_500[[#All],[Order_Date]]),"")</f>
        <v>44337</v>
      </c>
      <c r="J309" t="s">
        <v>1731</v>
      </c>
      <c r="M309" s="56" cm="1">
        <f t="array" ref="M309">_xlfn.IFNA(_xlfn.XLOOKUP(SUP_DP[[#This Row],[JMS PART '#]],PC_500[[#All],[Part_PartNum]],PC_500[[#All],[Unit_Cost]]),0)</f>
        <v>1219.8399999999999</v>
      </c>
      <c r="N309" s="274" t="e">
        <f>IF(SUP_DP[[#This Row],[MFG PN]]=HP_SPN,1,0)+IF(SUP_DP[[#This Row],[MFG PN]]=TP_SPN,1,0)</f>
        <v>#N/A</v>
      </c>
      <c r="O309" s="56" t="e">
        <f>SUP_DP[[#This Row],[Cost]]*SUP_DP[[#This Row],[QTY]]</f>
        <v>#N/A</v>
      </c>
    </row>
    <row r="310" spans="1:15">
      <c r="A310" s="56">
        <v>501510</v>
      </c>
      <c r="B310" s="56" t="s">
        <v>1732</v>
      </c>
      <c r="G310" s="56" t="s">
        <v>1665</v>
      </c>
      <c r="H310" s="274" cm="1">
        <f t="array" ref="H310">_xlfn.IFNA(_xlfn.XLOOKUP(SUP_DP[[#This Row],[JMS PART '#]],PC_500[[#All],[Part_PartNum]],PC_500[[#All],[PO_NUM]]),"QUOTE")</f>
        <v>403129</v>
      </c>
      <c r="I310" s="978" cm="1">
        <f t="array" ref="I310">_xlfn.IFNA(_xlfn.XLOOKUP(SUP_DP[[#This Row],[JMS PART '#]],PC_500[[#All],[Part_PartNum]],PC_500[[#All],[Order_Date]]),"")</f>
        <v>44337</v>
      </c>
      <c r="J310" t="s">
        <v>1733</v>
      </c>
      <c r="M310" s="56" cm="1">
        <f t="array" ref="M310">_xlfn.IFNA(_xlfn.XLOOKUP(SUP_DP[[#This Row],[JMS PART '#]],PC_500[[#All],[Part_PartNum]],PC_500[[#All],[Unit_Cost]]),0)</f>
        <v>1142.81</v>
      </c>
      <c r="N310" s="274" t="e">
        <f>IF(SUP_DP[[#This Row],[MFG PN]]=HP_SPN,1,0)+IF(SUP_DP[[#This Row],[MFG PN]]=TP_SPN,1,0)</f>
        <v>#N/A</v>
      </c>
      <c r="O310" s="56" t="e">
        <f>SUP_DP[[#This Row],[Cost]]*SUP_DP[[#This Row],[QTY]]</f>
        <v>#N/A</v>
      </c>
    </row>
    <row r="311" spans="1:15">
      <c r="A311" s="56">
        <v>501484</v>
      </c>
      <c r="B311" s="56" t="s">
        <v>1734</v>
      </c>
      <c r="G311" s="56" t="s">
        <v>1665</v>
      </c>
      <c r="H311" s="274" cm="1">
        <f t="array" ref="H311">_xlfn.IFNA(_xlfn.XLOOKUP(SUP_DP[[#This Row],[JMS PART '#]],PC_500[[#All],[Part_PartNum]],PC_500[[#All],[PO_NUM]]),"QUOTE")</f>
        <v>405262</v>
      </c>
      <c r="I311" s="978" cm="1">
        <f t="array" ref="I311">_xlfn.IFNA(_xlfn.XLOOKUP(SUP_DP[[#This Row],[JMS PART '#]],PC_500[[#All],[Part_PartNum]],PC_500[[#All],[Order_Date]]),"")</f>
        <v>44750</v>
      </c>
      <c r="J311" t="s">
        <v>1735</v>
      </c>
      <c r="M311" s="56" cm="1">
        <f t="array" ref="M311">_xlfn.IFNA(_xlfn.XLOOKUP(SUP_DP[[#This Row],[JMS PART '#]],PC_500[[#All],[Part_PartNum]],PC_500[[#All],[Unit_Cost]]),0)</f>
        <v>742.25</v>
      </c>
      <c r="N311" s="274" t="e">
        <f>IF(SUP_DP[[#This Row],[MFG PN]]=HP_SPN,1,0)+IF(SUP_DP[[#This Row],[MFG PN]]=TP_SPN,1,0)</f>
        <v>#N/A</v>
      </c>
      <c r="O311" s="56" t="e">
        <f>SUP_DP[[#This Row],[Cost]]*SUP_DP[[#This Row],[QTY]]</f>
        <v>#N/A</v>
      </c>
    </row>
    <row r="312" spans="1:15">
      <c r="A312" s="56">
        <v>502587</v>
      </c>
      <c r="B312" s="56" t="s">
        <v>1736</v>
      </c>
      <c r="G312" s="56" t="s">
        <v>1690</v>
      </c>
      <c r="H312" s="274" cm="1">
        <f t="array" ref="H312">_xlfn.IFNA(_xlfn.XLOOKUP(SUP_DP[[#This Row],[JMS PART '#]],PC_500[[#All],[Part_PartNum]],PC_500[[#All],[PO_NUM]]),"QUOTE")</f>
        <v>406138</v>
      </c>
      <c r="I312" s="978" cm="1">
        <f t="array" ref="I312">_xlfn.IFNA(_xlfn.XLOOKUP(SUP_DP[[#This Row],[JMS PART '#]],PC_500[[#All],[Part_PartNum]],PC_500[[#All],[Order_Date]]),"")</f>
        <v>44957</v>
      </c>
      <c r="J312" t="s">
        <v>1737</v>
      </c>
      <c r="M312" s="56" cm="1">
        <f t="array" ref="M312">_xlfn.IFNA(_xlfn.XLOOKUP(SUP_DP[[#This Row],[JMS PART '#]],PC_500[[#All],[Part_PartNum]],PC_500[[#All],[Unit_Cost]]),0)</f>
        <v>500.74</v>
      </c>
      <c r="N312" s="274" t="e">
        <f>IF(SUP_DP[[#This Row],[MFG PN]]=HP_SPN,1,0)+IF(SUP_DP[[#This Row],[MFG PN]]=TP_SPN,1,0)</f>
        <v>#N/A</v>
      </c>
      <c r="O312" s="56" t="e">
        <f>SUP_DP[[#This Row],[Cost]]*SUP_DP[[#This Row],[QTY]]</f>
        <v>#N/A</v>
      </c>
    </row>
    <row r="313" spans="1:15">
      <c r="A313" s="56">
        <v>502588</v>
      </c>
      <c r="B313" s="56" t="s">
        <v>1738</v>
      </c>
      <c r="G313" s="56" t="s">
        <v>1690</v>
      </c>
      <c r="H313" s="274" cm="1">
        <f t="array" ref="H313">_xlfn.IFNA(_xlfn.XLOOKUP(SUP_DP[[#This Row],[JMS PART '#]],PC_500[[#All],[Part_PartNum]],PC_500[[#All],[PO_NUM]]),"QUOTE")</f>
        <v>406138</v>
      </c>
      <c r="I313" s="978" cm="1">
        <f t="array" ref="I313">_xlfn.IFNA(_xlfn.XLOOKUP(SUP_DP[[#This Row],[JMS PART '#]],PC_500[[#All],[Part_PartNum]],PC_500[[#All],[Order_Date]]),"")</f>
        <v>44957</v>
      </c>
      <c r="J313" t="s">
        <v>1739</v>
      </c>
      <c r="M313" s="56" cm="1">
        <f t="array" ref="M313">_xlfn.IFNA(_xlfn.XLOOKUP(SUP_DP[[#This Row],[JMS PART '#]],PC_500[[#All],[Part_PartNum]],PC_500[[#All],[Unit_Cost]]),0)</f>
        <v>1121.6500000000001</v>
      </c>
      <c r="N313" s="274" t="e">
        <f>IF(SUP_DP[[#This Row],[MFG PN]]=HP_SPN,1,0)+IF(SUP_DP[[#This Row],[MFG PN]]=TP_SPN,1,0)</f>
        <v>#N/A</v>
      </c>
      <c r="O313" s="56" t="e">
        <f>SUP_DP[[#This Row],[Cost]]*SUP_DP[[#This Row],[QTY]]</f>
        <v>#N/A</v>
      </c>
    </row>
    <row r="314" spans="1:15" collapsed="1">
      <c r="A314" s="56">
        <v>502789</v>
      </c>
      <c r="B314" s="56" t="s">
        <v>1740</v>
      </c>
      <c r="G314" s="56" t="s">
        <v>1665</v>
      </c>
      <c r="H314" s="274" cm="1">
        <f t="array" ref="H314">_xlfn.IFNA(_xlfn.XLOOKUP(SUP_DP[[#This Row],[JMS PART '#]],PC_500[[#All],[Part_PartNum]],PC_500[[#All],[PO_NUM]]),"QUOTE")</f>
        <v>407736</v>
      </c>
      <c r="I314" s="978" cm="1">
        <f t="array" ref="I314">_xlfn.IFNA(_xlfn.XLOOKUP(SUP_DP[[#This Row],[JMS PART '#]],PC_500[[#All],[Part_PartNum]],PC_500[[#All],[Order_Date]]),"")</f>
        <v>45295</v>
      </c>
      <c r="J314" t="s">
        <v>1741</v>
      </c>
      <c r="M314" s="56" cm="1">
        <f t="array" ref="M314">_xlfn.IFNA(_xlfn.XLOOKUP(SUP_DP[[#This Row],[JMS PART '#]],PC_500[[#All],[Part_PartNum]],PC_500[[#All],[Unit_Cost]]),0)</f>
        <v>1504</v>
      </c>
      <c r="N314" s="274" t="e">
        <f>IF(SUP_DP[[#This Row],[MFG PN]]=HP_SPN,1,0)+IF(SUP_DP[[#This Row],[MFG PN]]=TP_SPN,1,0)</f>
        <v>#N/A</v>
      </c>
      <c r="O314" s="56" t="e">
        <f>SUP_DP[[#This Row],[Cost]]*SUP_DP[[#This Row],[QTY]]</f>
        <v>#N/A</v>
      </c>
    </row>
    <row r="315" spans="1:15">
      <c r="A315" s="56">
        <v>502779</v>
      </c>
      <c r="B315" s="56" t="s">
        <v>1742</v>
      </c>
      <c r="G315" s="56" t="s">
        <v>1665</v>
      </c>
      <c r="H315" s="274" t="str" cm="1">
        <f t="array" ref="H315">_xlfn.IFNA(_xlfn.XLOOKUP(SUP_DP[[#This Row],[JMS PART '#]],PC_500[[#All],[Part_PartNum]],PC_500[[#All],[PO_NUM]]),"QUOTE")</f>
        <v>QUOTE</v>
      </c>
      <c r="I315" s="978" t="str" cm="1">
        <f t="array" ref="I315">_xlfn.IFNA(_xlfn.XLOOKUP(SUP_DP[[#This Row],[JMS PART '#]],PC_500[[#All],[Part_PartNum]],PC_500[[#All],[Order_Date]]),"")</f>
        <v/>
      </c>
      <c r="J315" t="s">
        <v>1743</v>
      </c>
      <c r="M315" s="56" cm="1">
        <f t="array" ref="M315">_xlfn.IFNA(_xlfn.XLOOKUP(SUP_DP[[#This Row],[JMS PART '#]],PC_500[[#All],[Part_PartNum]],PC_500[[#All],[Unit_Cost]]),0)</f>
        <v>0</v>
      </c>
      <c r="N315" s="274" t="e">
        <f>IF(SUP_DP[[#This Row],[MFG PN]]=HP_SPN,1,0)+IF(SUP_DP[[#This Row],[MFG PN]]=TP_SPN,1,0)</f>
        <v>#N/A</v>
      </c>
      <c r="O315" s="56" t="e">
        <f>SUP_DP[[#This Row],[Cost]]*SUP_DP[[#This Row],[QTY]]</f>
        <v>#N/A</v>
      </c>
    </row>
    <row r="316" spans="1:15">
      <c r="A316" s="56">
        <v>502865</v>
      </c>
      <c r="B316" s="56" t="s">
        <v>1744</v>
      </c>
      <c r="G316" s="56" t="s">
        <v>1665</v>
      </c>
      <c r="H316" s="274" t="str" cm="1">
        <f t="array" ref="H316">_xlfn.IFNA(_xlfn.XLOOKUP(SUP_DP[[#This Row],[JMS PART '#]],PC_500[[#All],[Part_PartNum]],PC_500[[#All],[PO_NUM]]),"QUOTE")</f>
        <v>QUOTE</v>
      </c>
      <c r="I316" s="978" t="str" cm="1">
        <f t="array" ref="I316">_xlfn.IFNA(_xlfn.XLOOKUP(SUP_DP[[#This Row],[JMS PART '#]],PC_500[[#All],[Part_PartNum]],PC_500[[#All],[Order_Date]]),"")</f>
        <v/>
      </c>
      <c r="J316" t="s">
        <v>1745</v>
      </c>
      <c r="M316" s="56" cm="1">
        <f t="array" ref="M316">_xlfn.IFNA(_xlfn.XLOOKUP(SUP_DP[[#This Row],[JMS PART '#]],PC_500[[#All],[Part_PartNum]],PC_500[[#All],[Unit_Cost]]),0)</f>
        <v>0</v>
      </c>
      <c r="N316" s="274" t="e">
        <f>IF(SUP_DP[[#This Row],[MFG PN]]=HP_SPN,1,0)+IF(SUP_DP[[#This Row],[MFG PN]]=TP_SPN,1,0)</f>
        <v>#N/A</v>
      </c>
      <c r="O316" s="56" t="e">
        <f>SUP_DP[[#This Row],[Cost]]*SUP_DP[[#This Row],[QTY]]</f>
        <v>#N/A</v>
      </c>
    </row>
    <row r="317" spans="1:15">
      <c r="A317" s="56">
        <v>502847</v>
      </c>
      <c r="B317" s="56" t="s">
        <v>1746</v>
      </c>
      <c r="G317" s="56" t="s">
        <v>1665</v>
      </c>
      <c r="H317" s="274" t="str" cm="1">
        <f t="array" ref="H317">_xlfn.IFNA(_xlfn.XLOOKUP(SUP_DP[[#This Row],[JMS PART '#]],PC_500[[#All],[Part_PartNum]],PC_500[[#All],[PO_NUM]]),"QUOTE")</f>
        <v>QUOTE</v>
      </c>
      <c r="I317" s="978" t="str" cm="1">
        <f t="array" ref="I317">_xlfn.IFNA(_xlfn.XLOOKUP(SUP_DP[[#This Row],[JMS PART '#]],PC_500[[#All],[Part_PartNum]],PC_500[[#All],[Order_Date]]),"")</f>
        <v/>
      </c>
      <c r="J317" t="s">
        <v>1747</v>
      </c>
      <c r="M317" s="56" cm="1">
        <f t="array" ref="M317">_xlfn.IFNA(_xlfn.XLOOKUP(SUP_DP[[#This Row],[JMS PART '#]],PC_500[[#All],[Part_PartNum]],PC_500[[#All],[Unit_Cost]]),0)</f>
        <v>0</v>
      </c>
      <c r="N317" s="274" t="e">
        <f>IF(SUP_DP[[#This Row],[MFG PN]]=HP_SPN,1,0)+IF(SUP_DP[[#This Row],[MFG PN]]=TP_SPN,1,0)</f>
        <v>#N/A</v>
      </c>
      <c r="O317" s="56" t="e">
        <f>SUP_DP[[#This Row],[Cost]]*SUP_DP[[#This Row],[QTY]]</f>
        <v>#N/A</v>
      </c>
    </row>
    <row r="318" spans="1:15">
      <c r="A318" s="56">
        <v>502778</v>
      </c>
      <c r="B318" s="56" t="s">
        <v>1748</v>
      </c>
      <c r="G318" s="56" t="s">
        <v>1665</v>
      </c>
      <c r="H318" s="274" cm="1">
        <f t="array" ref="H318">_xlfn.IFNA(_xlfn.XLOOKUP(SUP_DP[[#This Row],[JMS PART '#]],PC_500[[#All],[Part_PartNum]],PC_500[[#All],[PO_NUM]]),"QUOTE")</f>
        <v>409354</v>
      </c>
      <c r="I318" s="978" cm="1">
        <f t="array" ref="I318">_xlfn.IFNA(_xlfn.XLOOKUP(SUP_DP[[#This Row],[JMS PART '#]],PC_500[[#All],[Part_PartNum]],PC_500[[#All],[Order_Date]]),"")</f>
        <v>45593</v>
      </c>
      <c r="J318" t="s">
        <v>1749</v>
      </c>
      <c r="M318" s="56" cm="1">
        <f t="array" ref="M318">_xlfn.IFNA(_xlfn.XLOOKUP(SUP_DP[[#This Row],[JMS PART '#]],PC_500[[#All],[Part_PartNum]],PC_500[[#All],[Unit_Cost]]),0)</f>
        <v>699.25</v>
      </c>
      <c r="N318" s="274" t="e">
        <f>IF(SUP_DP[[#This Row],[MFG PN]]=HP_SPN,1,0)+IF(SUP_DP[[#This Row],[MFG PN]]=TP_SPN,1,0)</f>
        <v>#N/A</v>
      </c>
      <c r="O318" s="56" t="e">
        <f>SUP_DP[[#This Row],[Cost]]*SUP_DP[[#This Row],[QTY]]</f>
        <v>#N/A</v>
      </c>
    </row>
    <row r="319" spans="1:15">
      <c r="A319" s="56">
        <v>502708</v>
      </c>
      <c r="B319" s="56" t="s">
        <v>1750</v>
      </c>
      <c r="G319" s="56" t="s">
        <v>1665</v>
      </c>
      <c r="H319" s="274" cm="1">
        <f t="array" ref="H319">_xlfn.IFNA(_xlfn.XLOOKUP(SUP_DP[[#This Row],[JMS PART '#]],PC_500[[#All],[Part_PartNum]],PC_500[[#All],[PO_NUM]]),"QUOTE")</f>
        <v>408719</v>
      </c>
      <c r="I319" s="978" cm="1">
        <f t="array" ref="I319">_xlfn.IFNA(_xlfn.XLOOKUP(SUP_DP[[#This Row],[JMS PART '#]],PC_500[[#All],[Part_PartNum]],PC_500[[#All],[Order_Date]]),"")</f>
        <v>45460</v>
      </c>
      <c r="J319" t="s">
        <v>1751</v>
      </c>
      <c r="M319" s="56" cm="1">
        <f t="array" ref="M319">_xlfn.IFNA(_xlfn.XLOOKUP(SUP_DP[[#This Row],[JMS PART '#]],PC_500[[#All],[Part_PartNum]],PC_500[[#All],[Unit_Cost]]),0)</f>
        <v>524.53</v>
      </c>
      <c r="N319" s="274" t="e">
        <f>IF(SUP_DP[[#This Row],[MFG PN]]=HP_SPN,1,0)+IF(SUP_DP[[#This Row],[MFG PN]]=TP_SPN,1,0)</f>
        <v>#N/A</v>
      </c>
      <c r="O319" s="56" t="e">
        <f>SUP_DP[[#This Row],[Cost]]*SUP_DP[[#This Row],[QTY]]</f>
        <v>#N/A</v>
      </c>
    </row>
    <row r="320" spans="1:15">
      <c r="A320" s="56">
        <v>502747</v>
      </c>
      <c r="B320" s="56" t="s">
        <v>1752</v>
      </c>
      <c r="G320" s="56" t="s">
        <v>1665</v>
      </c>
      <c r="H320" s="274" cm="1">
        <f t="array" ref="H320">_xlfn.IFNA(_xlfn.XLOOKUP(SUP_DP[[#This Row],[JMS PART '#]],PC_500[[#All],[Part_PartNum]],PC_500[[#All],[PO_NUM]]),"QUOTE")</f>
        <v>408233</v>
      </c>
      <c r="I320" s="978" cm="1">
        <f t="array" ref="I320">_xlfn.IFNA(_xlfn.XLOOKUP(SUP_DP[[#This Row],[JMS PART '#]],PC_500[[#All],[Part_PartNum]],PC_500[[#All],[Order_Date]]),"")</f>
        <v>45378</v>
      </c>
      <c r="J320" t="s">
        <v>1753</v>
      </c>
      <c r="M320" s="56" cm="1">
        <f t="array" ref="M320">_xlfn.IFNA(_xlfn.XLOOKUP(SUP_DP[[#This Row],[JMS PART '#]],PC_500[[#All],[Part_PartNum]],PC_500[[#All],[Unit_Cost]]),0)</f>
        <v>805.53</v>
      </c>
      <c r="N320" s="274" t="e">
        <f>IF(SUP_DP[[#This Row],[MFG PN]]=HP_SPN,1,0)+IF(SUP_DP[[#This Row],[MFG PN]]=TP_SPN,1,0)</f>
        <v>#N/A</v>
      </c>
      <c r="O320" s="56" t="e">
        <f>SUP_DP[[#This Row],[Cost]]*SUP_DP[[#This Row],[QTY]]</f>
        <v>#N/A</v>
      </c>
    </row>
    <row r="321" spans="1:15">
      <c r="A321" s="56">
        <v>502703</v>
      </c>
      <c r="B321" s="56" t="s">
        <v>1754</v>
      </c>
      <c r="G321" s="56" t="s">
        <v>1665</v>
      </c>
      <c r="H321" s="274" cm="1">
        <f t="array" ref="H321">_xlfn.IFNA(_xlfn.XLOOKUP(SUP_DP[[#This Row],[JMS PART '#]],PC_500[[#All],[Part_PartNum]],PC_500[[#All],[PO_NUM]]),"QUOTE")</f>
        <v>408719</v>
      </c>
      <c r="I321" s="978" cm="1">
        <f t="array" ref="I321">_xlfn.IFNA(_xlfn.XLOOKUP(SUP_DP[[#This Row],[JMS PART '#]],PC_500[[#All],[Part_PartNum]],PC_500[[#All],[Order_Date]]),"")</f>
        <v>45460</v>
      </c>
      <c r="J321" t="s">
        <v>1755</v>
      </c>
      <c r="M321" s="56" cm="1">
        <f t="array" ref="M321">_xlfn.IFNA(_xlfn.XLOOKUP(SUP_DP[[#This Row],[JMS PART '#]],PC_500[[#All],[Part_PartNum]],PC_500[[#All],[Unit_Cost]]),0)</f>
        <v>425.54</v>
      </c>
      <c r="N321" s="274" t="e">
        <f>IF(SUP_DP[[#This Row],[MFG PN]]=HP_SPN,1,0)+IF(SUP_DP[[#This Row],[MFG PN]]=TP_SPN,1,0)</f>
        <v>#N/A</v>
      </c>
      <c r="O321" s="56" t="e">
        <f>SUP_DP[[#This Row],[Cost]]*SUP_DP[[#This Row],[QTY]]</f>
        <v>#N/A</v>
      </c>
    </row>
    <row r="322" spans="1:15" collapsed="1">
      <c r="A322" s="56">
        <v>502702</v>
      </c>
      <c r="B322" s="56" t="s">
        <v>1756</v>
      </c>
      <c r="G322" s="56" t="s">
        <v>1665</v>
      </c>
      <c r="H322" s="274" cm="1">
        <f t="array" ref="H322">_xlfn.IFNA(_xlfn.XLOOKUP(SUP_DP[[#This Row],[JMS PART '#]],PC_500[[#All],[Part_PartNum]],PC_500[[#All],[PO_NUM]]),"QUOTE")</f>
        <v>408719</v>
      </c>
      <c r="I322" s="978" cm="1">
        <f t="array" ref="I322">_xlfn.IFNA(_xlfn.XLOOKUP(SUP_DP[[#This Row],[JMS PART '#]],PC_500[[#All],[Part_PartNum]],PC_500[[#All],[Order_Date]]),"")</f>
        <v>45460</v>
      </c>
      <c r="J322" t="s">
        <v>1757</v>
      </c>
      <c r="M322" s="56" cm="1">
        <f t="array" ref="M322">_xlfn.IFNA(_xlfn.XLOOKUP(SUP_DP[[#This Row],[JMS PART '#]],PC_500[[#All],[Part_PartNum]],PC_500[[#All],[Unit_Cost]]),0)</f>
        <v>524.53</v>
      </c>
      <c r="N322" s="274" t="e">
        <f>IF(SUP_DP[[#This Row],[MFG PN]]=HP_SPN,1,0)+IF(SUP_DP[[#This Row],[MFG PN]]=TP_SPN,1,0)</f>
        <v>#N/A</v>
      </c>
      <c r="O322" s="56" t="e">
        <f>SUP_DP[[#This Row],[Cost]]*SUP_DP[[#This Row],[QTY]]</f>
        <v>#N/A</v>
      </c>
    </row>
    <row r="323" spans="1:15">
      <c r="A323" s="56">
        <v>502427</v>
      </c>
      <c r="B323" s="56" t="s">
        <v>1758</v>
      </c>
      <c r="G323" s="56" t="s">
        <v>1665</v>
      </c>
      <c r="H323" s="274" t="str" cm="1">
        <f t="array" ref="H323">_xlfn.IFNA(_xlfn.XLOOKUP(SUP_DP[[#This Row],[JMS PART '#]],PC_500[[#All],[Part_PartNum]],PC_500[[#All],[PO_NUM]]),"QUOTE")</f>
        <v>QUOTE</v>
      </c>
      <c r="I323" s="978" t="str" cm="1">
        <f t="array" ref="I323">_xlfn.IFNA(_xlfn.XLOOKUP(SUP_DP[[#This Row],[JMS PART '#]],PC_500[[#All],[Part_PartNum]],PC_500[[#All],[Order_Date]]),"")</f>
        <v/>
      </c>
      <c r="J323" t="s">
        <v>1759</v>
      </c>
      <c r="M323" s="56" cm="1">
        <f t="array" ref="M323">_xlfn.IFNA(_xlfn.XLOOKUP(SUP_DP[[#This Row],[JMS PART '#]],PC_500[[#All],[Part_PartNum]],PC_500[[#All],[Unit_Cost]]),0)</f>
        <v>0</v>
      </c>
      <c r="N323" s="274" t="e">
        <f>IF(SUP_DP[[#This Row],[MFG PN]]=HP_SPN,1,0)+IF(SUP_DP[[#This Row],[MFG PN]]=TP_SPN,1,0)</f>
        <v>#N/A</v>
      </c>
      <c r="O323" s="56" t="e">
        <f>SUP_DP[[#This Row],[Cost]]*SUP_DP[[#This Row],[QTY]]</f>
        <v>#N/A</v>
      </c>
    </row>
    <row r="324" spans="1:15">
      <c r="A324" s="56">
        <v>502208</v>
      </c>
      <c r="B324" s="56" t="s">
        <v>1760</v>
      </c>
      <c r="G324" s="56" t="s">
        <v>1665</v>
      </c>
      <c r="H324" s="274" cm="1">
        <f t="array" ref="H324">_xlfn.IFNA(_xlfn.XLOOKUP(SUP_DP[[#This Row],[JMS PART '#]],PC_500[[#All],[Part_PartNum]],PC_500[[#All],[PO_NUM]]),"QUOTE")</f>
        <v>404021</v>
      </c>
      <c r="I324" s="978" cm="1">
        <f t="array" ref="I324">_xlfn.IFNA(_xlfn.XLOOKUP(SUP_DP[[#This Row],[JMS PART '#]],PC_500[[#All],[Part_PartNum]],PC_500[[#All],[Order_Date]]),"")</f>
        <v>44503</v>
      </c>
      <c r="J324" t="s">
        <v>1761</v>
      </c>
      <c r="M324" s="56" cm="1">
        <f t="array" ref="M324">_xlfn.IFNA(_xlfn.XLOOKUP(SUP_DP[[#This Row],[JMS PART '#]],PC_500[[#All],[Part_PartNum]],PC_500[[#All],[Unit_Cost]]),0)</f>
        <v>832.83</v>
      </c>
      <c r="N324" s="274" t="e">
        <f>IF(SUP_DP[[#This Row],[MFG PN]]=HP_SPN,1,0)+IF(SUP_DP[[#This Row],[MFG PN]]=TP_SPN,1,0)</f>
        <v>#N/A</v>
      </c>
      <c r="O324" s="56" t="e">
        <f>SUP_DP[[#This Row],[Cost]]*SUP_DP[[#This Row],[QTY]]</f>
        <v>#N/A</v>
      </c>
    </row>
    <row r="325" spans="1:15">
      <c r="A325" s="56">
        <v>502801</v>
      </c>
      <c r="B325" s="56" t="s">
        <v>1762</v>
      </c>
      <c r="G325" s="56" t="s">
        <v>1665</v>
      </c>
      <c r="H325" s="274" cm="1">
        <f t="array" ref="H325">_xlfn.IFNA(_xlfn.XLOOKUP(SUP_DP[[#This Row],[JMS PART '#]],PC_500[[#All],[Part_PartNum]],PC_500[[#All],[PO_NUM]]),"QUOTE")</f>
        <v>409140</v>
      </c>
      <c r="I325" s="978" cm="1">
        <f t="array" ref="I325">_xlfn.IFNA(_xlfn.XLOOKUP(SUP_DP[[#This Row],[JMS PART '#]],PC_500[[#All],[Part_PartNum]],PC_500[[#All],[Order_Date]]),"")</f>
        <v>45552</v>
      </c>
      <c r="J325" t="s">
        <v>1763</v>
      </c>
      <c r="M325" s="56" cm="1">
        <f t="array" ref="M325">_xlfn.IFNA(_xlfn.XLOOKUP(SUP_DP[[#This Row],[JMS PART '#]],PC_500[[#All],[Part_PartNum]],PC_500[[#All],[Unit_Cost]]),0)</f>
        <v>515.36</v>
      </c>
      <c r="N325" s="274" t="e">
        <f>IF(SUP_DP[[#This Row],[MFG PN]]=HP_SPN,1,0)+IF(SUP_DP[[#This Row],[MFG PN]]=TP_SPN,1,0)</f>
        <v>#N/A</v>
      </c>
      <c r="O325" s="56" t="e">
        <f>SUP_DP[[#This Row],[Cost]]*SUP_DP[[#This Row],[QTY]]</f>
        <v>#N/A</v>
      </c>
    </row>
    <row r="326" spans="1:15">
      <c r="A326" s="56">
        <v>502788</v>
      </c>
      <c r="B326" s="56" t="s">
        <v>1764</v>
      </c>
      <c r="G326" s="56" t="s">
        <v>1665</v>
      </c>
      <c r="H326" s="274" cm="1">
        <f t="array" ref="H326">_xlfn.IFNA(_xlfn.XLOOKUP(SUP_DP[[#This Row],[JMS PART '#]],PC_500[[#All],[Part_PartNum]],PC_500[[#All],[PO_NUM]]),"QUOTE")</f>
        <v>407715</v>
      </c>
      <c r="I326" s="978" cm="1">
        <f t="array" ref="I326">_xlfn.IFNA(_xlfn.XLOOKUP(SUP_DP[[#This Row],[JMS PART '#]],PC_500[[#All],[Part_PartNum]],PC_500[[#All],[Order_Date]]),"")</f>
        <v>45293</v>
      </c>
      <c r="J326" t="s">
        <v>1765</v>
      </c>
      <c r="M326" s="56" cm="1">
        <f t="array" ref="M326">_xlfn.IFNA(_xlfn.XLOOKUP(SUP_DP[[#This Row],[JMS PART '#]],PC_500[[#All],[Part_PartNum]],PC_500[[#All],[Unit_Cost]]),0)</f>
        <v>432.33</v>
      </c>
      <c r="N326" s="274" t="e">
        <f>IF(SUP_DP[[#This Row],[MFG PN]]=HP_SPN,1,0)+IF(SUP_DP[[#This Row],[MFG PN]]=TP_SPN,1,0)</f>
        <v>#N/A</v>
      </c>
      <c r="O326" s="56" t="e">
        <f>SUP_DP[[#This Row],[Cost]]*SUP_DP[[#This Row],[QTY]]</f>
        <v>#N/A</v>
      </c>
    </row>
    <row r="327" spans="1:15">
      <c r="A327" s="56">
        <v>502763</v>
      </c>
      <c r="B327" s="56" t="s">
        <v>1766</v>
      </c>
      <c r="G327" s="56" t="s">
        <v>1665</v>
      </c>
      <c r="H327" s="274" cm="1">
        <f t="array" ref="H327">_xlfn.IFNA(_xlfn.XLOOKUP(SUP_DP[[#This Row],[JMS PART '#]],PC_500[[#All],[Part_PartNum]],PC_500[[#All],[PO_NUM]]),"QUOTE")</f>
        <v>407339</v>
      </c>
      <c r="I327" s="978" cm="1">
        <f t="array" ref="I327">_xlfn.IFNA(_xlfn.XLOOKUP(SUP_DP[[#This Row],[JMS PART '#]],PC_500[[#All],[Part_PartNum]],PC_500[[#All],[Order_Date]]),"")</f>
        <v>45212</v>
      </c>
      <c r="J327" t="s">
        <v>1767</v>
      </c>
      <c r="M327" s="56" cm="1">
        <f t="array" ref="M327">_xlfn.IFNA(_xlfn.XLOOKUP(SUP_DP[[#This Row],[JMS PART '#]],PC_500[[#All],[Part_PartNum]],PC_500[[#All],[Unit_Cost]]),0)</f>
        <v>498.06</v>
      </c>
      <c r="N327" s="274" t="e">
        <f>IF(SUP_DP[[#This Row],[MFG PN]]=HP_SPN,1,0)+IF(SUP_DP[[#This Row],[MFG PN]]=TP_SPN,1,0)</f>
        <v>#N/A</v>
      </c>
      <c r="O327" s="56" t="e">
        <f>SUP_DP[[#This Row],[Cost]]*SUP_DP[[#This Row],[QTY]]</f>
        <v>#N/A</v>
      </c>
    </row>
    <row r="329" spans="1:15">
      <c r="N329" s="1093" t="s">
        <v>1768</v>
      </c>
      <c r="O329" s="56" t="e">
        <f>SUM(SUP_DP[TOTAL COST])</f>
        <v>#N/A</v>
      </c>
    </row>
    <row r="330" spans="1:15" collapsed="1"/>
    <row r="338" collapsed="1"/>
    <row r="346" collapsed="1"/>
    <row r="354" collapsed="1"/>
    <row r="362" collapsed="1"/>
    <row r="370" collapsed="1"/>
    <row r="382" collapsed="1"/>
    <row r="394" collapsed="1"/>
    <row r="407" collapsed="1"/>
    <row r="420" collapsed="1"/>
    <row r="433" collapsed="1"/>
    <row r="446" collapsed="1"/>
    <row r="497" collapsed="1"/>
    <row r="514" collapsed="1"/>
    <row r="531" collapsed="1"/>
    <row r="548" collapsed="1"/>
  </sheetData>
  <mergeCells count="1">
    <mergeCell ref="A1:M1"/>
  </mergeCells>
  <conditionalFormatting sqref="B63:M270">
    <cfRule type="expression" dxfId="80" priority="1">
      <formula>MOD(ROW(),2)=0</formula>
    </cfRule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78390-B418-491E-8043-167063764ADB}">
  <sheetPr codeName="Sheet18"/>
  <dimension ref="A1:AE120"/>
  <sheetViews>
    <sheetView topLeftCell="A7" workbookViewId="0">
      <selection activeCell="B68" sqref="B68"/>
    </sheetView>
  </sheetViews>
  <sheetFormatPr defaultRowHeight="15"/>
  <cols>
    <col min="1" max="1" width="13.42578125" style="1054" bestFit="1" customWidth="1"/>
    <col min="2" max="2" width="11.28515625" style="1054" bestFit="1" customWidth="1"/>
    <col min="3" max="3" width="13.85546875" style="1054" bestFit="1" customWidth="1"/>
    <col min="4" max="4" width="18.28515625" style="1054" bestFit="1" customWidth="1"/>
    <col min="5" max="5" width="18.140625" style="1054" bestFit="1" customWidth="1"/>
    <col min="6" max="6" width="18.5703125" style="1054" bestFit="1" customWidth="1"/>
    <col min="7" max="7" width="11.28515625" style="1054" bestFit="1" customWidth="1"/>
    <col min="8" max="8" width="8.42578125" style="1054" bestFit="1" customWidth="1"/>
    <col min="9" max="9" width="8.5703125" style="1054" bestFit="1" customWidth="1"/>
    <col min="10" max="10" width="12.5703125" style="1054" bestFit="1" customWidth="1"/>
    <col min="11" max="11" width="12.85546875" style="1054" bestFit="1" customWidth="1"/>
    <col min="12" max="12" width="14.140625" style="1054" bestFit="1" customWidth="1"/>
    <col min="13" max="14" width="21.140625" style="1054" bestFit="1" customWidth="1"/>
    <col min="15" max="15" width="8.42578125" style="1054" bestFit="1" customWidth="1"/>
    <col min="16" max="16" width="8.5703125" style="1054" bestFit="1" customWidth="1"/>
    <col min="17" max="17" width="16.42578125" style="1054" bestFit="1" customWidth="1"/>
    <col min="18" max="18" width="13.42578125" style="1054" bestFit="1" customWidth="1"/>
    <col min="19" max="20" width="20.85546875" style="1054" bestFit="1" customWidth="1"/>
    <col min="21" max="21" width="19.7109375" style="1054" bestFit="1" customWidth="1"/>
    <col min="22" max="23" width="12.140625" style="1054" bestFit="1" customWidth="1"/>
    <col min="24" max="24" width="12.140625" style="1076" bestFit="1" customWidth="1"/>
    <col min="25" max="25" width="15.7109375" style="1054" bestFit="1" customWidth="1"/>
    <col min="26" max="26" width="16.28515625" style="1054" bestFit="1" customWidth="1"/>
    <col min="27" max="29" width="12.140625" style="1054" bestFit="1" customWidth="1"/>
    <col min="30" max="30" width="19.85546875" style="1054" bestFit="1" customWidth="1"/>
    <col min="31" max="31" width="12.28515625" style="1055" bestFit="1" customWidth="1"/>
    <col min="32" max="32" width="19.85546875" style="1054" bestFit="1" customWidth="1"/>
    <col min="33" max="33" width="12.28515625" style="1054" bestFit="1" customWidth="1"/>
    <col min="34" max="34" width="24.42578125" style="1054" bestFit="1" customWidth="1"/>
    <col min="35" max="35" width="12.28515625" style="1054" bestFit="1" customWidth="1"/>
    <col min="36" max="36" width="16.28515625" style="1054" bestFit="1" customWidth="1"/>
    <col min="37" max="37" width="25.85546875" style="1054" bestFit="1" customWidth="1"/>
    <col min="38" max="38" width="28.85546875" style="1054" bestFit="1" customWidth="1"/>
    <col min="39" max="39" width="19.85546875" style="1054" bestFit="1" customWidth="1"/>
    <col min="40" max="40" width="12.28515625" style="1054" bestFit="1" customWidth="1"/>
    <col min="41" max="41" width="27.85546875" style="1054" bestFit="1" customWidth="1"/>
    <col min="42" max="84" width="12.140625" style="1054" bestFit="1" customWidth="1"/>
    <col min="85" max="129" width="13.140625" style="1054" bestFit="1" customWidth="1"/>
    <col min="130" max="16384" width="9.140625" style="1054"/>
  </cols>
  <sheetData>
    <row r="1" spans="1:31">
      <c r="A1" s="1054" t="s">
        <v>419</v>
      </c>
      <c r="B1" s="1054" t="s">
        <v>877</v>
      </c>
      <c r="C1" t="s">
        <v>8206</v>
      </c>
      <c r="D1" t="s">
        <v>8207</v>
      </c>
      <c r="E1" s="1054" t="s">
        <v>880</v>
      </c>
      <c r="F1" s="1054" t="s">
        <v>881</v>
      </c>
      <c r="G1" s="1054" t="s">
        <v>882</v>
      </c>
      <c r="H1" s="1054" t="s">
        <v>883</v>
      </c>
      <c r="I1" s="1054" t="s">
        <v>884</v>
      </c>
      <c r="J1" t="s">
        <v>8208</v>
      </c>
      <c r="K1" t="s">
        <v>8209</v>
      </c>
      <c r="L1" t="s">
        <v>718</v>
      </c>
      <c r="M1" t="s">
        <v>8211</v>
      </c>
      <c r="X1" s="1054"/>
      <c r="AE1" s="1054"/>
    </row>
    <row r="2" spans="1:31">
      <c r="A2" s="1054" t="s">
        <v>888</v>
      </c>
      <c r="B2" s="1054" t="s">
        <v>480</v>
      </c>
      <c r="C2">
        <v>2.35E-2</v>
      </c>
      <c r="D2">
        <v>24</v>
      </c>
      <c r="E2" s="1054" t="s">
        <v>889</v>
      </c>
      <c r="F2" s="1054" t="s">
        <v>890</v>
      </c>
      <c r="G2" s="1054" t="s">
        <v>891</v>
      </c>
      <c r="H2" s="1054" t="s">
        <v>892</v>
      </c>
      <c r="I2" s="1054" t="s">
        <v>893</v>
      </c>
      <c r="J2">
        <v>2.12</v>
      </c>
      <c r="K2">
        <v>46052</v>
      </c>
      <c r="L2" t="s">
        <v>8210</v>
      </c>
      <c r="M2" t="s">
        <v>894</v>
      </c>
      <c r="X2" s="1054"/>
      <c r="AE2" s="1054"/>
    </row>
    <row r="3" spans="1:31">
      <c r="A3" s="1054" t="s">
        <v>888</v>
      </c>
      <c r="B3" s="1054" t="s">
        <v>480</v>
      </c>
      <c r="C3">
        <v>2.93E-2</v>
      </c>
      <c r="D3">
        <v>22</v>
      </c>
      <c r="E3" s="1054" t="s">
        <v>889</v>
      </c>
      <c r="F3" s="1054" t="s">
        <v>890</v>
      </c>
      <c r="G3" s="1054" t="s">
        <v>891</v>
      </c>
      <c r="H3" s="1054" t="s">
        <v>892</v>
      </c>
      <c r="I3" s="1054" t="s">
        <v>893</v>
      </c>
      <c r="J3">
        <v>2.04</v>
      </c>
      <c r="K3">
        <v>46052</v>
      </c>
      <c r="L3" t="s">
        <v>8210</v>
      </c>
      <c r="M3" t="s">
        <v>896</v>
      </c>
      <c r="X3" s="1054"/>
      <c r="AE3" s="1054"/>
    </row>
    <row r="4" spans="1:31">
      <c r="A4" s="1054" t="s">
        <v>888</v>
      </c>
      <c r="B4" s="1054" t="s">
        <v>480</v>
      </c>
      <c r="C4">
        <v>4.8000000000000001E-2</v>
      </c>
      <c r="D4">
        <v>18</v>
      </c>
      <c r="E4" s="1054" t="s">
        <v>889</v>
      </c>
      <c r="F4" s="1054" t="s">
        <v>890</v>
      </c>
      <c r="G4" s="1054" t="s">
        <v>891</v>
      </c>
      <c r="H4" s="1054" t="s">
        <v>892</v>
      </c>
      <c r="I4" s="1054" t="s">
        <v>893</v>
      </c>
      <c r="J4">
        <v>1.92</v>
      </c>
      <c r="K4">
        <v>46052</v>
      </c>
      <c r="L4" t="s">
        <v>8210</v>
      </c>
      <c r="M4" t="s">
        <v>898</v>
      </c>
      <c r="X4" s="1054"/>
      <c r="AE4" s="1054"/>
    </row>
    <row r="5" spans="1:31">
      <c r="A5" s="1054" t="s">
        <v>888</v>
      </c>
      <c r="B5" s="1054" t="s">
        <v>480</v>
      </c>
      <c r="C5">
        <v>5.9499999999999997E-2</v>
      </c>
      <c r="D5">
        <v>16</v>
      </c>
      <c r="E5" s="1054" t="s">
        <v>889</v>
      </c>
      <c r="F5" s="1054" t="s">
        <v>890</v>
      </c>
      <c r="G5" s="1054" t="s">
        <v>891</v>
      </c>
      <c r="H5" s="1054" t="s">
        <v>892</v>
      </c>
      <c r="I5" s="1054" t="s">
        <v>893</v>
      </c>
      <c r="J5">
        <v>1.9</v>
      </c>
      <c r="K5">
        <v>46052</v>
      </c>
      <c r="L5" t="s">
        <v>8210</v>
      </c>
      <c r="M5" t="s">
        <v>899</v>
      </c>
      <c r="X5" s="1054"/>
      <c r="AE5" s="1054"/>
    </row>
    <row r="6" spans="1:31">
      <c r="A6" s="1054" t="s">
        <v>888</v>
      </c>
      <c r="B6" s="1054" t="s">
        <v>480</v>
      </c>
      <c r="C6">
        <v>7.51E-2</v>
      </c>
      <c r="D6">
        <v>14</v>
      </c>
      <c r="E6" s="1054" t="s">
        <v>889</v>
      </c>
      <c r="F6" s="1054" t="s">
        <v>890</v>
      </c>
      <c r="G6" s="1054" t="s">
        <v>891</v>
      </c>
      <c r="H6" s="1054" t="s">
        <v>892</v>
      </c>
      <c r="I6" s="1054" t="s">
        <v>893</v>
      </c>
      <c r="J6">
        <v>1.89</v>
      </c>
      <c r="K6">
        <v>46052</v>
      </c>
      <c r="L6" t="s">
        <v>8210</v>
      </c>
      <c r="M6" t="s">
        <v>900</v>
      </c>
      <c r="X6" s="1054"/>
      <c r="AE6" s="1054"/>
    </row>
    <row r="7" spans="1:31">
      <c r="A7" s="1054" t="s">
        <v>888</v>
      </c>
      <c r="B7" s="1054" t="s">
        <v>480</v>
      </c>
      <c r="C7">
        <v>0.12</v>
      </c>
      <c r="D7">
        <v>11</v>
      </c>
      <c r="E7" s="1054" t="s">
        <v>889</v>
      </c>
      <c r="F7" s="1054" t="s">
        <v>890</v>
      </c>
      <c r="G7" s="1054" t="s">
        <v>891</v>
      </c>
      <c r="H7" s="1054" t="s">
        <v>892</v>
      </c>
      <c r="I7" s="1054" t="s">
        <v>893</v>
      </c>
      <c r="J7">
        <v>1.89</v>
      </c>
      <c r="K7">
        <v>46052</v>
      </c>
      <c r="L7" t="s">
        <v>8210</v>
      </c>
      <c r="M7" t="s">
        <v>901</v>
      </c>
      <c r="X7" s="1054"/>
      <c r="AE7" s="1054"/>
    </row>
    <row r="8" spans="1:31">
      <c r="A8" s="1054" t="s">
        <v>902</v>
      </c>
      <c r="B8" s="1054" t="s">
        <v>480</v>
      </c>
      <c r="C8">
        <v>0.1875</v>
      </c>
      <c r="D8" t="s">
        <v>903</v>
      </c>
      <c r="E8" s="1054" t="s">
        <v>889</v>
      </c>
      <c r="F8" s="1054" t="s">
        <v>904</v>
      </c>
      <c r="G8" s="1054" t="s">
        <v>905</v>
      </c>
      <c r="H8" s="1054" t="s">
        <v>892</v>
      </c>
      <c r="I8" s="1054" t="s">
        <v>906</v>
      </c>
      <c r="J8">
        <v>1.7</v>
      </c>
      <c r="K8">
        <v>46052</v>
      </c>
      <c r="L8" t="s">
        <v>8210</v>
      </c>
      <c r="M8" t="s">
        <v>907</v>
      </c>
      <c r="X8" s="1054"/>
      <c r="AE8" s="1054"/>
    </row>
    <row r="9" spans="1:31">
      <c r="A9" s="1054" t="s">
        <v>902</v>
      </c>
      <c r="B9" s="1054" t="s">
        <v>480</v>
      </c>
      <c r="C9">
        <v>0.25</v>
      </c>
      <c r="D9" t="s">
        <v>909</v>
      </c>
      <c r="E9" s="1054" t="s">
        <v>889</v>
      </c>
      <c r="F9" s="1054" t="s">
        <v>904</v>
      </c>
      <c r="G9" s="1054" t="s">
        <v>905</v>
      </c>
      <c r="H9" s="1054" t="s">
        <v>892</v>
      </c>
      <c r="I9" s="1054" t="s">
        <v>906</v>
      </c>
      <c r="J9">
        <v>1.76</v>
      </c>
      <c r="K9">
        <v>46052</v>
      </c>
      <c r="L9" t="s">
        <v>8210</v>
      </c>
      <c r="M9" t="s">
        <v>910</v>
      </c>
      <c r="X9" s="1054"/>
      <c r="AE9" s="1054"/>
    </row>
    <row r="10" spans="1:31">
      <c r="A10" s="1054" t="s">
        <v>902</v>
      </c>
      <c r="B10" s="1054" t="s">
        <v>480</v>
      </c>
      <c r="C10">
        <v>0.3125</v>
      </c>
      <c r="D10" t="s">
        <v>912</v>
      </c>
      <c r="E10" s="1054" t="s">
        <v>889</v>
      </c>
      <c r="F10" s="1054" t="s">
        <v>904</v>
      </c>
      <c r="G10" s="1054" t="s">
        <v>905</v>
      </c>
      <c r="H10" s="1054" t="s">
        <v>892</v>
      </c>
      <c r="I10" s="1054" t="s">
        <v>906</v>
      </c>
      <c r="J10">
        <v>1.8</v>
      </c>
      <c r="K10">
        <v>46052</v>
      </c>
      <c r="L10" t="s">
        <v>8210</v>
      </c>
      <c r="M10" t="s">
        <v>913</v>
      </c>
      <c r="X10" s="1054"/>
      <c r="AE10" s="1054"/>
    </row>
    <row r="11" spans="1:31">
      <c r="A11" s="1054" t="s">
        <v>902</v>
      </c>
      <c r="B11" s="1054" t="s">
        <v>480</v>
      </c>
      <c r="C11">
        <v>0.375</v>
      </c>
      <c r="D11" t="s">
        <v>915</v>
      </c>
      <c r="E11" s="1054" t="s">
        <v>889</v>
      </c>
      <c r="F11" s="1054" t="s">
        <v>904</v>
      </c>
      <c r="G11" s="1054" t="s">
        <v>905</v>
      </c>
      <c r="H11" s="1054" t="s">
        <v>892</v>
      </c>
      <c r="I11" s="1054" t="s">
        <v>906</v>
      </c>
      <c r="J11">
        <v>1.8</v>
      </c>
      <c r="K11">
        <v>46052</v>
      </c>
      <c r="L11" t="s">
        <v>8210</v>
      </c>
      <c r="M11" t="s">
        <v>916</v>
      </c>
      <c r="X11" s="1054"/>
      <c r="AE11" s="1054"/>
    </row>
    <row r="12" spans="1:31">
      <c r="A12" s="1054" t="s">
        <v>902</v>
      </c>
      <c r="B12" s="1054" t="s">
        <v>480</v>
      </c>
      <c r="C12">
        <v>0.5</v>
      </c>
      <c r="D12" t="s">
        <v>918</v>
      </c>
      <c r="E12" s="1054" t="s">
        <v>889</v>
      </c>
      <c r="F12" s="1054" t="s">
        <v>904</v>
      </c>
      <c r="G12" s="1054" t="s">
        <v>905</v>
      </c>
      <c r="H12" s="1054" t="s">
        <v>892</v>
      </c>
      <c r="I12" s="1054" t="s">
        <v>906</v>
      </c>
      <c r="J12">
        <v>2.14</v>
      </c>
      <c r="K12">
        <v>46052</v>
      </c>
      <c r="L12" t="s">
        <v>8210</v>
      </c>
      <c r="M12" t="s">
        <v>919</v>
      </c>
      <c r="X12" s="1054"/>
      <c r="AE12" s="1054"/>
    </row>
    <row r="13" spans="1:31">
      <c r="A13" s="1054" t="s">
        <v>902</v>
      </c>
      <c r="B13" s="1054" t="s">
        <v>480</v>
      </c>
      <c r="C13">
        <v>0.625</v>
      </c>
      <c r="D13" t="s">
        <v>921</v>
      </c>
      <c r="E13" s="1054" t="s">
        <v>889</v>
      </c>
      <c r="F13" s="1054" t="s">
        <v>904</v>
      </c>
      <c r="G13" s="1054" t="s">
        <v>905</v>
      </c>
      <c r="H13" s="1054" t="s">
        <v>892</v>
      </c>
      <c r="I13" s="1054" t="s">
        <v>906</v>
      </c>
      <c r="J13">
        <v>2.4300000000000002</v>
      </c>
      <c r="K13">
        <v>46052</v>
      </c>
      <c r="L13" t="s">
        <v>8210</v>
      </c>
      <c r="M13" t="s">
        <v>922</v>
      </c>
      <c r="X13" s="1054"/>
      <c r="AE13" s="1054"/>
    </row>
    <row r="14" spans="1:31">
      <c r="A14" s="1054" t="s">
        <v>902</v>
      </c>
      <c r="B14" s="1054" t="s">
        <v>480</v>
      </c>
      <c r="C14">
        <v>0.75</v>
      </c>
      <c r="D14" t="s">
        <v>923</v>
      </c>
      <c r="E14" s="1054" t="s">
        <v>889</v>
      </c>
      <c r="F14" s="1054" t="s">
        <v>904</v>
      </c>
      <c r="G14" s="1054" t="s">
        <v>905</v>
      </c>
      <c r="H14" s="1054" t="s">
        <v>892</v>
      </c>
      <c r="I14" s="1054" t="s">
        <v>906</v>
      </c>
      <c r="J14">
        <v>2.4300000000000002</v>
      </c>
      <c r="K14">
        <v>46052</v>
      </c>
      <c r="L14" t="s">
        <v>8210</v>
      </c>
      <c r="M14" t="s">
        <v>924</v>
      </c>
      <c r="X14" s="1054"/>
      <c r="AE14" s="1054"/>
    </row>
    <row r="15" spans="1:31">
      <c r="A15" s="1054" t="s">
        <v>888</v>
      </c>
      <c r="B15" s="1054" t="s">
        <v>925</v>
      </c>
      <c r="C15">
        <v>2.35E-2</v>
      </c>
      <c r="D15">
        <v>24</v>
      </c>
      <c r="E15" s="1054" t="s">
        <v>889</v>
      </c>
      <c r="F15" s="1054" t="s">
        <v>890</v>
      </c>
      <c r="G15" s="1054" t="s">
        <v>891</v>
      </c>
      <c r="H15" s="1054" t="s">
        <v>892</v>
      </c>
      <c r="I15" s="1054" t="s">
        <v>893</v>
      </c>
      <c r="J15">
        <v>2.21</v>
      </c>
      <c r="K15">
        <v>46052</v>
      </c>
      <c r="L15" t="s">
        <v>8210</v>
      </c>
      <c r="M15" t="s">
        <v>927</v>
      </c>
      <c r="X15" s="1054"/>
      <c r="AE15" s="1054"/>
    </row>
    <row r="16" spans="1:31">
      <c r="A16" s="1054" t="s">
        <v>888</v>
      </c>
      <c r="B16" s="1054" t="s">
        <v>925</v>
      </c>
      <c r="C16">
        <v>2.93E-2</v>
      </c>
      <c r="D16">
        <v>22</v>
      </c>
      <c r="E16" s="1054" t="s">
        <v>889</v>
      </c>
      <c r="F16" s="1054" t="s">
        <v>890</v>
      </c>
      <c r="G16" s="1054" t="s">
        <v>891</v>
      </c>
      <c r="H16" s="1054" t="s">
        <v>892</v>
      </c>
      <c r="I16" s="1054" t="s">
        <v>893</v>
      </c>
      <c r="J16">
        <v>2.13</v>
      </c>
      <c r="K16">
        <v>46052</v>
      </c>
      <c r="L16" t="s">
        <v>8210</v>
      </c>
      <c r="M16" t="s">
        <v>930</v>
      </c>
      <c r="X16" s="1054"/>
      <c r="AE16" s="1054"/>
    </row>
    <row r="17" spans="1:31">
      <c r="A17" s="1054" t="s">
        <v>888</v>
      </c>
      <c r="B17" s="1054" t="s">
        <v>925</v>
      </c>
      <c r="C17">
        <v>4.8000000000000001E-2</v>
      </c>
      <c r="D17">
        <v>18</v>
      </c>
      <c r="E17" s="1054" t="s">
        <v>889</v>
      </c>
      <c r="F17" s="1054" t="s">
        <v>890</v>
      </c>
      <c r="G17" s="1054" t="s">
        <v>891</v>
      </c>
      <c r="H17" s="1054" t="s">
        <v>892</v>
      </c>
      <c r="I17" s="1054" t="s">
        <v>893</v>
      </c>
      <c r="J17">
        <v>2.0299999999999998</v>
      </c>
      <c r="K17">
        <v>46052</v>
      </c>
      <c r="L17" t="s">
        <v>8210</v>
      </c>
      <c r="M17" t="s">
        <v>931</v>
      </c>
      <c r="X17" s="1054"/>
      <c r="AE17" s="1054"/>
    </row>
    <row r="18" spans="1:31">
      <c r="A18" s="1054" t="s">
        <v>888</v>
      </c>
      <c r="B18" s="1054" t="s">
        <v>925</v>
      </c>
      <c r="C18">
        <v>5.9499999999999997E-2</v>
      </c>
      <c r="D18">
        <v>16</v>
      </c>
      <c r="E18" s="1054" t="s">
        <v>889</v>
      </c>
      <c r="F18" s="1054" t="s">
        <v>890</v>
      </c>
      <c r="G18" s="1054" t="s">
        <v>891</v>
      </c>
      <c r="H18" s="1054" t="s">
        <v>892</v>
      </c>
      <c r="I18" s="1054" t="s">
        <v>893</v>
      </c>
      <c r="J18">
        <v>2</v>
      </c>
      <c r="K18">
        <v>46052</v>
      </c>
      <c r="L18" t="s">
        <v>8210</v>
      </c>
      <c r="M18" t="s">
        <v>932</v>
      </c>
      <c r="X18" s="1054"/>
      <c r="AE18" s="1054"/>
    </row>
    <row r="19" spans="1:31">
      <c r="A19" s="1054" t="s">
        <v>888</v>
      </c>
      <c r="B19" s="1054" t="s">
        <v>925</v>
      </c>
      <c r="C19">
        <v>7.51E-2</v>
      </c>
      <c r="D19">
        <v>14</v>
      </c>
      <c r="E19" s="1054" t="s">
        <v>889</v>
      </c>
      <c r="F19" s="1054" t="s">
        <v>890</v>
      </c>
      <c r="G19" s="1054" t="s">
        <v>891</v>
      </c>
      <c r="H19" s="1054" t="s">
        <v>892</v>
      </c>
      <c r="I19" s="1054" t="s">
        <v>893</v>
      </c>
      <c r="J19">
        <v>1.99</v>
      </c>
      <c r="K19">
        <v>46052</v>
      </c>
      <c r="L19" t="s">
        <v>8210</v>
      </c>
      <c r="M19" t="s">
        <v>933</v>
      </c>
      <c r="X19" s="1054"/>
      <c r="AE19" s="1054"/>
    </row>
    <row r="20" spans="1:31">
      <c r="A20" s="1054" t="s">
        <v>888</v>
      </c>
      <c r="B20" s="1054" t="s">
        <v>925</v>
      </c>
      <c r="C20">
        <v>0.12</v>
      </c>
      <c r="D20">
        <v>11</v>
      </c>
      <c r="E20" s="1054" t="s">
        <v>889</v>
      </c>
      <c r="F20" s="1054" t="s">
        <v>890</v>
      </c>
      <c r="G20" s="1054" t="s">
        <v>891</v>
      </c>
      <c r="H20" s="1054" t="s">
        <v>892</v>
      </c>
      <c r="I20" s="1054" t="s">
        <v>893</v>
      </c>
      <c r="J20">
        <v>1.99</v>
      </c>
      <c r="K20">
        <v>46052</v>
      </c>
      <c r="L20" t="s">
        <v>8210</v>
      </c>
      <c r="M20" t="s">
        <v>934</v>
      </c>
      <c r="X20" s="1054"/>
      <c r="AE20" s="1054"/>
    </row>
    <row r="21" spans="1:31">
      <c r="A21" s="1054" t="s">
        <v>902</v>
      </c>
      <c r="B21" s="1054" t="s">
        <v>925</v>
      </c>
      <c r="C21">
        <v>0.1875</v>
      </c>
      <c r="D21" t="s">
        <v>903</v>
      </c>
      <c r="E21" s="1054" t="s">
        <v>889</v>
      </c>
      <c r="F21" s="1054" t="s">
        <v>904</v>
      </c>
      <c r="G21" s="1054" t="s">
        <v>905</v>
      </c>
      <c r="H21" s="1054" t="s">
        <v>892</v>
      </c>
      <c r="I21" s="1054" t="s">
        <v>906</v>
      </c>
      <c r="J21">
        <v>1.7</v>
      </c>
      <c r="K21">
        <v>46052</v>
      </c>
      <c r="L21" t="s">
        <v>8210</v>
      </c>
      <c r="M21" t="s">
        <v>935</v>
      </c>
      <c r="X21" s="1054"/>
      <c r="AE21" s="1054"/>
    </row>
    <row r="22" spans="1:31">
      <c r="A22" s="1054" t="s">
        <v>902</v>
      </c>
      <c r="B22" s="1054" t="s">
        <v>925</v>
      </c>
      <c r="C22">
        <v>0.25</v>
      </c>
      <c r="D22" t="s">
        <v>909</v>
      </c>
      <c r="E22" s="1054" t="s">
        <v>889</v>
      </c>
      <c r="F22" s="1054" t="s">
        <v>904</v>
      </c>
      <c r="G22" s="1054" t="s">
        <v>905</v>
      </c>
      <c r="H22" s="1054" t="s">
        <v>892</v>
      </c>
      <c r="I22" s="1054" t="s">
        <v>906</v>
      </c>
      <c r="J22">
        <v>1.75</v>
      </c>
      <c r="K22">
        <v>46052</v>
      </c>
      <c r="L22" t="s">
        <v>8210</v>
      </c>
      <c r="M22" t="s">
        <v>937</v>
      </c>
      <c r="X22" s="1054"/>
      <c r="AE22" s="1054"/>
    </row>
    <row r="23" spans="1:31">
      <c r="A23" s="1054" t="s">
        <v>902</v>
      </c>
      <c r="B23" s="1054" t="s">
        <v>925</v>
      </c>
      <c r="C23">
        <v>0.3125</v>
      </c>
      <c r="D23" t="s">
        <v>912</v>
      </c>
      <c r="E23" s="1054" t="s">
        <v>889</v>
      </c>
      <c r="F23" s="1054" t="s">
        <v>904</v>
      </c>
      <c r="G23" s="1054" t="s">
        <v>905</v>
      </c>
      <c r="H23" s="1054" t="s">
        <v>892</v>
      </c>
      <c r="I23" s="1054" t="s">
        <v>906</v>
      </c>
      <c r="J23">
        <v>1.8</v>
      </c>
      <c r="K23">
        <v>46052</v>
      </c>
      <c r="L23" t="s">
        <v>8210</v>
      </c>
      <c r="M23" t="s">
        <v>938</v>
      </c>
      <c r="X23" s="1054"/>
      <c r="AE23" s="1054"/>
    </row>
    <row r="24" spans="1:31">
      <c r="A24" s="1054" t="s">
        <v>902</v>
      </c>
      <c r="B24" s="1054" t="s">
        <v>925</v>
      </c>
      <c r="C24">
        <v>0.375</v>
      </c>
      <c r="D24" t="s">
        <v>915</v>
      </c>
      <c r="E24" s="1054" t="s">
        <v>889</v>
      </c>
      <c r="F24" s="1054" t="s">
        <v>904</v>
      </c>
      <c r="G24" s="1054" t="s">
        <v>905</v>
      </c>
      <c r="H24" s="1054" t="s">
        <v>892</v>
      </c>
      <c r="I24" s="1054" t="s">
        <v>906</v>
      </c>
      <c r="J24">
        <v>1.8</v>
      </c>
      <c r="K24">
        <v>46052</v>
      </c>
      <c r="L24" t="s">
        <v>8210</v>
      </c>
      <c r="M24" t="s">
        <v>939</v>
      </c>
      <c r="X24" s="1054"/>
      <c r="AE24" s="1054"/>
    </row>
    <row r="25" spans="1:31">
      <c r="A25" s="1054" t="s">
        <v>902</v>
      </c>
      <c r="B25" s="1054" t="s">
        <v>925</v>
      </c>
      <c r="C25">
        <v>0.5</v>
      </c>
      <c r="D25" t="s">
        <v>918</v>
      </c>
      <c r="E25" s="1054" t="s">
        <v>889</v>
      </c>
      <c r="F25" s="1054" t="s">
        <v>904</v>
      </c>
      <c r="G25" s="1054" t="s">
        <v>905</v>
      </c>
      <c r="H25" s="1054" t="s">
        <v>892</v>
      </c>
      <c r="I25" s="1054" t="s">
        <v>906</v>
      </c>
      <c r="J25">
        <v>2.14</v>
      </c>
      <c r="K25">
        <v>46052</v>
      </c>
      <c r="L25" t="s">
        <v>8210</v>
      </c>
      <c r="M25" t="s">
        <v>940</v>
      </c>
      <c r="X25" s="1054"/>
      <c r="AE25" s="1054"/>
    </row>
    <row r="26" spans="1:31">
      <c r="A26" s="1054" t="s">
        <v>902</v>
      </c>
      <c r="B26" s="1054" t="s">
        <v>925</v>
      </c>
      <c r="C26">
        <v>0.625</v>
      </c>
      <c r="D26" t="s">
        <v>921</v>
      </c>
      <c r="E26" s="1054" t="s">
        <v>889</v>
      </c>
      <c r="F26" s="1054" t="s">
        <v>904</v>
      </c>
      <c r="G26" s="1054" t="s">
        <v>905</v>
      </c>
      <c r="H26" s="1054" t="s">
        <v>892</v>
      </c>
      <c r="I26" s="1054" t="s">
        <v>906</v>
      </c>
      <c r="J26">
        <v>2.41</v>
      </c>
      <c r="K26">
        <v>46052</v>
      </c>
      <c r="L26" t="s">
        <v>8210</v>
      </c>
      <c r="M26" t="s">
        <v>941</v>
      </c>
      <c r="X26" s="1054"/>
      <c r="AE26" s="1054"/>
    </row>
    <row r="27" spans="1:31">
      <c r="A27" s="1054" t="s">
        <v>902</v>
      </c>
      <c r="B27" s="1054" t="s">
        <v>925</v>
      </c>
      <c r="C27">
        <v>0.75</v>
      </c>
      <c r="D27" t="s">
        <v>923</v>
      </c>
      <c r="E27" s="1054" t="s">
        <v>889</v>
      </c>
      <c r="F27" s="1054" t="s">
        <v>904</v>
      </c>
      <c r="G27" s="1054" t="s">
        <v>905</v>
      </c>
      <c r="H27" s="1054" t="s">
        <v>892</v>
      </c>
      <c r="I27" s="1054" t="s">
        <v>906</v>
      </c>
      <c r="J27">
        <v>2.41</v>
      </c>
      <c r="K27">
        <v>46052</v>
      </c>
      <c r="L27" t="s">
        <v>8210</v>
      </c>
      <c r="M27" t="s">
        <v>942</v>
      </c>
      <c r="X27" s="1054"/>
      <c r="AE27" s="1054"/>
    </row>
    <row r="28" spans="1:31">
      <c r="A28" s="1054" t="s">
        <v>888</v>
      </c>
      <c r="B28" s="1054" t="s">
        <v>943</v>
      </c>
      <c r="C28">
        <v>2.35E-2</v>
      </c>
      <c r="D28">
        <v>24</v>
      </c>
      <c r="E28" s="1054" t="s">
        <v>889</v>
      </c>
      <c r="F28" s="1054" t="s">
        <v>890</v>
      </c>
      <c r="G28" s="1054" t="s">
        <v>891</v>
      </c>
      <c r="H28" s="1054" t="s">
        <v>892</v>
      </c>
      <c r="I28" s="1054" t="s">
        <v>893</v>
      </c>
      <c r="J28">
        <v>3.12</v>
      </c>
      <c r="K28">
        <v>46052</v>
      </c>
      <c r="L28" t="s">
        <v>8210</v>
      </c>
      <c r="M28" t="s">
        <v>944</v>
      </c>
      <c r="X28" s="1054"/>
      <c r="AE28" s="1054"/>
    </row>
    <row r="29" spans="1:31">
      <c r="A29" s="1054" t="s">
        <v>888</v>
      </c>
      <c r="B29" s="1054" t="s">
        <v>943</v>
      </c>
      <c r="C29">
        <v>2.93E-2</v>
      </c>
      <c r="D29">
        <v>22</v>
      </c>
      <c r="E29" s="1054" t="s">
        <v>889</v>
      </c>
      <c r="F29" s="1054" t="s">
        <v>890</v>
      </c>
      <c r="G29" s="1054" t="s">
        <v>891</v>
      </c>
      <c r="H29" s="1054" t="s">
        <v>892</v>
      </c>
      <c r="I29" s="1054" t="s">
        <v>893</v>
      </c>
      <c r="J29">
        <v>3.04</v>
      </c>
      <c r="K29">
        <v>46052</v>
      </c>
      <c r="L29" t="s">
        <v>8210</v>
      </c>
      <c r="M29" t="s">
        <v>945</v>
      </c>
      <c r="X29" s="1054"/>
      <c r="AE29" s="1054"/>
    </row>
    <row r="30" spans="1:31">
      <c r="A30" s="1054" t="s">
        <v>888</v>
      </c>
      <c r="B30" s="1054" t="s">
        <v>943</v>
      </c>
      <c r="C30">
        <v>4.8000000000000001E-2</v>
      </c>
      <c r="D30">
        <v>18</v>
      </c>
      <c r="E30" s="1054" t="s">
        <v>889</v>
      </c>
      <c r="F30" s="1054" t="s">
        <v>890</v>
      </c>
      <c r="G30" s="1054" t="s">
        <v>891</v>
      </c>
      <c r="H30" s="1054" t="s">
        <v>892</v>
      </c>
      <c r="I30" s="1054" t="s">
        <v>893</v>
      </c>
      <c r="J30">
        <v>2.92</v>
      </c>
      <c r="K30">
        <v>46052</v>
      </c>
      <c r="L30" t="s">
        <v>8210</v>
      </c>
      <c r="M30" t="s">
        <v>946</v>
      </c>
      <c r="X30" s="1054"/>
      <c r="AE30" s="1054"/>
    </row>
    <row r="31" spans="1:31">
      <c r="A31" s="1054" t="s">
        <v>888</v>
      </c>
      <c r="B31" s="1054" t="s">
        <v>943</v>
      </c>
      <c r="C31">
        <v>5.9499999999999997E-2</v>
      </c>
      <c r="D31">
        <v>16</v>
      </c>
      <c r="E31" s="1054" t="s">
        <v>889</v>
      </c>
      <c r="F31" s="1054" t="s">
        <v>890</v>
      </c>
      <c r="G31" s="1054" t="s">
        <v>891</v>
      </c>
      <c r="H31" s="1054" t="s">
        <v>892</v>
      </c>
      <c r="I31" s="1054" t="s">
        <v>893</v>
      </c>
      <c r="J31">
        <v>2.9</v>
      </c>
      <c r="K31">
        <v>46052</v>
      </c>
      <c r="L31" t="s">
        <v>8210</v>
      </c>
      <c r="M31" t="s">
        <v>947</v>
      </c>
      <c r="X31" s="1054"/>
      <c r="AE31" s="1054"/>
    </row>
    <row r="32" spans="1:31">
      <c r="A32" s="1054" t="s">
        <v>888</v>
      </c>
      <c r="B32" s="1054" t="s">
        <v>943</v>
      </c>
      <c r="C32">
        <v>7.51E-2</v>
      </c>
      <c r="D32">
        <v>14</v>
      </c>
      <c r="E32" s="1054" t="s">
        <v>889</v>
      </c>
      <c r="F32" s="1054" t="s">
        <v>890</v>
      </c>
      <c r="G32" s="1054" t="s">
        <v>891</v>
      </c>
      <c r="H32" s="1054" t="s">
        <v>892</v>
      </c>
      <c r="I32" s="1054" t="s">
        <v>893</v>
      </c>
      <c r="J32">
        <v>2.89</v>
      </c>
      <c r="K32">
        <v>46052</v>
      </c>
      <c r="L32" t="s">
        <v>8210</v>
      </c>
      <c r="M32" t="s">
        <v>948</v>
      </c>
      <c r="X32" s="1054"/>
      <c r="AE32" s="1054"/>
    </row>
    <row r="33" spans="1:31">
      <c r="A33" s="1054" t="s">
        <v>888</v>
      </c>
      <c r="B33" s="1054" t="s">
        <v>943</v>
      </c>
      <c r="C33">
        <v>0.12</v>
      </c>
      <c r="D33">
        <v>11</v>
      </c>
      <c r="E33" s="1054" t="s">
        <v>889</v>
      </c>
      <c r="F33" s="1054" t="s">
        <v>890</v>
      </c>
      <c r="G33" s="1054" t="s">
        <v>891</v>
      </c>
      <c r="H33" s="1054" t="s">
        <v>892</v>
      </c>
      <c r="I33" s="1054" t="s">
        <v>893</v>
      </c>
      <c r="J33">
        <v>2.89</v>
      </c>
      <c r="K33">
        <v>46052</v>
      </c>
      <c r="L33" t="s">
        <v>8210</v>
      </c>
      <c r="M33" t="s">
        <v>950</v>
      </c>
      <c r="X33" s="1054"/>
      <c r="AE33" s="1054"/>
    </row>
    <row r="34" spans="1:31">
      <c r="A34" s="1054" t="s">
        <v>902</v>
      </c>
      <c r="B34" s="1054" t="s">
        <v>943</v>
      </c>
      <c r="C34">
        <v>0.1875</v>
      </c>
      <c r="D34" t="s">
        <v>903</v>
      </c>
      <c r="E34" s="1054" t="s">
        <v>889</v>
      </c>
      <c r="F34" s="1054" t="s">
        <v>904</v>
      </c>
      <c r="G34" s="1054" t="s">
        <v>905</v>
      </c>
      <c r="H34" s="1054" t="s">
        <v>892</v>
      </c>
      <c r="I34" s="1054" t="s">
        <v>906</v>
      </c>
      <c r="J34">
        <v>2.59</v>
      </c>
      <c r="K34">
        <v>46052</v>
      </c>
      <c r="L34" t="s">
        <v>8210</v>
      </c>
      <c r="M34" t="s">
        <v>952</v>
      </c>
      <c r="X34" s="1054"/>
      <c r="AE34" s="1054"/>
    </row>
    <row r="35" spans="1:31">
      <c r="A35" s="1054" t="s">
        <v>902</v>
      </c>
      <c r="B35" s="1054" t="s">
        <v>943</v>
      </c>
      <c r="C35">
        <v>0.25</v>
      </c>
      <c r="D35" t="s">
        <v>909</v>
      </c>
      <c r="E35" s="1054" t="s">
        <v>889</v>
      </c>
      <c r="F35" s="1054" t="s">
        <v>904</v>
      </c>
      <c r="G35" s="1054" t="s">
        <v>905</v>
      </c>
      <c r="H35" s="1054" t="s">
        <v>892</v>
      </c>
      <c r="I35" s="1054" t="s">
        <v>906</v>
      </c>
      <c r="J35">
        <v>2.65</v>
      </c>
      <c r="K35">
        <v>46052</v>
      </c>
      <c r="L35" t="s">
        <v>8210</v>
      </c>
      <c r="M35" t="s">
        <v>954</v>
      </c>
      <c r="X35" s="1054"/>
      <c r="AE35" s="1054"/>
    </row>
    <row r="36" spans="1:31">
      <c r="A36" s="1054" t="s">
        <v>902</v>
      </c>
      <c r="B36" s="1054" t="s">
        <v>943</v>
      </c>
      <c r="C36">
        <v>0.3125</v>
      </c>
      <c r="D36" t="s">
        <v>912</v>
      </c>
      <c r="E36" s="1054" t="s">
        <v>889</v>
      </c>
      <c r="F36" s="1054" t="s">
        <v>904</v>
      </c>
      <c r="G36" s="1054" t="s">
        <v>905</v>
      </c>
      <c r="H36" s="1054" t="s">
        <v>892</v>
      </c>
      <c r="I36" s="1054" t="s">
        <v>906</v>
      </c>
      <c r="J36">
        <v>2.7</v>
      </c>
      <c r="K36">
        <v>46052</v>
      </c>
      <c r="L36" t="s">
        <v>8210</v>
      </c>
      <c r="M36" t="s">
        <v>956</v>
      </c>
      <c r="X36" s="1054"/>
      <c r="AE36" s="1054"/>
    </row>
    <row r="37" spans="1:31">
      <c r="A37" s="1054" t="s">
        <v>902</v>
      </c>
      <c r="B37" s="1054" t="s">
        <v>943</v>
      </c>
      <c r="C37">
        <v>0.375</v>
      </c>
      <c r="D37" t="s">
        <v>915</v>
      </c>
      <c r="E37" s="1054" t="s">
        <v>889</v>
      </c>
      <c r="F37" s="1054" t="s">
        <v>904</v>
      </c>
      <c r="G37" s="1054" t="s">
        <v>905</v>
      </c>
      <c r="H37" s="1054" t="s">
        <v>892</v>
      </c>
      <c r="I37" s="1054" t="s">
        <v>906</v>
      </c>
      <c r="J37">
        <v>2.7</v>
      </c>
      <c r="K37">
        <v>46052</v>
      </c>
      <c r="L37" t="s">
        <v>8210</v>
      </c>
      <c r="M37" t="s">
        <v>958</v>
      </c>
      <c r="X37" s="1054"/>
      <c r="AE37" s="1054"/>
    </row>
    <row r="38" spans="1:31">
      <c r="A38" s="1054" t="s">
        <v>902</v>
      </c>
      <c r="B38" s="1054" t="s">
        <v>943</v>
      </c>
      <c r="C38">
        <v>0.5</v>
      </c>
      <c r="D38" t="s">
        <v>918</v>
      </c>
      <c r="E38" s="1054" t="s">
        <v>889</v>
      </c>
      <c r="F38" s="1054" t="s">
        <v>904</v>
      </c>
      <c r="G38" s="1054" t="s">
        <v>905</v>
      </c>
      <c r="H38" s="1054" t="s">
        <v>892</v>
      </c>
      <c r="I38" s="1054" t="s">
        <v>906</v>
      </c>
      <c r="J38">
        <v>3.15</v>
      </c>
      <c r="K38">
        <v>46052</v>
      </c>
      <c r="L38" t="s">
        <v>8210</v>
      </c>
      <c r="M38" t="s">
        <v>959</v>
      </c>
      <c r="X38" s="1054"/>
      <c r="AE38" s="1054"/>
    </row>
    <row r="39" spans="1:31">
      <c r="A39" s="1054" t="s">
        <v>902</v>
      </c>
      <c r="B39" s="1054" t="s">
        <v>943</v>
      </c>
      <c r="C39">
        <v>0.625</v>
      </c>
      <c r="D39" t="s">
        <v>921</v>
      </c>
      <c r="E39" s="1054" t="s">
        <v>889</v>
      </c>
      <c r="F39" s="1054" t="s">
        <v>904</v>
      </c>
      <c r="G39" s="1054" t="s">
        <v>905</v>
      </c>
      <c r="H39" s="1054" t="s">
        <v>892</v>
      </c>
      <c r="I39" s="1054" t="s">
        <v>906</v>
      </c>
      <c r="J39">
        <v>3.37</v>
      </c>
      <c r="K39">
        <v>46052</v>
      </c>
      <c r="L39" t="s">
        <v>8210</v>
      </c>
      <c r="M39" t="s">
        <v>960</v>
      </c>
      <c r="X39" s="1054"/>
      <c r="AE39" s="1054"/>
    </row>
    <row r="40" spans="1:31">
      <c r="A40" s="1054" t="s">
        <v>902</v>
      </c>
      <c r="B40" s="1054" t="s">
        <v>943</v>
      </c>
      <c r="C40">
        <v>0.75</v>
      </c>
      <c r="D40" t="s">
        <v>923</v>
      </c>
      <c r="E40" s="1054" t="s">
        <v>889</v>
      </c>
      <c r="F40" s="1054" t="s">
        <v>904</v>
      </c>
      <c r="G40" s="1054" t="s">
        <v>905</v>
      </c>
      <c r="H40" s="1054" t="s">
        <v>892</v>
      </c>
      <c r="I40" s="1054" t="s">
        <v>906</v>
      </c>
      <c r="J40">
        <v>3.37</v>
      </c>
      <c r="K40">
        <v>46052</v>
      </c>
      <c r="L40" t="s">
        <v>8210</v>
      </c>
      <c r="M40" t="s">
        <v>961</v>
      </c>
      <c r="X40" s="1054"/>
      <c r="AE40" s="1054"/>
    </row>
    <row r="41" spans="1:31">
      <c r="X41" s="1054"/>
      <c r="AE41" s="1054"/>
    </row>
    <row r="42" spans="1:31" ht="15.75" thickBot="1">
      <c r="X42" s="1054"/>
      <c r="AE42" s="1054"/>
    </row>
    <row r="43" spans="1:31">
      <c r="A43" s="1761" t="s">
        <v>972</v>
      </c>
      <c r="B43" s="1762"/>
      <c r="C43" s="1762"/>
      <c r="D43" s="1762"/>
      <c r="E43" s="1762"/>
      <c r="F43" s="1763"/>
      <c r="X43" s="1054"/>
      <c r="AE43" s="1054"/>
    </row>
    <row r="44" spans="1:31">
      <c r="A44" s="1056" t="s">
        <v>973</v>
      </c>
      <c r="B44" s="1057" t="s">
        <v>878</v>
      </c>
      <c r="C44" s="1058" t="s">
        <v>480</v>
      </c>
      <c r="D44" s="1058" t="s">
        <v>925</v>
      </c>
      <c r="E44" s="1058" t="s">
        <v>974</v>
      </c>
      <c r="F44" s="1059" t="s">
        <v>975</v>
      </c>
      <c r="X44" s="1054"/>
      <c r="AE44" s="1054"/>
    </row>
    <row r="45" spans="1:31">
      <c r="A45" s="1060">
        <v>24</v>
      </c>
      <c r="B45" s="1061">
        <v>2.35E-2</v>
      </c>
      <c r="C45" s="1062">
        <v>101909</v>
      </c>
      <c r="D45" s="1062">
        <v>101899</v>
      </c>
      <c r="E45" s="1062">
        <v>101876</v>
      </c>
      <c r="F45" s="1063">
        <f t="shared" ref="F45:F57" si="0">IF(MoC="304 SS",C45,IF(MoC="304L",D45,E45))</f>
        <v>101876</v>
      </c>
      <c r="X45" s="1054"/>
      <c r="AE45" s="1054"/>
    </row>
    <row r="46" spans="1:31">
      <c r="A46" s="1060">
        <v>22</v>
      </c>
      <c r="B46" s="1061">
        <v>2.93E-2</v>
      </c>
      <c r="C46" s="1062">
        <v>101908</v>
      </c>
      <c r="D46" s="1062">
        <v>101897</v>
      </c>
      <c r="E46" s="1062">
        <v>101875</v>
      </c>
      <c r="F46" s="1063">
        <f t="shared" si="0"/>
        <v>101875</v>
      </c>
      <c r="X46" s="1054"/>
      <c r="AE46" s="1054"/>
    </row>
    <row r="47" spans="1:31">
      <c r="A47" s="1060">
        <v>18</v>
      </c>
      <c r="B47" s="1061">
        <v>4.8000000000000001E-2</v>
      </c>
      <c r="C47" s="1062">
        <v>101906</v>
      </c>
      <c r="D47" s="1062">
        <v>101895</v>
      </c>
      <c r="E47" s="1062">
        <v>101873</v>
      </c>
      <c r="F47" s="1063">
        <f t="shared" si="0"/>
        <v>101873</v>
      </c>
      <c r="X47" s="1054"/>
      <c r="AE47" s="1054"/>
    </row>
    <row r="48" spans="1:31">
      <c r="A48" s="1060">
        <v>16</v>
      </c>
      <c r="B48" s="1061">
        <v>5.9499999999999997E-2</v>
      </c>
      <c r="C48" s="1062">
        <v>101905</v>
      </c>
      <c r="D48" s="1062">
        <v>101894</v>
      </c>
      <c r="E48" s="1062">
        <v>101872</v>
      </c>
      <c r="F48" s="1063">
        <f t="shared" si="0"/>
        <v>101872</v>
      </c>
      <c r="X48" s="1054"/>
      <c r="AE48" s="1054"/>
    </row>
    <row r="49" spans="1:31">
      <c r="A49" s="1060">
        <v>14</v>
      </c>
      <c r="B49" s="1061">
        <v>7.51E-2</v>
      </c>
      <c r="C49" s="1062">
        <v>101904</v>
      </c>
      <c r="D49" s="1062">
        <v>101893</v>
      </c>
      <c r="E49" s="1062">
        <v>101871</v>
      </c>
      <c r="F49" s="1063">
        <f t="shared" si="0"/>
        <v>101871</v>
      </c>
      <c r="X49" s="1054"/>
      <c r="AE49" s="1054"/>
    </row>
    <row r="50" spans="1:31">
      <c r="A50" s="1060">
        <v>11</v>
      </c>
      <c r="B50" s="1061">
        <v>0.12</v>
      </c>
      <c r="C50" s="1062">
        <v>101902</v>
      </c>
      <c r="D50" s="1062">
        <v>101891</v>
      </c>
      <c r="E50" s="1062">
        <v>101869</v>
      </c>
      <c r="F50" s="1063">
        <f t="shared" si="0"/>
        <v>101869</v>
      </c>
      <c r="X50" s="1054"/>
      <c r="AE50" s="1054"/>
    </row>
    <row r="51" spans="1:31">
      <c r="A51" s="1064" t="s">
        <v>903</v>
      </c>
      <c r="B51" s="1061">
        <v>0.1875</v>
      </c>
      <c r="C51" s="1062">
        <v>101997</v>
      </c>
      <c r="D51" s="1062">
        <v>101986</v>
      </c>
      <c r="E51" s="1062">
        <v>101964</v>
      </c>
      <c r="F51" s="1063">
        <f t="shared" si="0"/>
        <v>101964</v>
      </c>
      <c r="X51" s="1054"/>
      <c r="AE51" s="1054"/>
    </row>
    <row r="52" spans="1:31">
      <c r="A52" s="1064" t="s">
        <v>909</v>
      </c>
      <c r="B52" s="1061">
        <v>0.25</v>
      </c>
      <c r="C52" s="1062">
        <v>101996</v>
      </c>
      <c r="D52" s="1062">
        <v>101985</v>
      </c>
      <c r="E52" s="1062">
        <v>101963</v>
      </c>
      <c r="F52" s="1063">
        <f t="shared" si="0"/>
        <v>101963</v>
      </c>
      <c r="X52" s="1054"/>
      <c r="AE52" s="1054"/>
    </row>
    <row r="53" spans="1:31">
      <c r="A53" s="1064" t="s">
        <v>912</v>
      </c>
      <c r="B53" s="1061">
        <v>0.3125</v>
      </c>
      <c r="C53" s="1062">
        <v>101995</v>
      </c>
      <c r="D53" s="1062">
        <v>101984</v>
      </c>
      <c r="E53" s="1062">
        <v>101962</v>
      </c>
      <c r="F53" s="1063">
        <f t="shared" si="0"/>
        <v>101962</v>
      </c>
      <c r="X53" s="1054"/>
      <c r="AE53" s="1054"/>
    </row>
    <row r="54" spans="1:31">
      <c r="A54" s="1064" t="s">
        <v>915</v>
      </c>
      <c r="B54" s="1061">
        <v>0.375</v>
      </c>
      <c r="C54" s="1062">
        <v>101994</v>
      </c>
      <c r="D54" s="1062">
        <v>101983</v>
      </c>
      <c r="E54" s="1062">
        <v>101961</v>
      </c>
      <c r="F54" s="1063">
        <f t="shared" si="0"/>
        <v>101961</v>
      </c>
      <c r="X54" s="1054"/>
      <c r="AE54" s="1054"/>
    </row>
    <row r="55" spans="1:31">
      <c r="A55" s="1064" t="s">
        <v>918</v>
      </c>
      <c r="B55" s="1061">
        <v>0.5</v>
      </c>
      <c r="C55" s="1062">
        <v>101993</v>
      </c>
      <c r="D55" s="1062">
        <v>101982</v>
      </c>
      <c r="E55" s="1062">
        <v>101960</v>
      </c>
      <c r="F55" s="1063">
        <f t="shared" si="0"/>
        <v>101960</v>
      </c>
      <c r="X55" s="1054"/>
      <c r="AE55" s="1054"/>
    </row>
    <row r="56" spans="1:31">
      <c r="A56" s="1064" t="s">
        <v>921</v>
      </c>
      <c r="B56" s="1061">
        <v>0.625</v>
      </c>
      <c r="C56" s="1062">
        <v>101992</v>
      </c>
      <c r="D56" s="1062">
        <v>101981</v>
      </c>
      <c r="E56" s="1062">
        <v>101959</v>
      </c>
      <c r="F56" s="1063">
        <f t="shared" si="0"/>
        <v>101959</v>
      </c>
      <c r="X56" s="1054"/>
      <c r="AE56" s="1054"/>
    </row>
    <row r="57" spans="1:31">
      <c r="A57" s="1065" t="s">
        <v>923</v>
      </c>
      <c r="B57" s="1066">
        <v>0.75</v>
      </c>
      <c r="C57" s="1067">
        <v>101991</v>
      </c>
      <c r="D57" s="1067">
        <v>101980</v>
      </c>
      <c r="E57" s="1067">
        <v>101958</v>
      </c>
      <c r="F57" s="1068">
        <f t="shared" si="0"/>
        <v>101958</v>
      </c>
      <c r="X57" s="1054"/>
      <c r="AE57" s="1054"/>
    </row>
    <row r="58" spans="1:31">
      <c r="A58" s="1065" t="s">
        <v>1769</v>
      </c>
      <c r="B58" s="1066">
        <v>1</v>
      </c>
      <c r="C58" s="1069">
        <v>101990</v>
      </c>
      <c r="D58" s="1070">
        <v>101979</v>
      </c>
      <c r="E58" s="1070">
        <v>101957</v>
      </c>
      <c r="F58" s="1068">
        <f>IF(MoC="304 SS",C58,IF(MoC="304L",D58,E58))</f>
        <v>101957</v>
      </c>
      <c r="X58" s="1054"/>
      <c r="AE58" s="1054"/>
    </row>
    <row r="59" spans="1:31">
      <c r="A59" s="1065" t="s">
        <v>1770</v>
      </c>
      <c r="B59" s="1066">
        <v>1.125</v>
      </c>
      <c r="C59" s="1070">
        <v>101989</v>
      </c>
      <c r="D59" s="1070">
        <v>101978</v>
      </c>
      <c r="E59" s="1070">
        <v>101956</v>
      </c>
      <c r="F59" s="1068">
        <f>IF(MoC="304 SS",C59,IF(MoC="304L",D59,E59))</f>
        <v>101956</v>
      </c>
      <c r="X59" s="1054"/>
      <c r="AE59" s="1054"/>
    </row>
    <row r="60" spans="1:31">
      <c r="A60" s="1065" t="s">
        <v>1771</v>
      </c>
      <c r="B60" s="1066">
        <v>1.25</v>
      </c>
      <c r="C60" s="1070">
        <v>101988</v>
      </c>
      <c r="D60" s="1070">
        <v>101977</v>
      </c>
      <c r="E60" s="1070">
        <v>101955</v>
      </c>
      <c r="F60" s="1068">
        <f>IF(MoC="304 SS",C60,IF(MoC="304L",D60,E60))</f>
        <v>101955</v>
      </c>
      <c r="X60" s="1054"/>
      <c r="AE60" s="1054"/>
    </row>
    <row r="61" spans="1:31">
      <c r="A61" s="1065" t="s">
        <v>1772</v>
      </c>
      <c r="B61" s="1066">
        <v>1.5</v>
      </c>
      <c r="C61" s="1070">
        <v>101946</v>
      </c>
      <c r="D61" s="1070">
        <v>101945</v>
      </c>
      <c r="E61" s="1070">
        <v>101943</v>
      </c>
      <c r="F61" s="1068">
        <f>IF(MoC="304 SS",C61,IF(MoC="304L",D61,E61))</f>
        <v>101943</v>
      </c>
      <c r="X61" s="1054"/>
      <c r="AE61" s="1054"/>
    </row>
    <row r="62" spans="1:31">
      <c r="A62" s="1065" t="s">
        <v>1773</v>
      </c>
      <c r="B62" s="1066">
        <v>2</v>
      </c>
      <c r="C62" s="1070">
        <v>101950</v>
      </c>
      <c r="D62" s="1070">
        <v>101949</v>
      </c>
      <c r="E62" s="1071">
        <v>101947</v>
      </c>
      <c r="F62" s="1068">
        <f>IF(MoC="304 SS",C62,IF(MoC="304L",D62,E62))</f>
        <v>101947</v>
      </c>
      <c r="X62" s="1054"/>
      <c r="AE62" s="1054"/>
    </row>
    <row r="63" spans="1:31">
      <c r="X63" s="1054"/>
      <c r="AE63" s="1054"/>
    </row>
    <row r="64" spans="1:31">
      <c r="X64" s="1054"/>
      <c r="AE64" s="1054"/>
    </row>
    <row r="66" spans="1:4">
      <c r="A66" s="1054" t="s">
        <v>1774</v>
      </c>
      <c r="B66" s="1054" t="s">
        <v>1775</v>
      </c>
      <c r="C66" s="1054" t="s">
        <v>1776</v>
      </c>
      <c r="D66" s="1054" t="s">
        <v>985</v>
      </c>
    </row>
    <row r="67" spans="1:4">
      <c r="A67" s="1072">
        <v>101909</v>
      </c>
      <c r="B67" s="1054" cm="1">
        <f t="array" ref="B67">_xlfn.IFNA(_xlfn.XLOOKUP(C67,Sheet_Plate_NEW[[#All],[Merged]],Sheet_Plate_NEW[[#All],[FinalPrice]]),"Quote")</f>
        <v>2.12</v>
      </c>
      <c r="C67" s="1054" t="s">
        <v>894</v>
      </c>
      <c r="D67" s="1054" t="s">
        <v>1777</v>
      </c>
    </row>
    <row r="68" spans="1:4">
      <c r="A68" s="1072">
        <v>101908</v>
      </c>
      <c r="B68" s="1054" cm="1">
        <f t="array" ref="B68">_xlfn.IFNA(_xlfn.XLOOKUP(C68,Sheet_Plate_NEW[[#All],[Merged]],Sheet_Plate_NEW[[#All],[FinalPrice]]),"Quote")</f>
        <v>2.04</v>
      </c>
      <c r="C68" s="1054" t="s">
        <v>896</v>
      </c>
      <c r="D68" s="1054" t="s">
        <v>1778</v>
      </c>
    </row>
    <row r="69" spans="1:4">
      <c r="A69" s="1072">
        <v>101906</v>
      </c>
      <c r="B69" s="1054" cm="1">
        <f t="array" ref="B69">_xlfn.IFNA(_xlfn.XLOOKUP(C69,Sheet_Plate_NEW[[#All],[Merged]],Sheet_Plate_NEW[[#All],[FinalPrice]]),"Quote")</f>
        <v>1.92</v>
      </c>
      <c r="C69" s="1054" t="s">
        <v>898</v>
      </c>
      <c r="D69" s="1054" t="s">
        <v>1779</v>
      </c>
    </row>
    <row r="70" spans="1:4">
      <c r="A70" s="1072">
        <v>101905</v>
      </c>
      <c r="B70" s="1054" cm="1">
        <f t="array" ref="B70">_xlfn.IFNA(_xlfn.XLOOKUP(C70,Sheet_Plate_NEW[[#All],[Merged]],Sheet_Plate_NEW[[#All],[FinalPrice]]),"Quote")</f>
        <v>1.9</v>
      </c>
      <c r="C70" s="1054" t="s">
        <v>899</v>
      </c>
      <c r="D70" s="1054" t="s">
        <v>1780</v>
      </c>
    </row>
    <row r="71" spans="1:4">
      <c r="A71" s="1072">
        <v>101904</v>
      </c>
      <c r="B71" s="1054" cm="1">
        <f t="array" ref="B71">_xlfn.IFNA(_xlfn.XLOOKUP(C71,Sheet_Plate_NEW[[#All],[Merged]],Sheet_Plate_NEW[[#All],[FinalPrice]]),"Quote")</f>
        <v>1.89</v>
      </c>
      <c r="C71" s="1054" t="s">
        <v>900</v>
      </c>
      <c r="D71" s="1054" t="s">
        <v>1781</v>
      </c>
    </row>
    <row r="72" spans="1:4">
      <c r="A72" s="1072">
        <v>101902</v>
      </c>
      <c r="B72" s="1054" cm="1">
        <f t="array" ref="B72">_xlfn.IFNA(_xlfn.XLOOKUP(C72,Sheet_Plate_NEW[[#All],[Merged]],Sheet_Plate_NEW[[#All],[FinalPrice]]),"Quote")</f>
        <v>1.89</v>
      </c>
      <c r="C72" s="1054" t="s">
        <v>901</v>
      </c>
      <c r="D72" s="1054" t="s">
        <v>1782</v>
      </c>
    </row>
    <row r="73" spans="1:4">
      <c r="A73" s="1072">
        <v>101997</v>
      </c>
      <c r="B73" s="1054" cm="1">
        <f t="array" ref="B73">_xlfn.IFNA(_xlfn.XLOOKUP(C73,Sheet_Plate_NEW[[#All],[Merged]],Sheet_Plate_NEW[[#All],[FinalPrice]]),"Quote")</f>
        <v>1.7</v>
      </c>
      <c r="C73" s="1054" t="s">
        <v>907</v>
      </c>
      <c r="D73" s="1054" t="s">
        <v>1783</v>
      </c>
    </row>
    <row r="74" spans="1:4">
      <c r="A74" s="1072">
        <v>101996</v>
      </c>
      <c r="B74" s="1054" cm="1">
        <f t="array" ref="B74">_xlfn.IFNA(_xlfn.XLOOKUP(C74,Sheet_Plate_NEW[[#All],[Merged]],Sheet_Plate_NEW[[#All],[FinalPrice]]),"Quote")</f>
        <v>1.76</v>
      </c>
      <c r="C74" s="1054" t="s">
        <v>910</v>
      </c>
      <c r="D74" s="1054" t="s">
        <v>1784</v>
      </c>
    </row>
    <row r="75" spans="1:4">
      <c r="A75" s="1072">
        <v>101995</v>
      </c>
      <c r="B75" s="1054" cm="1">
        <f t="array" ref="B75">_xlfn.IFNA(_xlfn.XLOOKUP(C75,Sheet_Plate_NEW[[#All],[Merged]],Sheet_Plate_NEW[[#All],[FinalPrice]]),"Quote")</f>
        <v>1.8</v>
      </c>
      <c r="C75" s="1054" t="s">
        <v>913</v>
      </c>
      <c r="D75" s="1054" t="s">
        <v>1785</v>
      </c>
    </row>
    <row r="76" spans="1:4">
      <c r="A76" s="1072">
        <v>101994</v>
      </c>
      <c r="B76" s="1054" cm="1">
        <f t="array" ref="B76">_xlfn.IFNA(_xlfn.XLOOKUP(C76,Sheet_Plate_NEW[[#All],[Merged]],Sheet_Plate_NEW[[#All],[FinalPrice]]),"Quote")</f>
        <v>1.8</v>
      </c>
      <c r="C76" s="1054" t="s">
        <v>916</v>
      </c>
      <c r="D76" s="1054" t="s">
        <v>1786</v>
      </c>
    </row>
    <row r="77" spans="1:4">
      <c r="A77" s="1072">
        <v>101993</v>
      </c>
      <c r="B77" s="1054" cm="1">
        <f t="array" ref="B77">_xlfn.IFNA(_xlfn.XLOOKUP(C77,Sheet_Plate_NEW[[#All],[Merged]],Sheet_Plate_NEW[[#All],[FinalPrice]]),"Quote")</f>
        <v>2.14</v>
      </c>
      <c r="C77" s="1054" t="s">
        <v>919</v>
      </c>
      <c r="D77" s="1054" t="s">
        <v>1787</v>
      </c>
    </row>
    <row r="78" spans="1:4">
      <c r="A78" s="1072">
        <v>101992</v>
      </c>
      <c r="B78" s="1054" cm="1">
        <f t="array" ref="B78">_xlfn.IFNA(_xlfn.XLOOKUP(C78,Sheet_Plate_NEW[[#All],[Merged]],Sheet_Plate_NEW[[#All],[FinalPrice]]),"Quote")</f>
        <v>2.4300000000000002</v>
      </c>
      <c r="C78" s="1054" t="s">
        <v>922</v>
      </c>
      <c r="D78" s="1054" t="s">
        <v>1788</v>
      </c>
    </row>
    <row r="79" spans="1:4">
      <c r="A79" s="1073">
        <v>101991</v>
      </c>
      <c r="B79" s="1054" cm="1">
        <f t="array" ref="B79">_xlfn.IFNA(_xlfn.XLOOKUP(C79,Sheet_Plate_NEW[[#All],[Merged]],Sheet_Plate_NEW[[#All],[FinalPrice]]),"Quote")</f>
        <v>2.4300000000000002</v>
      </c>
      <c r="C79" s="1054" t="s">
        <v>924</v>
      </c>
      <c r="D79" s="1054" t="s">
        <v>1789</v>
      </c>
    </row>
    <row r="80" spans="1:4">
      <c r="A80" s="1073">
        <v>101990</v>
      </c>
      <c r="B80" s="1074" t="str" cm="1">
        <f t="array" ref="B80">_xlfn.IFNA(_xlfn.XLOOKUP(C80,Sheet_Plate_NEW[[#All],[Merged]],Sheet_Plate_NEW[[#All],[FinalPrice]]),"Quote")</f>
        <v>Quote</v>
      </c>
      <c r="D80" s="1054" t="s">
        <v>1790</v>
      </c>
    </row>
    <row r="81" spans="1:4">
      <c r="A81" s="1072">
        <v>101989</v>
      </c>
      <c r="B81" s="1074" t="str" cm="1">
        <f t="array" ref="B81">_xlfn.IFNA(_xlfn.XLOOKUP(C81,Sheet_Plate_NEW[[#All],[Merged]],Sheet_Plate_NEW[[#All],[FinalPrice]]),"Quote")</f>
        <v>Quote</v>
      </c>
      <c r="D81" s="1054" t="s">
        <v>1791</v>
      </c>
    </row>
    <row r="82" spans="1:4">
      <c r="A82" s="1072">
        <v>101988</v>
      </c>
      <c r="B82" s="1074" t="str" cm="1">
        <f t="array" ref="B82">_xlfn.IFNA(_xlfn.XLOOKUP(C82,Sheet_Plate_NEW[[#All],[Merged]],Sheet_Plate_NEW[[#All],[FinalPrice]]),"Quote")</f>
        <v>Quote</v>
      </c>
      <c r="D82" s="1054" t="s">
        <v>1792</v>
      </c>
    </row>
    <row r="83" spans="1:4">
      <c r="A83" s="1072">
        <v>101946</v>
      </c>
      <c r="B83" s="1074" t="str" cm="1">
        <f t="array" ref="B83">_xlfn.IFNA(_xlfn.XLOOKUP(C83,Sheet_Plate_NEW[[#All],[Merged]],Sheet_Plate_NEW[[#All],[FinalPrice]]),"Quote")</f>
        <v>Quote</v>
      </c>
      <c r="D83" s="1054" t="s">
        <v>1793</v>
      </c>
    </row>
    <row r="84" spans="1:4">
      <c r="A84" s="1072">
        <v>101950</v>
      </c>
      <c r="B84" s="1074" t="str" cm="1">
        <f t="array" ref="B84">_xlfn.IFNA(_xlfn.XLOOKUP(C84,Sheet_Plate_NEW[[#All],[Merged]],Sheet_Plate_NEW[[#All],[FinalPrice]]),"Quote")</f>
        <v>Quote</v>
      </c>
      <c r="D84" s="1054" t="s">
        <v>1794</v>
      </c>
    </row>
    <row r="85" spans="1:4">
      <c r="A85" s="1072">
        <v>101899</v>
      </c>
      <c r="B85" s="1054" cm="1">
        <f t="array" ref="B85">_xlfn.IFNA(_xlfn.XLOOKUP(C85,Sheet_Plate_NEW[[#All],[Merged]],Sheet_Plate_NEW[[#All],[FinalPrice]]),"Quote")</f>
        <v>2.21</v>
      </c>
      <c r="C85" s="1054" t="s">
        <v>927</v>
      </c>
      <c r="D85" s="1054" t="s">
        <v>1795</v>
      </c>
    </row>
    <row r="86" spans="1:4">
      <c r="A86" s="1072">
        <v>101897</v>
      </c>
      <c r="B86" s="1054" cm="1">
        <f t="array" ref="B86">_xlfn.IFNA(_xlfn.XLOOKUP(C86,Sheet_Plate_NEW[[#All],[Merged]],Sheet_Plate_NEW[[#All],[FinalPrice]]),"Quote")</f>
        <v>2.13</v>
      </c>
      <c r="C86" s="1054" t="s">
        <v>930</v>
      </c>
      <c r="D86" s="1054" t="s">
        <v>1796</v>
      </c>
    </row>
    <row r="87" spans="1:4">
      <c r="A87" s="1072">
        <v>101895</v>
      </c>
      <c r="B87" s="1054" cm="1">
        <f t="array" ref="B87">_xlfn.IFNA(_xlfn.XLOOKUP(C87,Sheet_Plate_NEW[[#All],[Merged]],Sheet_Plate_NEW[[#All],[FinalPrice]]),"Quote")</f>
        <v>2.0299999999999998</v>
      </c>
      <c r="C87" s="1054" t="s">
        <v>931</v>
      </c>
      <c r="D87" s="1054" t="s">
        <v>1797</v>
      </c>
    </row>
    <row r="88" spans="1:4">
      <c r="A88" s="1072">
        <v>101894</v>
      </c>
      <c r="B88" s="1054" cm="1">
        <f t="array" ref="B88">_xlfn.IFNA(_xlfn.XLOOKUP(C88,Sheet_Plate_NEW[[#All],[Merged]],Sheet_Plate_NEW[[#All],[FinalPrice]]),"Quote")</f>
        <v>2</v>
      </c>
      <c r="C88" s="1054" t="s">
        <v>932</v>
      </c>
      <c r="D88" s="1054" t="s">
        <v>1798</v>
      </c>
    </row>
    <row r="89" spans="1:4">
      <c r="A89" s="1072">
        <v>101893</v>
      </c>
      <c r="B89" s="1054" cm="1">
        <f t="array" ref="B89">_xlfn.IFNA(_xlfn.XLOOKUP(C89,Sheet_Plate_NEW[[#All],[Merged]],Sheet_Plate_NEW[[#All],[FinalPrice]]),"Quote")</f>
        <v>1.99</v>
      </c>
      <c r="C89" s="1054" t="s">
        <v>933</v>
      </c>
      <c r="D89" s="1054" t="s">
        <v>1799</v>
      </c>
    </row>
    <row r="90" spans="1:4">
      <c r="A90" s="1072">
        <v>101891</v>
      </c>
      <c r="B90" s="1054" cm="1">
        <f t="array" ref="B90">_xlfn.IFNA(_xlfn.XLOOKUP(C90,Sheet_Plate_NEW[[#All],[Merged]],Sheet_Plate_NEW[[#All],[FinalPrice]]),"Quote")</f>
        <v>1.99</v>
      </c>
      <c r="C90" s="1054" t="s">
        <v>934</v>
      </c>
      <c r="D90" s="1054" t="s">
        <v>1800</v>
      </c>
    </row>
    <row r="91" spans="1:4">
      <c r="A91" s="1072">
        <v>101986</v>
      </c>
      <c r="B91" s="1054" cm="1">
        <f t="array" ref="B91">_xlfn.IFNA(_xlfn.XLOOKUP(C91,Sheet_Plate_NEW[[#All],[Merged]],Sheet_Plate_NEW[[#All],[FinalPrice]]),"Quote")</f>
        <v>1.7</v>
      </c>
      <c r="C91" s="1054" t="s">
        <v>935</v>
      </c>
      <c r="D91" s="1084" t="s">
        <v>1801</v>
      </c>
    </row>
    <row r="92" spans="1:4">
      <c r="A92" s="1072">
        <v>101985</v>
      </c>
      <c r="B92" s="1054" cm="1">
        <f t="array" ref="B92">_xlfn.IFNA(_xlfn.XLOOKUP(C92,Sheet_Plate_NEW[[#All],[Merged]],Sheet_Plate_NEW[[#All],[FinalPrice]]),"Quote")</f>
        <v>1.75</v>
      </c>
      <c r="C92" s="1054" t="s">
        <v>937</v>
      </c>
      <c r="D92" s="1054" t="s">
        <v>1802</v>
      </c>
    </row>
    <row r="93" spans="1:4">
      <c r="A93" s="1072">
        <v>101984</v>
      </c>
      <c r="B93" s="1054" cm="1">
        <f t="array" ref="B93">_xlfn.IFNA(_xlfn.XLOOKUP(C93,Sheet_Plate_NEW[[#All],[Merged]],Sheet_Plate_NEW[[#All],[FinalPrice]]),"Quote")</f>
        <v>1.8</v>
      </c>
      <c r="C93" s="1054" t="s">
        <v>938</v>
      </c>
      <c r="D93" s="1054" t="s">
        <v>1803</v>
      </c>
    </row>
    <row r="94" spans="1:4">
      <c r="A94" s="1072">
        <v>101983</v>
      </c>
      <c r="B94" s="1054" cm="1">
        <f t="array" ref="B94">_xlfn.IFNA(_xlfn.XLOOKUP(C94,Sheet_Plate_NEW[[#All],[Merged]],Sheet_Plate_NEW[[#All],[FinalPrice]]),"Quote")</f>
        <v>1.8</v>
      </c>
      <c r="C94" s="1054" t="s">
        <v>939</v>
      </c>
      <c r="D94" s="1054" t="s">
        <v>1804</v>
      </c>
    </row>
    <row r="95" spans="1:4">
      <c r="A95" s="1072">
        <v>101982</v>
      </c>
      <c r="B95" s="1054" cm="1">
        <f t="array" ref="B95">_xlfn.IFNA(_xlfn.XLOOKUP(C95,Sheet_Plate_NEW[[#All],[Merged]],Sheet_Plate_NEW[[#All],[FinalPrice]]),"Quote")</f>
        <v>2.14</v>
      </c>
      <c r="C95" s="1054" t="s">
        <v>940</v>
      </c>
      <c r="D95" s="1054" t="s">
        <v>1805</v>
      </c>
    </row>
    <row r="96" spans="1:4">
      <c r="A96" s="1072">
        <v>101981</v>
      </c>
      <c r="B96" s="1054" cm="1">
        <f t="array" ref="B96">_xlfn.IFNA(_xlfn.XLOOKUP(C96,Sheet_Plate_NEW[[#All],[Merged]],Sheet_Plate_NEW[[#All],[FinalPrice]]),"Quote")</f>
        <v>2.41</v>
      </c>
      <c r="C96" s="1054" t="s">
        <v>941</v>
      </c>
      <c r="D96" s="1054" t="s">
        <v>1806</v>
      </c>
    </row>
    <row r="97" spans="1:4">
      <c r="A97" s="1073">
        <v>101980</v>
      </c>
      <c r="B97" s="1054" cm="1">
        <f t="array" ref="B97">_xlfn.IFNA(_xlfn.XLOOKUP(C97,Sheet_Plate_NEW[[#All],[Merged]],Sheet_Plate_NEW[[#All],[FinalPrice]]),"Quote")</f>
        <v>2.41</v>
      </c>
      <c r="C97" s="1054" t="s">
        <v>942</v>
      </c>
      <c r="D97" s="1054" t="s">
        <v>1807</v>
      </c>
    </row>
    <row r="98" spans="1:4">
      <c r="A98" s="1072">
        <v>101979</v>
      </c>
      <c r="B98" s="1074" t="str" cm="1">
        <f t="array" ref="B98">_xlfn.IFNA(_xlfn.XLOOKUP(C98,Sheet_Plate_NEW[[#All],[Merged]],Sheet_Plate_NEW[[#All],[FinalPrice]]),"Quote")</f>
        <v>Quote</v>
      </c>
      <c r="D98" s="1054" t="s">
        <v>1808</v>
      </c>
    </row>
    <row r="99" spans="1:4">
      <c r="A99" s="1072">
        <v>101978</v>
      </c>
      <c r="B99" s="1074" t="str" cm="1">
        <f t="array" ref="B99">_xlfn.IFNA(_xlfn.XLOOKUP(C99,Sheet_Plate_NEW[[#All],[Merged]],Sheet_Plate_NEW[[#All],[FinalPrice]]),"Quote")</f>
        <v>Quote</v>
      </c>
      <c r="D99" s="1054" t="s">
        <v>1809</v>
      </c>
    </row>
    <row r="100" spans="1:4">
      <c r="A100" s="1072">
        <v>101977</v>
      </c>
      <c r="B100" s="1074" t="str" cm="1">
        <f t="array" ref="B100">_xlfn.IFNA(_xlfn.XLOOKUP(C100,Sheet_Plate_NEW[[#All],[Merged]],Sheet_Plate_NEW[[#All],[FinalPrice]]),"Quote")</f>
        <v>Quote</v>
      </c>
      <c r="D100" s="1054" t="s">
        <v>1810</v>
      </c>
    </row>
    <row r="101" spans="1:4">
      <c r="A101" s="1072">
        <v>101945</v>
      </c>
      <c r="B101" s="1074" t="str" cm="1">
        <f t="array" ref="B101">_xlfn.IFNA(_xlfn.XLOOKUP(C101,Sheet_Plate_NEW[[#All],[Merged]],Sheet_Plate_NEW[[#All],[FinalPrice]]),"Quote")</f>
        <v>Quote</v>
      </c>
      <c r="D101" s="1054" t="s">
        <v>1811</v>
      </c>
    </row>
    <row r="102" spans="1:4">
      <c r="A102" s="1072">
        <v>101949</v>
      </c>
      <c r="B102" s="1074" t="str" cm="1">
        <f t="array" ref="B102">_xlfn.IFNA(_xlfn.XLOOKUP(C102,Sheet_Plate_NEW[[#All],[Merged]],Sheet_Plate_NEW[[#All],[FinalPrice]]),"Quote")</f>
        <v>Quote</v>
      </c>
      <c r="D102" s="1054" t="s">
        <v>1812</v>
      </c>
    </row>
    <row r="103" spans="1:4">
      <c r="A103" s="1072">
        <v>101876</v>
      </c>
      <c r="B103" s="1054" cm="1">
        <f t="array" ref="B103">_xlfn.IFNA(_xlfn.XLOOKUP(C103,Sheet_Plate_NEW[[#All],[Merged]],Sheet_Plate_NEW[[#All],[FinalPrice]]),"Quote")</f>
        <v>3.12</v>
      </c>
      <c r="C103" s="1054" t="s">
        <v>944</v>
      </c>
      <c r="D103" s="1054" t="s">
        <v>1813</v>
      </c>
    </row>
    <row r="104" spans="1:4">
      <c r="A104" s="1072">
        <v>101875</v>
      </c>
      <c r="B104" s="1054" cm="1">
        <f t="array" ref="B104">_xlfn.IFNA(_xlfn.XLOOKUP(C104,Sheet_Plate_NEW[[#All],[Merged]],Sheet_Plate_NEW[[#All],[FinalPrice]]),"Quote")</f>
        <v>3.04</v>
      </c>
      <c r="C104" s="1054" t="s">
        <v>945</v>
      </c>
      <c r="D104" s="1054" t="s">
        <v>1814</v>
      </c>
    </row>
    <row r="105" spans="1:4">
      <c r="A105" s="1072">
        <v>101873</v>
      </c>
      <c r="B105" s="1054" cm="1">
        <f t="array" ref="B105">_xlfn.IFNA(_xlfn.XLOOKUP(C105,Sheet_Plate_NEW[[#All],[Merged]],Sheet_Plate_NEW[[#All],[FinalPrice]]),"Quote")</f>
        <v>2.92</v>
      </c>
      <c r="C105" s="1054" t="s">
        <v>946</v>
      </c>
      <c r="D105" s="1054" t="s">
        <v>1815</v>
      </c>
    </row>
    <row r="106" spans="1:4">
      <c r="A106" s="1072">
        <v>101872</v>
      </c>
      <c r="B106" s="1054" cm="1">
        <f t="array" ref="B106">_xlfn.IFNA(_xlfn.XLOOKUP(C106,Sheet_Plate_NEW[[#All],[Merged]],Sheet_Plate_NEW[[#All],[FinalPrice]]),"Quote")</f>
        <v>2.9</v>
      </c>
      <c r="C106" s="1054" t="s">
        <v>947</v>
      </c>
      <c r="D106" s="1054" t="s">
        <v>1816</v>
      </c>
    </row>
    <row r="107" spans="1:4">
      <c r="A107" s="1072">
        <v>101871</v>
      </c>
      <c r="B107" s="1054" cm="1">
        <f t="array" ref="B107">_xlfn.IFNA(_xlfn.XLOOKUP(C107,Sheet_Plate_NEW[[#All],[Merged]],Sheet_Plate_NEW[[#All],[FinalPrice]]),"Quote")</f>
        <v>2.89</v>
      </c>
      <c r="C107" s="1054" t="s">
        <v>948</v>
      </c>
      <c r="D107" s="1054" t="s">
        <v>1817</v>
      </c>
    </row>
    <row r="108" spans="1:4">
      <c r="A108" s="1072">
        <v>101869</v>
      </c>
      <c r="B108" s="1054" cm="1">
        <f t="array" ref="B108">_xlfn.IFNA(_xlfn.XLOOKUP(C108,Sheet_Plate_NEW[[#All],[Merged]],Sheet_Plate_NEW[[#All],[FinalPrice]]),"Quote")</f>
        <v>2.89</v>
      </c>
      <c r="C108" s="1054" t="s">
        <v>950</v>
      </c>
      <c r="D108" s="1084" t="s">
        <v>1818</v>
      </c>
    </row>
    <row r="109" spans="1:4">
      <c r="A109" s="1072">
        <v>101964</v>
      </c>
      <c r="B109" s="1054" cm="1">
        <f t="array" ref="B109">_xlfn.IFNA(_xlfn.XLOOKUP(C109,Sheet_Plate_NEW[[#All],[Merged]],Sheet_Plate_NEW[[#All],[FinalPrice]]),"Quote")</f>
        <v>2.59</v>
      </c>
      <c r="C109" s="1054" t="s">
        <v>952</v>
      </c>
      <c r="D109" s="1054" t="s">
        <v>1819</v>
      </c>
    </row>
    <row r="110" spans="1:4">
      <c r="A110" s="1072">
        <v>101963</v>
      </c>
      <c r="B110" s="1054" cm="1">
        <f t="array" ref="B110">_xlfn.IFNA(_xlfn.XLOOKUP(C110,Sheet_Plate_NEW[[#All],[Merged]],Sheet_Plate_NEW[[#All],[FinalPrice]]),"Quote")</f>
        <v>2.65</v>
      </c>
      <c r="C110" s="1054" t="s">
        <v>954</v>
      </c>
      <c r="D110" s="1054" t="s">
        <v>1820</v>
      </c>
    </row>
    <row r="111" spans="1:4">
      <c r="A111" s="1072">
        <v>101962</v>
      </c>
      <c r="B111" s="1054" cm="1">
        <f t="array" ref="B111">_xlfn.IFNA(_xlfn.XLOOKUP(C111,Sheet_Plate_NEW[[#All],[Merged]],Sheet_Plate_NEW[[#All],[FinalPrice]]),"Quote")</f>
        <v>2.7</v>
      </c>
      <c r="C111" s="1054" t="s">
        <v>956</v>
      </c>
      <c r="D111" s="1054" t="s">
        <v>1821</v>
      </c>
    </row>
    <row r="112" spans="1:4">
      <c r="A112" s="1072">
        <v>101961</v>
      </c>
      <c r="B112" s="1054" cm="1">
        <f t="array" ref="B112">_xlfn.IFNA(_xlfn.XLOOKUP(C112,Sheet_Plate_NEW[[#All],[Merged]],Sheet_Plate_NEW[[#All],[FinalPrice]]),"Quote")</f>
        <v>2.7</v>
      </c>
      <c r="C112" s="1054" t="s">
        <v>958</v>
      </c>
      <c r="D112" s="1054" t="s">
        <v>1822</v>
      </c>
    </row>
    <row r="113" spans="1:4">
      <c r="A113" s="1072">
        <v>101960</v>
      </c>
      <c r="B113" s="1054" cm="1">
        <f t="array" ref="B113">_xlfn.IFNA(_xlfn.XLOOKUP(C113,Sheet_Plate_NEW[[#All],[Merged]],Sheet_Plate_NEW[[#All],[FinalPrice]]),"Quote")</f>
        <v>3.15</v>
      </c>
      <c r="C113" s="1054" t="s">
        <v>959</v>
      </c>
      <c r="D113" s="1054" t="s">
        <v>1823</v>
      </c>
    </row>
    <row r="114" spans="1:4">
      <c r="A114" s="1072">
        <v>101959</v>
      </c>
      <c r="B114" s="1054" cm="1">
        <f t="array" ref="B114">_xlfn.IFNA(_xlfn.XLOOKUP(C114,Sheet_Plate_NEW[[#All],[Merged]],Sheet_Plate_NEW[[#All],[FinalPrice]]),"Quote")</f>
        <v>3.37</v>
      </c>
      <c r="C114" s="1054" t="s">
        <v>960</v>
      </c>
      <c r="D114" s="1054" t="s">
        <v>1824</v>
      </c>
    </row>
    <row r="115" spans="1:4">
      <c r="A115" s="1073">
        <v>101958</v>
      </c>
      <c r="B115" s="1054" cm="1">
        <f t="array" ref="B115">_xlfn.IFNA(_xlfn.XLOOKUP(C115,Sheet_Plate_NEW[[#All],[Merged]],Sheet_Plate_NEW[[#All],[FinalPrice]]),"Quote")</f>
        <v>3.37</v>
      </c>
      <c r="C115" s="1054" t="s">
        <v>961</v>
      </c>
      <c r="D115" s="1054" t="s">
        <v>1825</v>
      </c>
    </row>
    <row r="116" spans="1:4">
      <c r="A116" s="1072">
        <v>101957</v>
      </c>
      <c r="B116" s="1074" t="str" cm="1">
        <f t="array" ref="B116">_xlfn.IFNA(_xlfn.XLOOKUP(C116,Sheet_Plate_NEW[[#All],[Merged]],Sheet_Plate_NEW[[#All],[FinalPrice]]),"Quote")</f>
        <v>Quote</v>
      </c>
      <c r="D116" s="1054" t="s">
        <v>1826</v>
      </c>
    </row>
    <row r="117" spans="1:4">
      <c r="A117" s="1072">
        <v>101956</v>
      </c>
      <c r="B117" s="1074" t="str" cm="1">
        <f t="array" ref="B117">_xlfn.IFNA(_xlfn.XLOOKUP(C117,Sheet_Plate_NEW[[#All],[Merged]],Sheet_Plate_NEW[[#All],[FinalPrice]]),"Quote")</f>
        <v>Quote</v>
      </c>
      <c r="D117" s="1054" t="s">
        <v>1827</v>
      </c>
    </row>
    <row r="118" spans="1:4">
      <c r="A118" s="1072">
        <v>101955</v>
      </c>
      <c r="B118" s="1074" t="str" cm="1">
        <f t="array" ref="B118">_xlfn.IFNA(_xlfn.XLOOKUP(C118,Sheet_Plate_NEW[[#All],[Merged]],Sheet_Plate_NEW[[#All],[FinalPrice]]),"Quote")</f>
        <v>Quote</v>
      </c>
      <c r="D118" s="1054" t="s">
        <v>1828</v>
      </c>
    </row>
    <row r="119" spans="1:4">
      <c r="A119" s="1072">
        <v>101943</v>
      </c>
      <c r="B119" s="1074" t="str" cm="1">
        <f t="array" ref="B119">_xlfn.IFNA(_xlfn.XLOOKUP(C119,Sheet_Plate_NEW[[#All],[Merged]],Sheet_Plate_NEW[[#All],[FinalPrice]]),"Quote")</f>
        <v>Quote</v>
      </c>
      <c r="D119" s="1054" t="s">
        <v>1829</v>
      </c>
    </row>
    <row r="120" spans="1:4">
      <c r="A120" s="1075">
        <v>101947</v>
      </c>
      <c r="B120" s="1074" t="str" cm="1">
        <f t="array" ref="B120">_xlfn.IFNA(_xlfn.XLOOKUP(C120,Sheet_Plate_NEW[[#All],[Merged]],Sheet_Plate_NEW[[#All],[FinalPrice]]),"Quote")</f>
        <v>Quote</v>
      </c>
      <c r="D120" s="1054" t="s">
        <v>1830</v>
      </c>
    </row>
  </sheetData>
  <mergeCells count="1">
    <mergeCell ref="A43:F43"/>
  </mergeCells>
  <phoneticPr fontId="6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8BDB-4F46-4820-9D42-3F9C80FEA42F}">
  <sheetPr codeName="Sheet29">
    <tabColor theme="9" tint="0.39997558519241921"/>
  </sheetPr>
  <dimension ref="A1:P4117"/>
  <sheetViews>
    <sheetView workbookViewId="0">
      <selection activeCell="B18" sqref="B18"/>
    </sheetView>
  </sheetViews>
  <sheetFormatPr defaultRowHeight="15"/>
  <cols>
    <col min="1" max="1" width="11.140625" style="706" bestFit="1" customWidth="1"/>
    <col min="2" max="2" width="81.140625" style="706" bestFit="1" customWidth="1"/>
    <col min="3" max="3" width="34" style="706" bestFit="1" customWidth="1"/>
    <col min="4" max="4" width="14.140625" style="706" bestFit="1" customWidth="1"/>
    <col min="5" max="5" width="11" style="706" bestFit="1" customWidth="1"/>
    <col min="6" max="6" width="16.7109375" style="706" bestFit="1" customWidth="1"/>
    <col min="7" max="7" width="10.5703125" style="706" bestFit="1" customWidth="1"/>
    <col min="8" max="8" width="14.85546875" style="706" bestFit="1" customWidth="1"/>
    <col min="9" max="9" width="81.140625" style="706" customWidth="1"/>
    <col min="10" max="10" width="37.28515625" style="706" bestFit="1" customWidth="1"/>
    <col min="11" max="11" width="14.140625" style="706" bestFit="1" customWidth="1"/>
    <col min="12" max="12" width="20.140625" style="706" bestFit="1" customWidth="1"/>
    <col min="13" max="13" width="19.7109375" style="707" bestFit="1" customWidth="1"/>
    <col min="14" max="14" width="22.85546875" style="707" customWidth="1"/>
    <col min="15" max="15" width="81.140625" style="707" bestFit="1" customWidth="1"/>
    <col min="16" max="16" width="24.5703125" style="707" bestFit="1" customWidth="1"/>
    <col min="17" max="16384" width="9.140625" style="706"/>
  </cols>
  <sheetData>
    <row r="1" spans="1:16">
      <c r="A1" s="706" t="s">
        <v>1831</v>
      </c>
      <c r="B1" s="706" t="s">
        <v>1832</v>
      </c>
      <c r="C1" s="706" t="s">
        <v>1833</v>
      </c>
      <c r="D1" s="706" t="s">
        <v>1834</v>
      </c>
      <c r="E1" s="1083" t="s">
        <v>1835</v>
      </c>
      <c r="F1" s="1083" t="s">
        <v>1836</v>
      </c>
      <c r="G1" s="706" t="s">
        <v>1837</v>
      </c>
      <c r="H1" s="706" t="s">
        <v>1838</v>
      </c>
      <c r="I1" s="706" t="s">
        <v>1839</v>
      </c>
      <c r="M1" s="706"/>
      <c r="N1" s="706"/>
      <c r="O1" s="706"/>
      <c r="P1" s="706"/>
    </row>
    <row r="2" spans="1:16">
      <c r="A2" s="706">
        <v>100759</v>
      </c>
      <c r="B2" s="706" t="s">
        <v>1840</v>
      </c>
      <c r="D2" s="706" t="s">
        <v>1841</v>
      </c>
      <c r="H2" s="1191"/>
      <c r="I2" s="706" t="s">
        <v>1842</v>
      </c>
      <c r="M2" s="706"/>
      <c r="N2" s="706"/>
      <c r="O2" s="706"/>
      <c r="P2" s="706"/>
    </row>
    <row r="3" spans="1:16">
      <c r="A3" s="706">
        <v>100760</v>
      </c>
      <c r="B3" s="706" t="s">
        <v>1843</v>
      </c>
      <c r="D3" s="706" t="s">
        <v>1841</v>
      </c>
      <c r="H3" s="1191"/>
      <c r="I3" s="706" t="s">
        <v>1842</v>
      </c>
      <c r="M3" s="706"/>
      <c r="N3" s="706"/>
      <c r="O3" s="706"/>
      <c r="P3" s="706"/>
    </row>
    <row r="4" spans="1:16">
      <c r="A4" s="706">
        <v>100761</v>
      </c>
      <c r="B4" s="706" t="s">
        <v>1844</v>
      </c>
      <c r="D4" s="706" t="s">
        <v>1841</v>
      </c>
      <c r="H4" s="1191"/>
      <c r="I4" s="706" t="s">
        <v>1842</v>
      </c>
      <c r="M4" s="706"/>
      <c r="N4" s="706"/>
      <c r="O4" s="706"/>
      <c r="P4" s="706"/>
    </row>
    <row r="5" spans="1:16">
      <c r="A5" s="706">
        <v>100762</v>
      </c>
      <c r="B5" s="706" t="s">
        <v>1845</v>
      </c>
      <c r="D5" s="706" t="s">
        <v>1841</v>
      </c>
      <c r="H5" s="1191"/>
      <c r="I5" s="706" t="s">
        <v>1842</v>
      </c>
      <c r="M5" s="706"/>
      <c r="N5" s="706"/>
      <c r="O5" s="706"/>
      <c r="P5" s="706"/>
    </row>
    <row r="6" spans="1:16">
      <c r="A6" s="706">
        <v>100763</v>
      </c>
      <c r="B6" s="706" t="s">
        <v>1846</v>
      </c>
      <c r="D6" s="706" t="s">
        <v>1841</v>
      </c>
      <c r="H6" s="1191"/>
      <c r="I6" s="706" t="s">
        <v>1842</v>
      </c>
      <c r="M6" s="706"/>
      <c r="N6" s="706"/>
      <c r="O6" s="706"/>
      <c r="P6" s="706"/>
    </row>
    <row r="7" spans="1:16">
      <c r="A7" s="706">
        <v>100764</v>
      </c>
      <c r="B7" s="706" t="s">
        <v>1847</v>
      </c>
      <c r="D7" s="706" t="s">
        <v>1841</v>
      </c>
      <c r="H7" s="1191"/>
      <c r="I7" s="706" t="s">
        <v>1842</v>
      </c>
      <c r="M7" s="706"/>
      <c r="N7" s="706"/>
      <c r="O7" s="706"/>
      <c r="P7" s="706"/>
    </row>
    <row r="8" spans="1:16">
      <c r="A8" s="706">
        <v>100765</v>
      </c>
      <c r="B8" s="706" t="s">
        <v>1848</v>
      </c>
      <c r="D8" s="706" t="s">
        <v>1841</v>
      </c>
      <c r="H8" s="1191"/>
      <c r="I8" s="706" t="s">
        <v>1842</v>
      </c>
      <c r="M8" s="706"/>
      <c r="N8" s="706"/>
      <c r="O8" s="706"/>
      <c r="P8" s="706"/>
    </row>
    <row r="9" spans="1:16">
      <c r="A9" s="706">
        <v>100766</v>
      </c>
      <c r="B9" s="706" t="s">
        <v>1849</v>
      </c>
      <c r="D9" s="706" t="s">
        <v>1841</v>
      </c>
      <c r="H9" s="1191"/>
      <c r="I9" s="706" t="s">
        <v>1842</v>
      </c>
      <c r="M9" s="706"/>
      <c r="N9" s="706"/>
      <c r="O9" s="706"/>
      <c r="P9" s="706"/>
    </row>
    <row r="10" spans="1:16">
      <c r="A10" s="706">
        <v>100767</v>
      </c>
      <c r="B10" s="706" t="s">
        <v>1850</v>
      </c>
      <c r="D10" s="706" t="s">
        <v>1841</v>
      </c>
      <c r="H10" s="1191"/>
      <c r="I10" s="706" t="s">
        <v>1842</v>
      </c>
      <c r="M10" s="706"/>
      <c r="N10" s="706"/>
      <c r="O10" s="706"/>
      <c r="P10" s="706"/>
    </row>
    <row r="11" spans="1:16">
      <c r="A11" s="706">
        <v>100768</v>
      </c>
      <c r="B11" s="706" t="s">
        <v>1851</v>
      </c>
      <c r="C11" s="706" t="s">
        <v>1852</v>
      </c>
      <c r="D11" s="706" t="s">
        <v>1841</v>
      </c>
      <c r="E11" s="706">
        <v>150</v>
      </c>
      <c r="F11" s="706" t="s">
        <v>1014</v>
      </c>
      <c r="G11" s="706">
        <v>409783</v>
      </c>
      <c r="H11" s="1191">
        <v>45694</v>
      </c>
      <c r="I11" s="706" t="s">
        <v>1842</v>
      </c>
      <c r="M11" s="706"/>
      <c r="N11" s="706"/>
      <c r="O11" s="706"/>
      <c r="P11" s="706"/>
    </row>
    <row r="12" spans="1:16">
      <c r="A12" s="706">
        <v>100769</v>
      </c>
      <c r="B12" s="706" t="s">
        <v>1853</v>
      </c>
      <c r="C12" s="706" t="s">
        <v>1852</v>
      </c>
      <c r="D12" s="706" t="s">
        <v>1841</v>
      </c>
      <c r="E12" s="706">
        <v>128.4</v>
      </c>
      <c r="F12" s="706" t="s">
        <v>1014</v>
      </c>
      <c r="G12" s="706">
        <v>408639</v>
      </c>
      <c r="H12" s="1191">
        <v>45448</v>
      </c>
      <c r="I12" s="706" t="s">
        <v>1842</v>
      </c>
      <c r="M12" s="706"/>
      <c r="N12" s="706"/>
      <c r="O12" s="706"/>
      <c r="P12" s="706"/>
    </row>
    <row r="13" spans="1:16">
      <c r="A13" s="706">
        <v>100770</v>
      </c>
      <c r="B13" s="706" t="s">
        <v>1854</v>
      </c>
      <c r="C13" s="706" t="s">
        <v>1852</v>
      </c>
      <c r="D13" s="706" t="s">
        <v>1841</v>
      </c>
      <c r="E13" s="706">
        <v>292</v>
      </c>
      <c r="F13" s="706" t="s">
        <v>1014</v>
      </c>
      <c r="G13" s="706">
        <v>411822</v>
      </c>
      <c r="H13" s="1191">
        <v>46078</v>
      </c>
      <c r="I13" s="706" t="s">
        <v>1842</v>
      </c>
      <c r="M13" s="706"/>
      <c r="N13" s="706"/>
      <c r="O13" s="706"/>
      <c r="P13" s="706"/>
    </row>
    <row r="14" spans="1:16">
      <c r="A14" s="706">
        <v>100771</v>
      </c>
      <c r="B14" s="706" t="s">
        <v>1855</v>
      </c>
      <c r="D14" s="706" t="s">
        <v>1841</v>
      </c>
      <c r="H14" s="1191"/>
      <c r="I14" s="706" t="s">
        <v>1842</v>
      </c>
      <c r="M14" s="706"/>
      <c r="N14" s="706"/>
      <c r="O14" s="706"/>
      <c r="P14" s="706"/>
    </row>
    <row r="15" spans="1:16">
      <c r="A15" s="706">
        <v>100772</v>
      </c>
      <c r="B15" s="706" t="s">
        <v>1856</v>
      </c>
      <c r="C15" s="706" t="s">
        <v>1852</v>
      </c>
      <c r="D15" s="706" t="s">
        <v>1841</v>
      </c>
      <c r="E15" s="706">
        <v>63.75</v>
      </c>
      <c r="F15" s="706" t="s">
        <v>1014</v>
      </c>
      <c r="G15" s="706">
        <v>409768</v>
      </c>
      <c r="H15" s="1191">
        <v>45692</v>
      </c>
      <c r="I15" s="706" t="s">
        <v>1842</v>
      </c>
      <c r="M15" s="706"/>
      <c r="N15" s="706"/>
      <c r="O15" s="706"/>
      <c r="P15" s="706"/>
    </row>
    <row r="16" spans="1:16">
      <c r="A16" s="706">
        <v>100773</v>
      </c>
      <c r="B16" s="706" t="s">
        <v>1857</v>
      </c>
      <c r="D16" s="706" t="s">
        <v>1841</v>
      </c>
      <c r="H16" s="1191"/>
      <c r="I16" s="706" t="s">
        <v>1842</v>
      </c>
      <c r="M16" s="706"/>
      <c r="N16" s="706"/>
      <c r="O16" s="706"/>
      <c r="P16" s="706"/>
    </row>
    <row r="17" spans="1:16">
      <c r="A17" s="706">
        <v>100774</v>
      </c>
      <c r="B17" s="706" t="s">
        <v>1858</v>
      </c>
      <c r="D17" s="706" t="s">
        <v>1841</v>
      </c>
      <c r="H17" s="1191"/>
      <c r="I17" s="706" t="s">
        <v>1842</v>
      </c>
      <c r="M17" s="706"/>
      <c r="N17" s="706"/>
      <c r="O17" s="706"/>
      <c r="P17" s="706"/>
    </row>
    <row r="18" spans="1:16">
      <c r="A18" s="706">
        <v>100775</v>
      </c>
      <c r="B18" s="706" t="s">
        <v>1859</v>
      </c>
      <c r="D18" s="706" t="s">
        <v>1841</v>
      </c>
      <c r="H18" s="1191"/>
      <c r="I18" s="706" t="s">
        <v>1842</v>
      </c>
      <c r="M18" s="706"/>
      <c r="N18" s="706"/>
      <c r="O18" s="706"/>
      <c r="P18" s="706"/>
    </row>
    <row r="19" spans="1:16">
      <c r="A19" s="706">
        <v>100776</v>
      </c>
      <c r="B19" s="706" t="s">
        <v>1860</v>
      </c>
      <c r="D19" s="706" t="s">
        <v>1841</v>
      </c>
      <c r="H19" s="1191"/>
      <c r="I19" s="706" t="s">
        <v>1842</v>
      </c>
      <c r="M19" s="706"/>
      <c r="N19" s="706"/>
      <c r="O19" s="706"/>
      <c r="P19" s="706"/>
    </row>
    <row r="20" spans="1:16">
      <c r="A20" s="706">
        <v>100777</v>
      </c>
      <c r="B20" s="706" t="s">
        <v>1861</v>
      </c>
      <c r="D20" s="706" t="s">
        <v>1841</v>
      </c>
      <c r="H20" s="1191"/>
      <c r="I20" s="706" t="s">
        <v>1842</v>
      </c>
      <c r="M20" s="706"/>
      <c r="N20" s="706"/>
      <c r="O20" s="706"/>
      <c r="P20" s="706"/>
    </row>
    <row r="21" spans="1:16">
      <c r="A21" s="706">
        <v>100778</v>
      </c>
      <c r="B21" s="706" t="s">
        <v>1862</v>
      </c>
      <c r="D21" s="706" t="s">
        <v>1841</v>
      </c>
      <c r="H21" s="1191"/>
      <c r="I21" s="706" t="s">
        <v>1842</v>
      </c>
      <c r="M21" s="706"/>
      <c r="N21" s="706"/>
      <c r="O21" s="706"/>
      <c r="P21" s="706"/>
    </row>
    <row r="22" spans="1:16">
      <c r="A22" s="706">
        <v>100779</v>
      </c>
      <c r="B22" s="706" t="s">
        <v>1863</v>
      </c>
      <c r="D22" s="706" t="s">
        <v>1841</v>
      </c>
      <c r="H22" s="1191"/>
      <c r="I22" s="706" t="s">
        <v>1842</v>
      </c>
      <c r="M22" s="706"/>
      <c r="N22" s="706"/>
      <c r="O22" s="706"/>
      <c r="P22" s="706"/>
    </row>
    <row r="23" spans="1:16">
      <c r="A23" s="706">
        <v>100780</v>
      </c>
      <c r="B23" s="706" t="s">
        <v>1864</v>
      </c>
      <c r="D23" s="706" t="s">
        <v>1841</v>
      </c>
      <c r="H23" s="1191"/>
      <c r="I23" s="706" t="s">
        <v>1842</v>
      </c>
      <c r="M23" s="706"/>
      <c r="N23" s="706"/>
      <c r="O23" s="706"/>
      <c r="P23" s="706"/>
    </row>
    <row r="24" spans="1:16">
      <c r="A24" s="706">
        <v>100781</v>
      </c>
      <c r="B24" s="706" t="s">
        <v>1865</v>
      </c>
      <c r="D24" s="706" t="s">
        <v>1841</v>
      </c>
      <c r="H24" s="1191"/>
      <c r="I24" s="706" t="s">
        <v>1842</v>
      </c>
      <c r="M24" s="706"/>
      <c r="N24" s="706"/>
      <c r="O24" s="706"/>
      <c r="P24" s="706"/>
    </row>
    <row r="25" spans="1:16">
      <c r="A25" s="706">
        <v>100782</v>
      </c>
      <c r="B25" s="706" t="s">
        <v>1866</v>
      </c>
      <c r="D25" s="706" t="s">
        <v>1841</v>
      </c>
      <c r="H25" s="1191"/>
      <c r="I25" s="706" t="s">
        <v>1842</v>
      </c>
      <c r="M25" s="706"/>
      <c r="N25" s="706"/>
      <c r="O25" s="706"/>
      <c r="P25" s="706"/>
    </row>
    <row r="26" spans="1:16">
      <c r="A26" s="706">
        <v>100783</v>
      </c>
      <c r="B26" s="706" t="s">
        <v>1867</v>
      </c>
      <c r="D26" s="706" t="s">
        <v>1841</v>
      </c>
      <c r="H26" s="1191"/>
      <c r="I26" s="706" t="s">
        <v>1842</v>
      </c>
      <c r="M26" s="706"/>
      <c r="N26" s="706"/>
      <c r="O26" s="706"/>
      <c r="P26" s="706"/>
    </row>
    <row r="27" spans="1:16">
      <c r="A27" s="706">
        <v>100784</v>
      </c>
      <c r="B27" s="706" t="s">
        <v>1868</v>
      </c>
      <c r="D27" s="706" t="s">
        <v>1841</v>
      </c>
      <c r="H27" s="1191"/>
      <c r="I27" s="706" t="s">
        <v>1842</v>
      </c>
      <c r="M27" s="706"/>
      <c r="N27" s="706"/>
      <c r="O27" s="706"/>
      <c r="P27" s="706"/>
    </row>
    <row r="28" spans="1:16">
      <c r="A28" s="706">
        <v>100785</v>
      </c>
      <c r="B28" s="706" t="s">
        <v>1869</v>
      </c>
      <c r="D28" s="706" t="s">
        <v>1841</v>
      </c>
      <c r="H28" s="1191"/>
      <c r="I28" s="706" t="s">
        <v>1842</v>
      </c>
      <c r="M28" s="706"/>
      <c r="N28" s="706"/>
      <c r="O28" s="706"/>
      <c r="P28" s="706"/>
    </row>
    <row r="29" spans="1:16">
      <c r="A29" s="706">
        <v>100786</v>
      </c>
      <c r="B29" s="706" t="s">
        <v>1870</v>
      </c>
      <c r="D29" s="706" t="s">
        <v>1841</v>
      </c>
      <c r="H29" s="1191"/>
      <c r="I29" s="706" t="s">
        <v>1842</v>
      </c>
      <c r="M29" s="706"/>
      <c r="N29" s="706"/>
      <c r="O29" s="706"/>
      <c r="P29" s="706"/>
    </row>
    <row r="30" spans="1:16">
      <c r="A30" s="706">
        <v>100787</v>
      </c>
      <c r="B30" s="706" t="s">
        <v>1871</v>
      </c>
      <c r="D30" s="706" t="s">
        <v>1841</v>
      </c>
      <c r="H30" s="1191"/>
      <c r="I30" s="706" t="s">
        <v>1842</v>
      </c>
      <c r="M30" s="706"/>
      <c r="N30" s="706"/>
      <c r="O30" s="706"/>
      <c r="P30" s="706"/>
    </row>
    <row r="31" spans="1:16">
      <c r="A31" s="706">
        <v>100788</v>
      </c>
      <c r="B31" s="706" t="s">
        <v>1872</v>
      </c>
      <c r="D31" s="706" t="s">
        <v>1841</v>
      </c>
      <c r="H31" s="1191"/>
      <c r="I31" s="706" t="s">
        <v>1842</v>
      </c>
      <c r="M31" s="706"/>
      <c r="N31" s="706"/>
      <c r="O31" s="706"/>
      <c r="P31" s="706"/>
    </row>
    <row r="32" spans="1:16">
      <c r="A32" s="706">
        <v>100789</v>
      </c>
      <c r="B32" s="706" t="s">
        <v>1873</v>
      </c>
      <c r="C32" s="706" t="s">
        <v>1852</v>
      </c>
      <c r="D32" s="706" t="s">
        <v>1841</v>
      </c>
      <c r="E32" s="706">
        <v>204.25</v>
      </c>
      <c r="F32" s="706" t="s">
        <v>1014</v>
      </c>
      <c r="G32" s="706">
        <v>410889</v>
      </c>
      <c r="H32" s="1191">
        <v>45902</v>
      </c>
      <c r="I32" s="706" t="s">
        <v>1842</v>
      </c>
      <c r="M32" s="706"/>
      <c r="N32" s="706"/>
      <c r="O32" s="706"/>
      <c r="P32" s="706"/>
    </row>
    <row r="33" spans="1:16">
      <c r="A33" s="706">
        <v>100790</v>
      </c>
      <c r="B33" s="706" t="s">
        <v>1874</v>
      </c>
      <c r="C33" s="706" t="s">
        <v>1852</v>
      </c>
      <c r="D33" s="706" t="s">
        <v>1841</v>
      </c>
      <c r="E33" s="706">
        <v>88.8</v>
      </c>
      <c r="F33" s="706" t="s">
        <v>1014</v>
      </c>
      <c r="G33" s="706">
        <v>408639</v>
      </c>
      <c r="H33" s="1191">
        <v>45448</v>
      </c>
      <c r="I33" s="706" t="s">
        <v>1842</v>
      </c>
      <c r="M33" s="706"/>
      <c r="N33" s="706"/>
      <c r="O33" s="706"/>
      <c r="P33" s="706"/>
    </row>
    <row r="34" spans="1:16">
      <c r="A34" s="706">
        <v>100791</v>
      </c>
      <c r="B34" s="706" t="s">
        <v>1875</v>
      </c>
      <c r="C34" s="706" t="s">
        <v>1852</v>
      </c>
      <c r="D34" s="706" t="s">
        <v>1841</v>
      </c>
      <c r="E34" s="706">
        <v>95</v>
      </c>
      <c r="F34" s="706" t="s">
        <v>1014</v>
      </c>
      <c r="G34" s="706">
        <v>411633</v>
      </c>
      <c r="H34" s="1191">
        <v>46051</v>
      </c>
      <c r="I34" s="706" t="s">
        <v>1842</v>
      </c>
      <c r="M34" s="706"/>
      <c r="N34" s="706"/>
      <c r="O34" s="706"/>
      <c r="P34" s="706"/>
    </row>
    <row r="35" spans="1:16">
      <c r="A35" s="706">
        <v>100792</v>
      </c>
      <c r="B35" s="706" t="s">
        <v>1876</v>
      </c>
      <c r="D35" s="706" t="s">
        <v>1841</v>
      </c>
      <c r="H35" s="1191"/>
      <c r="I35" s="706" t="s">
        <v>1842</v>
      </c>
      <c r="M35" s="706"/>
      <c r="N35" s="706"/>
      <c r="O35" s="706"/>
      <c r="P35" s="706"/>
    </row>
    <row r="36" spans="1:16">
      <c r="A36" s="706">
        <v>100793</v>
      </c>
      <c r="B36" s="706" t="s">
        <v>1877</v>
      </c>
      <c r="C36" s="706" t="s">
        <v>1852</v>
      </c>
      <c r="D36" s="706" t="s">
        <v>1841</v>
      </c>
      <c r="E36" s="706">
        <v>215</v>
      </c>
      <c r="F36" s="706" t="s">
        <v>1014</v>
      </c>
      <c r="G36" s="706">
        <v>411470</v>
      </c>
      <c r="H36" s="1191">
        <v>46027</v>
      </c>
      <c r="I36" s="706" t="s">
        <v>1842</v>
      </c>
      <c r="M36" s="706"/>
      <c r="N36" s="706"/>
      <c r="O36" s="706"/>
      <c r="P36" s="706"/>
    </row>
    <row r="37" spans="1:16">
      <c r="A37" s="706">
        <v>100794</v>
      </c>
      <c r="B37" s="706" t="s">
        <v>1878</v>
      </c>
      <c r="D37" s="706" t="s">
        <v>1841</v>
      </c>
      <c r="H37" s="1191"/>
      <c r="I37" s="706" t="s">
        <v>1842</v>
      </c>
      <c r="M37" s="706"/>
      <c r="N37" s="706"/>
      <c r="O37" s="706"/>
      <c r="P37" s="706"/>
    </row>
    <row r="38" spans="1:16">
      <c r="A38" s="706">
        <v>100795</v>
      </c>
      <c r="B38" s="706" t="s">
        <v>1879</v>
      </c>
      <c r="D38" s="706" t="s">
        <v>1841</v>
      </c>
      <c r="H38" s="1191"/>
      <c r="I38" s="706" t="s">
        <v>1842</v>
      </c>
      <c r="M38" s="706"/>
      <c r="N38" s="706"/>
      <c r="O38" s="706"/>
      <c r="P38" s="706"/>
    </row>
    <row r="39" spans="1:16">
      <c r="A39" s="706">
        <v>100796</v>
      </c>
      <c r="B39" s="706" t="s">
        <v>1880</v>
      </c>
      <c r="D39" s="706" t="s">
        <v>1841</v>
      </c>
      <c r="H39" s="1191"/>
      <c r="I39" s="706" t="s">
        <v>1842</v>
      </c>
      <c r="M39" s="706"/>
      <c r="N39" s="706"/>
      <c r="O39" s="706"/>
      <c r="P39" s="706"/>
    </row>
    <row r="40" spans="1:16">
      <c r="A40" s="706">
        <v>100797</v>
      </c>
      <c r="B40" s="706" t="s">
        <v>1881</v>
      </c>
      <c r="D40" s="706" t="s">
        <v>1841</v>
      </c>
      <c r="H40" s="1191"/>
      <c r="I40" s="706" t="s">
        <v>1842</v>
      </c>
      <c r="M40" s="706"/>
      <c r="N40" s="706"/>
      <c r="O40" s="706"/>
      <c r="P40" s="706"/>
    </row>
    <row r="41" spans="1:16">
      <c r="A41" s="706">
        <v>100798</v>
      </c>
      <c r="B41" s="706" t="s">
        <v>1882</v>
      </c>
      <c r="D41" s="706" t="s">
        <v>1841</v>
      </c>
      <c r="H41" s="1191"/>
      <c r="I41" s="706" t="s">
        <v>1842</v>
      </c>
      <c r="M41" s="706"/>
      <c r="N41" s="706"/>
      <c r="O41" s="706"/>
      <c r="P41" s="706"/>
    </row>
    <row r="42" spans="1:16">
      <c r="A42" s="706">
        <v>100799</v>
      </c>
      <c r="B42" s="706" t="s">
        <v>1883</v>
      </c>
      <c r="D42" s="706" t="s">
        <v>1841</v>
      </c>
      <c r="H42" s="1191"/>
      <c r="I42" s="706" t="s">
        <v>1842</v>
      </c>
      <c r="M42" s="706"/>
      <c r="N42" s="706"/>
      <c r="O42" s="706"/>
      <c r="P42" s="706"/>
    </row>
    <row r="43" spans="1:16">
      <c r="A43" s="706">
        <v>100800</v>
      </c>
      <c r="B43" s="706" t="s">
        <v>1884</v>
      </c>
      <c r="D43" s="706" t="s">
        <v>1841</v>
      </c>
      <c r="H43" s="1191"/>
      <c r="I43" s="706" t="s">
        <v>1842</v>
      </c>
      <c r="M43" s="706"/>
      <c r="N43" s="706"/>
      <c r="O43" s="706"/>
      <c r="P43" s="706"/>
    </row>
    <row r="44" spans="1:16">
      <c r="A44" s="706">
        <v>100847</v>
      </c>
      <c r="B44" s="706" t="s">
        <v>1885</v>
      </c>
      <c r="D44" s="706" t="s">
        <v>1841</v>
      </c>
      <c r="H44" s="1191"/>
      <c r="I44" s="706" t="s">
        <v>1886</v>
      </c>
      <c r="M44" s="706"/>
      <c r="N44" s="706"/>
      <c r="O44" s="706"/>
      <c r="P44" s="706"/>
    </row>
    <row r="45" spans="1:16">
      <c r="A45" s="706">
        <v>100848</v>
      </c>
      <c r="B45" s="706" t="s">
        <v>1887</v>
      </c>
      <c r="D45" s="706" t="s">
        <v>1841</v>
      </c>
      <c r="H45" s="1191"/>
      <c r="I45" s="706" t="s">
        <v>1886</v>
      </c>
      <c r="M45" s="706"/>
      <c r="N45" s="706"/>
      <c r="O45" s="706"/>
      <c r="P45" s="706"/>
    </row>
    <row r="46" spans="1:16">
      <c r="A46" s="706">
        <v>100849</v>
      </c>
      <c r="B46" s="706" t="s">
        <v>1888</v>
      </c>
      <c r="D46" s="706" t="s">
        <v>1841</v>
      </c>
      <c r="H46" s="1191"/>
      <c r="I46" s="706" t="s">
        <v>1886</v>
      </c>
      <c r="M46" s="706"/>
      <c r="N46" s="706"/>
      <c r="O46" s="706"/>
      <c r="P46" s="706"/>
    </row>
    <row r="47" spans="1:16">
      <c r="A47" s="706">
        <v>100850</v>
      </c>
      <c r="B47" s="706" t="s">
        <v>1889</v>
      </c>
      <c r="D47" s="706" t="s">
        <v>1841</v>
      </c>
      <c r="H47" s="1191"/>
      <c r="I47" s="706" t="s">
        <v>1886</v>
      </c>
      <c r="M47" s="706"/>
      <c r="N47" s="706"/>
      <c r="O47" s="706"/>
      <c r="P47" s="706"/>
    </row>
    <row r="48" spans="1:16">
      <c r="A48" s="706">
        <v>100851</v>
      </c>
      <c r="B48" s="706" t="s">
        <v>1890</v>
      </c>
      <c r="D48" s="706" t="s">
        <v>1841</v>
      </c>
      <c r="H48" s="1191"/>
      <c r="I48" s="706" t="s">
        <v>1886</v>
      </c>
      <c r="M48" s="706"/>
      <c r="N48" s="706"/>
      <c r="O48" s="706"/>
      <c r="P48" s="706"/>
    </row>
    <row r="49" spans="1:16">
      <c r="A49" s="706">
        <v>100852</v>
      </c>
      <c r="B49" s="706" t="s">
        <v>1891</v>
      </c>
      <c r="D49" s="706" t="s">
        <v>1841</v>
      </c>
      <c r="H49" s="1191"/>
      <c r="I49" s="706" t="s">
        <v>1886</v>
      </c>
      <c r="M49" s="706"/>
      <c r="N49" s="706"/>
      <c r="O49" s="706"/>
      <c r="P49" s="706"/>
    </row>
    <row r="50" spans="1:16">
      <c r="A50" s="706">
        <v>100853</v>
      </c>
      <c r="B50" s="706" t="s">
        <v>1892</v>
      </c>
      <c r="D50" s="706" t="s">
        <v>1841</v>
      </c>
      <c r="H50" s="1191"/>
      <c r="I50" s="706" t="s">
        <v>1886</v>
      </c>
      <c r="M50" s="706"/>
      <c r="N50" s="706"/>
      <c r="O50" s="706"/>
      <c r="P50" s="706"/>
    </row>
    <row r="51" spans="1:16">
      <c r="A51" s="706">
        <v>100854</v>
      </c>
      <c r="B51" s="706" t="s">
        <v>1893</v>
      </c>
      <c r="D51" s="706" t="s">
        <v>1841</v>
      </c>
      <c r="H51" s="1191"/>
      <c r="I51" s="706" t="s">
        <v>1886</v>
      </c>
      <c r="M51" s="706"/>
      <c r="N51" s="706"/>
      <c r="O51" s="706"/>
      <c r="P51" s="706"/>
    </row>
    <row r="52" spans="1:16">
      <c r="A52" s="706">
        <v>100855</v>
      </c>
      <c r="B52" s="706" t="s">
        <v>1894</v>
      </c>
      <c r="D52" s="706" t="s">
        <v>1841</v>
      </c>
      <c r="H52" s="1191"/>
      <c r="I52" s="706" t="s">
        <v>1886</v>
      </c>
      <c r="M52" s="706"/>
      <c r="N52" s="706"/>
      <c r="O52" s="706"/>
      <c r="P52" s="706"/>
    </row>
    <row r="53" spans="1:16">
      <c r="A53" s="706">
        <v>100856</v>
      </c>
      <c r="B53" s="706" t="s">
        <v>1895</v>
      </c>
      <c r="C53" s="706" t="s">
        <v>1896</v>
      </c>
      <c r="D53" s="706" t="s">
        <v>1841</v>
      </c>
      <c r="E53" s="706">
        <v>154.35</v>
      </c>
      <c r="F53" s="706" t="s">
        <v>1014</v>
      </c>
      <c r="G53" s="706">
        <v>40219</v>
      </c>
      <c r="H53" s="1191">
        <v>43899</v>
      </c>
      <c r="I53" s="706" t="s">
        <v>1886</v>
      </c>
      <c r="M53" s="706"/>
      <c r="N53" s="706"/>
      <c r="O53" s="706"/>
      <c r="P53" s="706"/>
    </row>
    <row r="54" spans="1:16">
      <c r="A54" s="706">
        <v>100857</v>
      </c>
      <c r="B54" s="706" t="s">
        <v>1897</v>
      </c>
      <c r="D54" s="706" t="s">
        <v>1841</v>
      </c>
      <c r="H54" s="1191"/>
      <c r="I54" s="706" t="s">
        <v>1886</v>
      </c>
      <c r="M54" s="706"/>
      <c r="N54" s="706"/>
      <c r="O54" s="706"/>
      <c r="P54" s="706"/>
    </row>
    <row r="55" spans="1:16">
      <c r="A55" s="706">
        <v>100858</v>
      </c>
      <c r="B55" s="706" t="s">
        <v>1898</v>
      </c>
      <c r="D55" s="706" t="s">
        <v>1841</v>
      </c>
      <c r="H55" s="1191"/>
      <c r="I55" s="706" t="s">
        <v>1886</v>
      </c>
      <c r="M55" s="706"/>
      <c r="N55" s="706"/>
      <c r="O55" s="706"/>
      <c r="P55" s="706"/>
    </row>
    <row r="56" spans="1:16">
      <c r="A56" s="706">
        <v>100859</v>
      </c>
      <c r="B56" s="706" t="s">
        <v>1899</v>
      </c>
      <c r="D56" s="706" t="s">
        <v>1841</v>
      </c>
      <c r="H56" s="1191"/>
      <c r="I56" s="706" t="s">
        <v>1842</v>
      </c>
      <c r="M56" s="706"/>
      <c r="N56" s="706"/>
      <c r="O56" s="706"/>
      <c r="P56" s="706"/>
    </row>
    <row r="57" spans="1:16">
      <c r="A57" s="706">
        <v>100860</v>
      </c>
      <c r="B57" s="706" t="s">
        <v>1900</v>
      </c>
      <c r="D57" s="706" t="s">
        <v>1841</v>
      </c>
      <c r="H57" s="1191"/>
      <c r="I57" s="706" t="s">
        <v>1842</v>
      </c>
      <c r="M57" s="706"/>
      <c r="N57" s="706"/>
      <c r="O57" s="706"/>
      <c r="P57" s="706"/>
    </row>
    <row r="58" spans="1:16">
      <c r="A58" s="706">
        <v>100861</v>
      </c>
      <c r="B58" s="706" t="s">
        <v>1901</v>
      </c>
      <c r="D58" s="706" t="s">
        <v>1841</v>
      </c>
      <c r="H58" s="1191"/>
      <c r="I58" s="706" t="s">
        <v>1842</v>
      </c>
      <c r="M58" s="706"/>
      <c r="N58" s="706"/>
      <c r="O58" s="706"/>
      <c r="P58" s="706"/>
    </row>
    <row r="59" spans="1:16">
      <c r="A59" s="706">
        <v>100862</v>
      </c>
      <c r="B59" s="706" t="s">
        <v>1902</v>
      </c>
      <c r="D59" s="706" t="s">
        <v>1841</v>
      </c>
      <c r="H59" s="1191"/>
      <c r="I59" s="706" t="s">
        <v>1842</v>
      </c>
      <c r="M59" s="706"/>
      <c r="N59" s="706"/>
      <c r="O59" s="706"/>
      <c r="P59" s="706"/>
    </row>
    <row r="60" spans="1:16">
      <c r="A60" s="706">
        <v>100863</v>
      </c>
      <c r="B60" s="706" t="s">
        <v>1903</v>
      </c>
      <c r="D60" s="706" t="s">
        <v>1841</v>
      </c>
      <c r="H60" s="1191"/>
      <c r="I60" s="706" t="s">
        <v>1842</v>
      </c>
      <c r="M60" s="706"/>
      <c r="N60" s="706"/>
      <c r="O60" s="706"/>
      <c r="P60" s="706"/>
    </row>
    <row r="61" spans="1:16">
      <c r="A61" s="706">
        <v>100864</v>
      </c>
      <c r="B61" s="706" t="s">
        <v>1904</v>
      </c>
      <c r="D61" s="706" t="s">
        <v>1841</v>
      </c>
      <c r="H61" s="1191"/>
      <c r="I61" s="706" t="s">
        <v>1842</v>
      </c>
      <c r="M61" s="706"/>
      <c r="N61" s="706"/>
      <c r="O61" s="706"/>
      <c r="P61" s="706"/>
    </row>
    <row r="62" spans="1:16">
      <c r="A62" s="706">
        <v>100865</v>
      </c>
      <c r="B62" s="706" t="s">
        <v>1905</v>
      </c>
      <c r="D62" s="706" t="s">
        <v>1841</v>
      </c>
      <c r="H62" s="1191"/>
      <c r="I62" s="706" t="s">
        <v>1842</v>
      </c>
      <c r="M62" s="706"/>
      <c r="N62" s="706"/>
      <c r="O62" s="706"/>
      <c r="P62" s="706"/>
    </row>
    <row r="63" spans="1:16">
      <c r="A63" s="706">
        <v>100866</v>
      </c>
      <c r="B63" s="706" t="s">
        <v>1906</v>
      </c>
      <c r="D63" s="706" t="s">
        <v>1841</v>
      </c>
      <c r="H63" s="1191"/>
      <c r="I63" s="706" t="s">
        <v>1842</v>
      </c>
      <c r="M63" s="706"/>
      <c r="N63" s="706"/>
      <c r="O63" s="706"/>
      <c r="P63" s="706"/>
    </row>
    <row r="64" spans="1:16">
      <c r="A64" s="706">
        <v>100867</v>
      </c>
      <c r="B64" s="706" t="s">
        <v>1907</v>
      </c>
      <c r="C64" s="706" t="s">
        <v>8185</v>
      </c>
      <c r="D64" s="706" t="s">
        <v>1841</v>
      </c>
      <c r="E64" s="706">
        <v>369.98</v>
      </c>
      <c r="F64" s="706" t="s">
        <v>1014</v>
      </c>
      <c r="G64" s="706">
        <v>407347</v>
      </c>
      <c r="H64" s="1191">
        <v>45215</v>
      </c>
      <c r="I64" s="706" t="s">
        <v>1842</v>
      </c>
      <c r="M64" s="706"/>
      <c r="N64" s="706"/>
      <c r="O64" s="706"/>
      <c r="P64" s="706"/>
    </row>
    <row r="65" spans="1:16">
      <c r="A65" s="706">
        <v>100868</v>
      </c>
      <c r="B65" s="706" t="s">
        <v>1909</v>
      </c>
      <c r="C65" s="706" t="s">
        <v>1852</v>
      </c>
      <c r="D65" s="706" t="s">
        <v>1841</v>
      </c>
      <c r="E65" s="706">
        <v>142.44999999999999</v>
      </c>
      <c r="F65" s="706" t="s">
        <v>1014</v>
      </c>
      <c r="G65" s="706">
        <v>408944</v>
      </c>
      <c r="H65" s="1191">
        <v>45511</v>
      </c>
      <c r="I65" s="706" t="s">
        <v>1842</v>
      </c>
      <c r="M65" s="706"/>
      <c r="N65" s="706"/>
      <c r="O65" s="706"/>
      <c r="P65" s="706"/>
    </row>
    <row r="66" spans="1:16">
      <c r="A66" s="706">
        <v>100869</v>
      </c>
      <c r="B66" s="706" t="s">
        <v>1910</v>
      </c>
      <c r="C66" s="706" t="s">
        <v>8185</v>
      </c>
      <c r="D66" s="706" t="s">
        <v>1841</v>
      </c>
      <c r="E66" s="706">
        <v>175.34</v>
      </c>
      <c r="F66" s="706" t="s">
        <v>1014</v>
      </c>
      <c r="G66" s="706">
        <v>406851</v>
      </c>
      <c r="H66" s="1191">
        <v>45118</v>
      </c>
      <c r="I66" s="706" t="s">
        <v>1842</v>
      </c>
      <c r="M66" s="706"/>
      <c r="N66" s="706"/>
      <c r="O66" s="706"/>
      <c r="P66" s="706"/>
    </row>
    <row r="67" spans="1:16">
      <c r="A67" s="706">
        <v>100870</v>
      </c>
      <c r="B67" s="706" t="s">
        <v>1911</v>
      </c>
      <c r="C67" s="706" t="s">
        <v>8185</v>
      </c>
      <c r="D67" s="706" t="s">
        <v>1841</v>
      </c>
      <c r="E67" s="706">
        <v>159.36000000000001</v>
      </c>
      <c r="F67" s="706" t="s">
        <v>1014</v>
      </c>
      <c r="G67" s="706">
        <v>406503</v>
      </c>
      <c r="H67" s="1191">
        <v>45040</v>
      </c>
      <c r="I67" s="706" t="s">
        <v>1842</v>
      </c>
      <c r="M67" s="706"/>
      <c r="N67" s="706"/>
      <c r="O67" s="706"/>
      <c r="P67" s="706"/>
    </row>
    <row r="68" spans="1:16">
      <c r="A68" s="706">
        <v>100871</v>
      </c>
      <c r="B68" s="706" t="s">
        <v>1912</v>
      </c>
      <c r="D68" s="706" t="s">
        <v>1841</v>
      </c>
      <c r="H68" s="1191"/>
      <c r="I68" s="706" t="s">
        <v>1842</v>
      </c>
      <c r="M68" s="706"/>
      <c r="N68" s="706"/>
      <c r="O68" s="706"/>
      <c r="P68" s="706"/>
    </row>
    <row r="69" spans="1:16">
      <c r="A69" s="706">
        <v>100872</v>
      </c>
      <c r="B69" s="706" t="s">
        <v>1913</v>
      </c>
      <c r="C69" s="706" t="s">
        <v>1852</v>
      </c>
      <c r="D69" s="706" t="s">
        <v>1841</v>
      </c>
      <c r="E69" s="706">
        <v>81.900000000000006</v>
      </c>
      <c r="F69" s="706" t="s">
        <v>1014</v>
      </c>
      <c r="G69" s="706">
        <v>409967</v>
      </c>
      <c r="H69" s="1191">
        <v>45726</v>
      </c>
      <c r="I69" s="706" t="s">
        <v>1842</v>
      </c>
      <c r="M69" s="706"/>
      <c r="N69" s="706"/>
      <c r="O69" s="706"/>
      <c r="P69" s="706"/>
    </row>
    <row r="70" spans="1:16">
      <c r="A70" s="706">
        <v>100873</v>
      </c>
      <c r="B70" s="706" t="s">
        <v>1914</v>
      </c>
      <c r="D70" s="706" t="s">
        <v>1841</v>
      </c>
      <c r="H70" s="1191"/>
      <c r="I70" s="706" t="s">
        <v>1842</v>
      </c>
      <c r="M70" s="706"/>
      <c r="N70" s="706"/>
      <c r="O70" s="706"/>
      <c r="P70" s="706"/>
    </row>
    <row r="71" spans="1:16">
      <c r="A71" s="706">
        <v>100874</v>
      </c>
      <c r="B71" s="706" t="s">
        <v>1915</v>
      </c>
      <c r="D71" s="706" t="s">
        <v>1841</v>
      </c>
      <c r="H71" s="1191"/>
      <c r="I71" s="706" t="s">
        <v>1842</v>
      </c>
      <c r="M71" s="706"/>
      <c r="N71" s="706"/>
      <c r="O71" s="706"/>
      <c r="P71" s="706"/>
    </row>
    <row r="72" spans="1:16">
      <c r="A72" s="706">
        <v>100875</v>
      </c>
      <c r="B72" s="706" t="s">
        <v>1916</v>
      </c>
      <c r="D72" s="706" t="s">
        <v>1841</v>
      </c>
      <c r="H72" s="1191"/>
      <c r="I72" s="706" t="s">
        <v>1842</v>
      </c>
      <c r="M72" s="706"/>
      <c r="N72" s="706"/>
      <c r="O72" s="706"/>
      <c r="P72" s="706"/>
    </row>
    <row r="73" spans="1:16">
      <c r="A73" s="706">
        <v>100876</v>
      </c>
      <c r="B73" s="706" t="s">
        <v>1917</v>
      </c>
      <c r="D73" s="706" t="s">
        <v>1841</v>
      </c>
      <c r="H73" s="1191"/>
      <c r="I73" s="706" t="s">
        <v>1842</v>
      </c>
      <c r="M73" s="706"/>
      <c r="N73" s="706"/>
      <c r="O73" s="706"/>
      <c r="P73" s="706"/>
    </row>
    <row r="74" spans="1:16">
      <c r="A74" s="706">
        <v>100877</v>
      </c>
      <c r="B74" s="706" t="s">
        <v>1918</v>
      </c>
      <c r="D74" s="706" t="s">
        <v>1841</v>
      </c>
      <c r="H74" s="1191"/>
      <c r="I74" s="706" t="s">
        <v>1842</v>
      </c>
      <c r="M74" s="706"/>
      <c r="N74" s="706"/>
      <c r="O74" s="706"/>
      <c r="P74" s="706"/>
    </row>
    <row r="75" spans="1:16">
      <c r="A75" s="706">
        <v>100878</v>
      </c>
      <c r="B75" s="706" t="s">
        <v>1919</v>
      </c>
      <c r="D75" s="706" t="s">
        <v>1841</v>
      </c>
      <c r="H75" s="1191"/>
      <c r="I75" s="706" t="s">
        <v>1842</v>
      </c>
      <c r="M75" s="706"/>
      <c r="N75" s="706"/>
      <c r="O75" s="706"/>
      <c r="P75" s="706"/>
    </row>
    <row r="76" spans="1:16">
      <c r="A76" s="706">
        <v>100879</v>
      </c>
      <c r="B76" s="706" t="s">
        <v>1920</v>
      </c>
      <c r="D76" s="706" t="s">
        <v>1841</v>
      </c>
      <c r="H76" s="1191"/>
      <c r="I76" s="706" t="s">
        <v>1842</v>
      </c>
      <c r="M76" s="706"/>
      <c r="N76" s="706"/>
      <c r="O76" s="706"/>
      <c r="P76" s="706"/>
    </row>
    <row r="77" spans="1:16">
      <c r="A77" s="706">
        <v>100880</v>
      </c>
      <c r="B77" s="706" t="s">
        <v>1921</v>
      </c>
      <c r="D77" s="706" t="s">
        <v>1841</v>
      </c>
      <c r="H77" s="1191"/>
      <c r="I77" s="706" t="s">
        <v>1842</v>
      </c>
      <c r="M77" s="706"/>
      <c r="N77" s="706"/>
      <c r="O77" s="706"/>
      <c r="P77" s="706"/>
    </row>
    <row r="78" spans="1:16">
      <c r="A78" s="706">
        <v>100881</v>
      </c>
      <c r="B78" s="706" t="s">
        <v>1922</v>
      </c>
      <c r="D78" s="706" t="s">
        <v>1841</v>
      </c>
      <c r="H78" s="1191"/>
      <c r="I78" s="706" t="s">
        <v>1842</v>
      </c>
      <c r="M78" s="706"/>
      <c r="N78" s="706"/>
      <c r="O78" s="706"/>
      <c r="P78" s="706"/>
    </row>
    <row r="79" spans="1:16">
      <c r="A79" s="706">
        <v>100882</v>
      </c>
      <c r="B79" s="706" t="s">
        <v>1923</v>
      </c>
      <c r="D79" s="706" t="s">
        <v>1841</v>
      </c>
      <c r="H79" s="1191"/>
      <c r="I79" s="706" t="s">
        <v>1842</v>
      </c>
      <c r="M79" s="706"/>
      <c r="N79" s="706"/>
      <c r="O79" s="706"/>
      <c r="P79" s="706"/>
    </row>
    <row r="80" spans="1:16">
      <c r="A80" s="706">
        <v>100883</v>
      </c>
      <c r="B80" s="706" t="s">
        <v>1924</v>
      </c>
      <c r="D80" s="706" t="s">
        <v>1841</v>
      </c>
      <c r="H80" s="1191"/>
      <c r="I80" s="706" t="s">
        <v>1842</v>
      </c>
      <c r="M80" s="706"/>
      <c r="N80" s="706"/>
      <c r="O80" s="706"/>
      <c r="P80" s="706"/>
    </row>
    <row r="81" spans="1:16">
      <c r="A81" s="706">
        <v>100884</v>
      </c>
      <c r="B81" s="706" t="s">
        <v>1925</v>
      </c>
      <c r="D81" s="706" t="s">
        <v>1841</v>
      </c>
      <c r="H81" s="1191"/>
      <c r="I81" s="706" t="s">
        <v>1842</v>
      </c>
      <c r="M81" s="706"/>
      <c r="N81" s="706"/>
      <c r="O81" s="706"/>
      <c r="P81" s="706"/>
    </row>
    <row r="82" spans="1:16">
      <c r="A82" s="706">
        <v>100885</v>
      </c>
      <c r="B82" s="706" t="s">
        <v>1926</v>
      </c>
      <c r="D82" s="706" t="s">
        <v>1841</v>
      </c>
      <c r="H82" s="1191"/>
      <c r="I82" s="706" t="s">
        <v>1842</v>
      </c>
      <c r="M82" s="706"/>
      <c r="N82" s="706"/>
      <c r="O82" s="706"/>
      <c r="P82" s="706"/>
    </row>
    <row r="83" spans="1:16">
      <c r="A83" s="706">
        <v>100886</v>
      </c>
      <c r="B83" s="706" t="s">
        <v>1927</v>
      </c>
      <c r="D83" s="706" t="s">
        <v>1841</v>
      </c>
      <c r="H83" s="1191"/>
      <c r="I83" s="706" t="s">
        <v>1842</v>
      </c>
      <c r="M83" s="706"/>
      <c r="N83" s="706"/>
      <c r="O83" s="706"/>
      <c r="P83" s="706"/>
    </row>
    <row r="84" spans="1:16">
      <c r="A84" s="706">
        <v>100887</v>
      </c>
      <c r="B84" s="706" t="s">
        <v>1928</v>
      </c>
      <c r="D84" s="706" t="s">
        <v>1841</v>
      </c>
      <c r="H84" s="1191"/>
      <c r="I84" s="706" t="s">
        <v>1842</v>
      </c>
      <c r="M84" s="706"/>
      <c r="N84" s="706"/>
      <c r="O84" s="706"/>
      <c r="P84" s="706"/>
    </row>
    <row r="85" spans="1:16">
      <c r="A85" s="706">
        <v>100888</v>
      </c>
      <c r="B85" s="706" t="s">
        <v>1929</v>
      </c>
      <c r="C85" s="706" t="s">
        <v>1930</v>
      </c>
      <c r="D85" s="706" t="s">
        <v>1841</v>
      </c>
      <c r="E85" s="706">
        <v>194.8</v>
      </c>
      <c r="F85" s="706" t="s">
        <v>1014</v>
      </c>
      <c r="G85" s="706">
        <v>408423</v>
      </c>
      <c r="H85" s="1191">
        <v>45412</v>
      </c>
      <c r="I85" s="706" t="s">
        <v>1842</v>
      </c>
      <c r="M85" s="706"/>
      <c r="N85" s="706"/>
      <c r="O85" s="706"/>
      <c r="P85" s="706"/>
    </row>
    <row r="86" spans="1:16">
      <c r="A86" s="706">
        <v>100889</v>
      </c>
      <c r="B86" s="706" t="s">
        <v>1931</v>
      </c>
      <c r="C86" s="706" t="s">
        <v>1852</v>
      </c>
      <c r="D86" s="706" t="s">
        <v>1841</v>
      </c>
      <c r="E86" s="706">
        <v>172.9</v>
      </c>
      <c r="F86" s="706" t="s">
        <v>1014</v>
      </c>
      <c r="G86" s="706">
        <v>411049</v>
      </c>
      <c r="H86" s="1191">
        <v>45930</v>
      </c>
      <c r="I86" s="706" t="s">
        <v>1842</v>
      </c>
      <c r="M86" s="706"/>
      <c r="N86" s="706"/>
      <c r="O86" s="706"/>
      <c r="P86" s="706"/>
    </row>
    <row r="87" spans="1:16">
      <c r="A87" s="706">
        <v>100890</v>
      </c>
      <c r="B87" s="706" t="s">
        <v>1932</v>
      </c>
      <c r="C87" s="706" t="s">
        <v>1852</v>
      </c>
      <c r="D87" s="706" t="s">
        <v>1841</v>
      </c>
      <c r="E87" s="706">
        <v>77.7</v>
      </c>
      <c r="F87" s="706" t="s">
        <v>1014</v>
      </c>
      <c r="G87" s="706">
        <v>407905</v>
      </c>
      <c r="H87" s="1191">
        <v>45322</v>
      </c>
      <c r="I87" s="706" t="s">
        <v>1842</v>
      </c>
      <c r="M87" s="706"/>
      <c r="N87" s="706"/>
      <c r="O87" s="706"/>
      <c r="P87" s="706"/>
    </row>
    <row r="88" spans="1:16">
      <c r="A88" s="706">
        <v>100891</v>
      </c>
      <c r="B88" s="706" t="s">
        <v>1933</v>
      </c>
      <c r="C88" s="706" t="s">
        <v>1852</v>
      </c>
      <c r="D88" s="706" t="s">
        <v>1841</v>
      </c>
      <c r="E88" s="706">
        <v>72.8</v>
      </c>
      <c r="F88" s="706" t="s">
        <v>1014</v>
      </c>
      <c r="G88" s="706">
        <v>409612</v>
      </c>
      <c r="H88" s="1191">
        <v>45659</v>
      </c>
      <c r="I88" s="706" t="s">
        <v>1842</v>
      </c>
      <c r="M88" s="706"/>
      <c r="N88" s="706"/>
      <c r="O88" s="706"/>
      <c r="P88" s="706"/>
    </row>
    <row r="89" spans="1:16">
      <c r="A89" s="706">
        <v>100892</v>
      </c>
      <c r="B89" s="706" t="s">
        <v>1934</v>
      </c>
      <c r="D89" s="706" t="s">
        <v>1841</v>
      </c>
      <c r="H89" s="1191"/>
      <c r="I89" s="706" t="s">
        <v>1842</v>
      </c>
      <c r="M89" s="706"/>
      <c r="N89" s="706"/>
      <c r="O89" s="706"/>
      <c r="P89" s="706"/>
    </row>
    <row r="90" spans="1:16">
      <c r="A90" s="706">
        <v>100893</v>
      </c>
      <c r="B90" s="706" t="s">
        <v>1935</v>
      </c>
      <c r="C90" s="706" t="s">
        <v>1852</v>
      </c>
      <c r="D90" s="706" t="s">
        <v>1841</v>
      </c>
      <c r="E90" s="706">
        <v>61.75</v>
      </c>
      <c r="F90" s="706" t="s">
        <v>1014</v>
      </c>
      <c r="G90" s="706">
        <v>410091</v>
      </c>
      <c r="H90" s="1191">
        <v>45749</v>
      </c>
      <c r="I90" s="706" t="s">
        <v>1842</v>
      </c>
      <c r="M90" s="706"/>
      <c r="N90" s="706"/>
      <c r="O90" s="706"/>
      <c r="P90" s="706"/>
    </row>
    <row r="91" spans="1:16">
      <c r="A91" s="706">
        <v>100894</v>
      </c>
      <c r="B91" s="706" t="s">
        <v>1936</v>
      </c>
      <c r="D91" s="706" t="s">
        <v>1841</v>
      </c>
      <c r="H91" s="1191"/>
      <c r="I91" s="706" t="s">
        <v>1842</v>
      </c>
      <c r="M91" s="706"/>
      <c r="N91" s="706"/>
      <c r="O91" s="706"/>
      <c r="P91" s="706"/>
    </row>
    <row r="92" spans="1:16">
      <c r="A92" s="706">
        <v>100895</v>
      </c>
      <c r="B92" s="706" t="s">
        <v>1937</v>
      </c>
      <c r="D92" s="706" t="s">
        <v>1841</v>
      </c>
      <c r="H92" s="1191"/>
      <c r="I92" s="706" t="s">
        <v>1842</v>
      </c>
      <c r="M92" s="706"/>
      <c r="N92" s="706"/>
      <c r="O92" s="706"/>
      <c r="P92" s="706"/>
    </row>
    <row r="93" spans="1:16">
      <c r="A93" s="706">
        <v>100896</v>
      </c>
      <c r="B93" s="706" t="s">
        <v>1938</v>
      </c>
      <c r="D93" s="706" t="s">
        <v>1841</v>
      </c>
      <c r="H93" s="1191"/>
      <c r="I93" s="706" t="s">
        <v>1842</v>
      </c>
      <c r="M93" s="706"/>
      <c r="N93" s="706"/>
      <c r="O93" s="706"/>
      <c r="P93" s="706"/>
    </row>
    <row r="94" spans="1:16">
      <c r="A94" s="706">
        <v>100897</v>
      </c>
      <c r="B94" s="706" t="s">
        <v>1939</v>
      </c>
      <c r="D94" s="706" t="s">
        <v>1841</v>
      </c>
      <c r="H94" s="1191"/>
      <c r="I94" s="706" t="s">
        <v>1842</v>
      </c>
      <c r="M94" s="706"/>
      <c r="N94" s="706"/>
      <c r="O94" s="706"/>
      <c r="P94" s="706"/>
    </row>
    <row r="95" spans="1:16">
      <c r="A95" s="706">
        <v>100898</v>
      </c>
      <c r="B95" s="706" t="s">
        <v>1940</v>
      </c>
      <c r="D95" s="706" t="s">
        <v>1841</v>
      </c>
      <c r="H95" s="1191"/>
      <c r="I95" s="706" t="s">
        <v>1842</v>
      </c>
      <c r="M95" s="706"/>
      <c r="N95" s="706"/>
      <c r="O95" s="706"/>
      <c r="P95" s="706"/>
    </row>
    <row r="96" spans="1:16">
      <c r="A96" s="706">
        <v>100899</v>
      </c>
      <c r="B96" s="706" t="s">
        <v>1941</v>
      </c>
      <c r="D96" s="706" t="s">
        <v>1841</v>
      </c>
      <c r="H96" s="1191"/>
      <c r="I96" s="706" t="s">
        <v>1842</v>
      </c>
      <c r="M96" s="706"/>
      <c r="N96" s="706"/>
      <c r="O96" s="706"/>
      <c r="P96" s="706"/>
    </row>
    <row r="97" spans="1:16">
      <c r="A97" s="706">
        <v>100900</v>
      </c>
      <c r="B97" s="706" t="s">
        <v>1942</v>
      </c>
      <c r="D97" s="706" t="s">
        <v>1841</v>
      </c>
      <c r="H97" s="1191"/>
      <c r="I97" s="706" t="s">
        <v>1842</v>
      </c>
      <c r="M97" s="706"/>
      <c r="N97" s="706"/>
      <c r="O97" s="706"/>
      <c r="P97" s="706"/>
    </row>
    <row r="98" spans="1:16">
      <c r="A98" s="706">
        <v>100901</v>
      </c>
      <c r="B98" s="706" t="s">
        <v>1943</v>
      </c>
      <c r="C98" s="706" t="s">
        <v>1930</v>
      </c>
      <c r="D98" s="706" t="s">
        <v>1841</v>
      </c>
      <c r="E98" s="706">
        <v>42.5</v>
      </c>
      <c r="F98" s="706" t="s">
        <v>1014</v>
      </c>
      <c r="G98" s="706">
        <v>401014</v>
      </c>
      <c r="H98" s="1191">
        <v>44028</v>
      </c>
      <c r="I98" s="706" t="s">
        <v>1944</v>
      </c>
      <c r="M98" s="706"/>
      <c r="N98" s="706"/>
      <c r="O98" s="706"/>
      <c r="P98" s="706"/>
    </row>
    <row r="99" spans="1:16">
      <c r="A99" s="706">
        <v>101695</v>
      </c>
      <c r="B99" s="706" t="s">
        <v>1945</v>
      </c>
      <c r="D99" s="706" t="s">
        <v>1841</v>
      </c>
      <c r="H99" s="1191"/>
      <c r="I99" s="706" t="s">
        <v>1946</v>
      </c>
      <c r="M99" s="706"/>
      <c r="N99" s="706"/>
      <c r="O99" s="706"/>
      <c r="P99" s="706"/>
    </row>
    <row r="100" spans="1:16">
      <c r="A100" s="706">
        <v>101696</v>
      </c>
      <c r="B100" s="706" t="s">
        <v>1947</v>
      </c>
      <c r="D100" s="706" t="s">
        <v>1841</v>
      </c>
      <c r="H100" s="1191"/>
      <c r="I100" s="706" t="s">
        <v>1946</v>
      </c>
      <c r="M100" s="706"/>
      <c r="N100" s="706"/>
      <c r="O100" s="706"/>
      <c r="P100" s="706"/>
    </row>
    <row r="101" spans="1:16">
      <c r="A101" s="706">
        <v>101697</v>
      </c>
      <c r="B101" s="706" t="s">
        <v>1948</v>
      </c>
      <c r="D101" s="706" t="s">
        <v>1841</v>
      </c>
      <c r="H101" s="1191"/>
      <c r="I101" s="706" t="s">
        <v>1946</v>
      </c>
      <c r="M101" s="706"/>
      <c r="N101" s="706"/>
      <c r="O101" s="706"/>
      <c r="P101" s="706"/>
    </row>
    <row r="102" spans="1:16">
      <c r="A102" s="706">
        <v>101698</v>
      </c>
      <c r="B102" s="706" t="s">
        <v>1949</v>
      </c>
      <c r="D102" s="706" t="s">
        <v>1841</v>
      </c>
      <c r="H102" s="1191"/>
      <c r="I102" s="706" t="s">
        <v>1946</v>
      </c>
      <c r="M102" s="706"/>
      <c r="N102" s="706"/>
      <c r="O102" s="706"/>
      <c r="P102" s="706"/>
    </row>
    <row r="103" spans="1:16">
      <c r="A103" s="706">
        <v>101699</v>
      </c>
      <c r="B103" s="706" t="s">
        <v>1950</v>
      </c>
      <c r="D103" s="706" t="s">
        <v>1841</v>
      </c>
      <c r="H103" s="1191"/>
      <c r="I103" s="706" t="s">
        <v>1946</v>
      </c>
      <c r="M103" s="706"/>
      <c r="N103" s="706"/>
      <c r="O103" s="706"/>
      <c r="P103" s="706"/>
    </row>
    <row r="104" spans="1:16">
      <c r="A104" s="706">
        <v>101700</v>
      </c>
      <c r="B104" s="706" t="s">
        <v>1951</v>
      </c>
      <c r="D104" s="706" t="s">
        <v>1841</v>
      </c>
      <c r="H104" s="1191"/>
      <c r="I104" s="706" t="s">
        <v>1946</v>
      </c>
      <c r="M104" s="706"/>
      <c r="N104" s="706"/>
      <c r="O104" s="706"/>
      <c r="P104" s="706"/>
    </row>
    <row r="105" spans="1:16">
      <c r="A105" s="706">
        <v>101701</v>
      </c>
      <c r="B105" s="706" t="s">
        <v>1952</v>
      </c>
      <c r="C105" s="706" t="s">
        <v>1953</v>
      </c>
      <c r="D105" s="706" t="s">
        <v>1841</v>
      </c>
      <c r="E105" s="706">
        <v>25.0441</v>
      </c>
      <c r="F105" s="706" t="s">
        <v>768</v>
      </c>
      <c r="G105" s="706">
        <v>410757</v>
      </c>
      <c r="H105" s="1191">
        <v>45881</v>
      </c>
      <c r="I105" s="706" t="s">
        <v>1946</v>
      </c>
      <c r="M105" s="706"/>
      <c r="N105" s="706"/>
      <c r="O105" s="706"/>
      <c r="P105" s="706"/>
    </row>
    <row r="106" spans="1:16">
      <c r="A106" s="706">
        <v>101702</v>
      </c>
      <c r="B106" s="706" t="s">
        <v>1954</v>
      </c>
      <c r="D106" s="706" t="s">
        <v>1841</v>
      </c>
      <c r="H106" s="1191"/>
      <c r="I106" s="706" t="s">
        <v>1946</v>
      </c>
      <c r="M106" s="706"/>
      <c r="N106" s="706"/>
      <c r="O106" s="706"/>
      <c r="P106" s="706"/>
    </row>
    <row r="107" spans="1:16">
      <c r="A107" s="706">
        <v>101703</v>
      </c>
      <c r="B107" s="706" t="s">
        <v>1955</v>
      </c>
      <c r="D107" s="706" t="s">
        <v>1841</v>
      </c>
      <c r="H107" s="1191"/>
      <c r="I107" s="706" t="s">
        <v>1946</v>
      </c>
      <c r="M107" s="706"/>
      <c r="N107" s="706"/>
      <c r="O107" s="706"/>
      <c r="P107" s="706"/>
    </row>
    <row r="108" spans="1:16">
      <c r="A108" s="706">
        <v>101704</v>
      </c>
      <c r="B108" s="706" t="s">
        <v>1956</v>
      </c>
      <c r="D108" s="706" t="s">
        <v>1841</v>
      </c>
      <c r="H108" s="1191"/>
      <c r="I108" s="706" t="s">
        <v>1946</v>
      </c>
      <c r="M108" s="706"/>
      <c r="N108" s="706"/>
      <c r="O108" s="706"/>
      <c r="P108" s="706"/>
    </row>
    <row r="109" spans="1:16">
      <c r="A109" s="706">
        <v>101705</v>
      </c>
      <c r="B109" s="706" t="s">
        <v>1957</v>
      </c>
      <c r="D109" s="706" t="s">
        <v>1841</v>
      </c>
      <c r="H109" s="1191"/>
      <c r="I109" s="706" t="s">
        <v>1946</v>
      </c>
      <c r="M109" s="706"/>
      <c r="N109" s="706"/>
      <c r="O109" s="706"/>
      <c r="P109" s="706"/>
    </row>
    <row r="110" spans="1:16">
      <c r="A110" s="706">
        <v>101706</v>
      </c>
      <c r="B110" s="706" t="s">
        <v>1958</v>
      </c>
      <c r="D110" s="706" t="s">
        <v>1841</v>
      </c>
      <c r="H110" s="1191"/>
      <c r="I110" s="706" t="s">
        <v>1946</v>
      </c>
      <c r="M110" s="706"/>
      <c r="N110" s="706"/>
      <c r="O110" s="706"/>
      <c r="P110" s="706"/>
    </row>
    <row r="111" spans="1:16">
      <c r="A111" s="706">
        <v>101707</v>
      </c>
      <c r="B111" s="706" t="s">
        <v>1959</v>
      </c>
      <c r="D111" s="706" t="s">
        <v>1841</v>
      </c>
      <c r="H111" s="1191"/>
      <c r="I111" s="706" t="s">
        <v>1946</v>
      </c>
      <c r="M111" s="706"/>
      <c r="N111" s="706"/>
      <c r="O111" s="706"/>
      <c r="P111" s="706"/>
    </row>
    <row r="112" spans="1:16">
      <c r="A112" s="706">
        <v>101708</v>
      </c>
      <c r="B112" s="706" t="s">
        <v>1960</v>
      </c>
      <c r="D112" s="706" t="s">
        <v>1841</v>
      </c>
      <c r="H112" s="1191"/>
      <c r="I112" s="706" t="s">
        <v>1946</v>
      </c>
      <c r="M112" s="706"/>
      <c r="N112" s="706"/>
      <c r="O112" s="706"/>
      <c r="P112" s="706"/>
    </row>
    <row r="113" spans="1:16">
      <c r="A113" s="706">
        <v>101709</v>
      </c>
      <c r="B113" s="706" t="s">
        <v>1961</v>
      </c>
      <c r="C113" s="706" t="s">
        <v>8186</v>
      </c>
      <c r="D113" s="706" t="s">
        <v>1841</v>
      </c>
      <c r="E113" s="706">
        <v>13.3384</v>
      </c>
      <c r="F113" s="706" t="s">
        <v>768</v>
      </c>
      <c r="G113" s="706">
        <v>409914</v>
      </c>
      <c r="H113" s="1191">
        <v>45715</v>
      </c>
      <c r="I113" s="706" t="s">
        <v>1946</v>
      </c>
      <c r="M113" s="706"/>
      <c r="N113" s="706"/>
      <c r="O113" s="706"/>
      <c r="P113" s="706"/>
    </row>
    <row r="114" spans="1:16">
      <c r="A114" s="706">
        <v>101710</v>
      </c>
      <c r="B114" s="706" t="s">
        <v>1962</v>
      </c>
      <c r="D114" s="706" t="s">
        <v>1841</v>
      </c>
      <c r="H114" s="1191"/>
      <c r="I114" s="706" t="s">
        <v>1946</v>
      </c>
      <c r="M114" s="706"/>
      <c r="N114" s="706"/>
      <c r="O114" s="706"/>
      <c r="P114" s="706"/>
    </row>
    <row r="115" spans="1:16">
      <c r="A115" s="706">
        <v>101725</v>
      </c>
      <c r="B115" s="706" t="s">
        <v>1963</v>
      </c>
      <c r="D115" s="706" t="s">
        <v>1841</v>
      </c>
      <c r="H115" s="1191"/>
      <c r="I115" s="706" t="s">
        <v>1964</v>
      </c>
      <c r="M115" s="706"/>
      <c r="N115" s="706"/>
      <c r="O115" s="706"/>
      <c r="P115" s="706"/>
    </row>
    <row r="116" spans="1:16">
      <c r="A116" s="706">
        <v>101726</v>
      </c>
      <c r="B116" s="706" t="s">
        <v>1965</v>
      </c>
      <c r="C116" s="706" t="s">
        <v>8187</v>
      </c>
      <c r="D116" s="706" t="s">
        <v>1841</v>
      </c>
      <c r="E116" s="706">
        <v>29.69</v>
      </c>
      <c r="F116" s="706" t="s">
        <v>1210</v>
      </c>
      <c r="G116" s="706">
        <v>407300</v>
      </c>
      <c r="H116" s="1191">
        <v>45208</v>
      </c>
      <c r="I116" s="706" t="s">
        <v>1964</v>
      </c>
      <c r="M116" s="706"/>
      <c r="N116" s="706"/>
      <c r="O116" s="706"/>
      <c r="P116" s="706"/>
    </row>
    <row r="117" spans="1:16">
      <c r="A117" s="706">
        <v>101727</v>
      </c>
      <c r="B117" s="706" t="s">
        <v>1967</v>
      </c>
      <c r="D117" s="706" t="s">
        <v>1841</v>
      </c>
      <c r="H117" s="1191"/>
      <c r="I117" s="706" t="s">
        <v>1964</v>
      </c>
      <c r="M117" s="706"/>
      <c r="N117" s="706"/>
      <c r="O117" s="706"/>
      <c r="P117" s="706"/>
    </row>
    <row r="118" spans="1:16">
      <c r="A118" s="706">
        <v>101728</v>
      </c>
      <c r="B118" s="706" t="s">
        <v>1968</v>
      </c>
      <c r="D118" s="706" t="s">
        <v>1841</v>
      </c>
      <c r="H118" s="1191"/>
      <c r="I118" s="706" t="s">
        <v>1964</v>
      </c>
      <c r="M118" s="706"/>
      <c r="N118" s="706"/>
      <c r="O118" s="706"/>
      <c r="P118" s="706"/>
    </row>
    <row r="119" spans="1:16">
      <c r="A119" s="706">
        <v>101729</v>
      </c>
      <c r="B119" s="706" t="s">
        <v>1969</v>
      </c>
      <c r="D119" s="706" t="s">
        <v>1841</v>
      </c>
      <c r="H119" s="1191"/>
      <c r="I119" s="706" t="s">
        <v>1970</v>
      </c>
      <c r="M119" s="706"/>
      <c r="N119" s="706"/>
      <c r="O119" s="706"/>
      <c r="P119" s="706"/>
    </row>
    <row r="120" spans="1:16">
      <c r="A120" s="706">
        <v>101730</v>
      </c>
      <c r="B120" s="706" t="s">
        <v>1971</v>
      </c>
      <c r="D120" s="706" t="s">
        <v>1841</v>
      </c>
      <c r="H120" s="1191"/>
      <c r="I120" s="706" t="s">
        <v>1972</v>
      </c>
      <c r="M120" s="706"/>
      <c r="N120" s="706"/>
      <c r="O120" s="706"/>
      <c r="P120" s="706"/>
    </row>
    <row r="121" spans="1:16">
      <c r="A121" s="706">
        <v>101731</v>
      </c>
      <c r="B121" s="706" t="s">
        <v>1973</v>
      </c>
      <c r="D121" s="706" t="s">
        <v>1841</v>
      </c>
      <c r="H121" s="1191"/>
      <c r="I121" s="706" t="s">
        <v>1974</v>
      </c>
      <c r="M121" s="706"/>
      <c r="N121" s="706"/>
      <c r="O121" s="706"/>
      <c r="P121" s="706"/>
    </row>
    <row r="122" spans="1:16">
      <c r="A122" s="706">
        <v>101732</v>
      </c>
      <c r="B122" s="706" t="s">
        <v>1975</v>
      </c>
      <c r="D122" s="706" t="s">
        <v>1841</v>
      </c>
      <c r="H122" s="1191"/>
      <c r="I122" s="706" t="s">
        <v>1976</v>
      </c>
      <c r="M122" s="706"/>
      <c r="N122" s="706"/>
      <c r="O122" s="706"/>
      <c r="P122" s="706"/>
    </row>
    <row r="123" spans="1:16">
      <c r="A123" s="706">
        <v>101733</v>
      </c>
      <c r="B123" s="706" t="s">
        <v>1977</v>
      </c>
      <c r="D123" s="706" t="s">
        <v>1841</v>
      </c>
      <c r="H123" s="1191"/>
      <c r="I123" s="706" t="s">
        <v>1970</v>
      </c>
      <c r="M123" s="706"/>
      <c r="N123" s="706"/>
      <c r="O123" s="706"/>
      <c r="P123" s="706"/>
    </row>
    <row r="124" spans="1:16">
      <c r="A124" s="706">
        <v>101734</v>
      </c>
      <c r="B124" s="706" t="s">
        <v>1978</v>
      </c>
      <c r="D124" s="706" t="s">
        <v>1841</v>
      </c>
      <c r="H124" s="1191"/>
      <c r="I124" s="706" t="s">
        <v>1972</v>
      </c>
      <c r="M124" s="706"/>
      <c r="N124" s="706"/>
      <c r="O124" s="706"/>
      <c r="P124" s="706"/>
    </row>
    <row r="125" spans="1:16">
      <c r="A125" s="706">
        <v>101735</v>
      </c>
      <c r="B125" s="706" t="s">
        <v>1979</v>
      </c>
      <c r="D125" s="706" t="s">
        <v>1841</v>
      </c>
      <c r="H125" s="1191"/>
      <c r="I125" s="706" t="s">
        <v>1974</v>
      </c>
      <c r="M125" s="706"/>
      <c r="N125" s="706"/>
      <c r="O125" s="706"/>
      <c r="P125" s="706"/>
    </row>
    <row r="126" spans="1:16">
      <c r="A126" s="706">
        <v>101736</v>
      </c>
      <c r="B126" s="706" t="s">
        <v>1980</v>
      </c>
      <c r="D126" s="706" t="s">
        <v>1841</v>
      </c>
      <c r="H126" s="1191"/>
      <c r="I126" s="706" t="s">
        <v>1976</v>
      </c>
      <c r="M126" s="706"/>
      <c r="N126" s="706"/>
      <c r="O126" s="706"/>
      <c r="P126" s="706"/>
    </row>
    <row r="127" spans="1:16">
      <c r="A127" s="706">
        <v>101737</v>
      </c>
      <c r="B127" s="706" t="s">
        <v>1981</v>
      </c>
      <c r="D127" s="706" t="s">
        <v>1841</v>
      </c>
      <c r="H127" s="1191"/>
      <c r="I127" s="706" t="s">
        <v>1970</v>
      </c>
      <c r="M127" s="706"/>
      <c r="N127" s="706"/>
      <c r="O127" s="706"/>
      <c r="P127" s="706"/>
    </row>
    <row r="128" spans="1:16">
      <c r="A128" s="706">
        <v>101738</v>
      </c>
      <c r="B128" s="706" t="s">
        <v>1982</v>
      </c>
      <c r="D128" s="706" t="s">
        <v>1841</v>
      </c>
      <c r="H128" s="1191"/>
      <c r="I128" s="706" t="s">
        <v>1972</v>
      </c>
      <c r="M128" s="706"/>
      <c r="N128" s="706"/>
      <c r="O128" s="706"/>
      <c r="P128" s="706"/>
    </row>
    <row r="129" spans="1:16">
      <c r="A129" s="706">
        <v>101739</v>
      </c>
      <c r="B129" s="706" t="s">
        <v>1983</v>
      </c>
      <c r="D129" s="706" t="s">
        <v>1841</v>
      </c>
      <c r="H129" s="1191"/>
      <c r="I129" s="706" t="s">
        <v>1974</v>
      </c>
      <c r="M129" s="706"/>
      <c r="N129" s="706"/>
      <c r="O129" s="706"/>
      <c r="P129" s="706"/>
    </row>
    <row r="130" spans="1:16">
      <c r="A130" s="706">
        <v>101740</v>
      </c>
      <c r="B130" s="706" t="s">
        <v>1984</v>
      </c>
      <c r="D130" s="706" t="s">
        <v>1841</v>
      </c>
      <c r="H130" s="1191"/>
      <c r="I130" s="706" t="s">
        <v>1976</v>
      </c>
      <c r="M130" s="706"/>
      <c r="N130" s="706"/>
      <c r="O130" s="706"/>
      <c r="P130" s="706"/>
    </row>
    <row r="131" spans="1:16">
      <c r="A131" s="706">
        <v>101741</v>
      </c>
      <c r="B131" s="706" t="s">
        <v>1985</v>
      </c>
      <c r="D131" s="706" t="s">
        <v>1841</v>
      </c>
      <c r="H131" s="1191"/>
      <c r="I131" s="706" t="s">
        <v>1970</v>
      </c>
      <c r="M131" s="706"/>
      <c r="N131" s="706"/>
      <c r="O131" s="706"/>
      <c r="P131" s="706"/>
    </row>
    <row r="132" spans="1:16">
      <c r="A132" s="706">
        <v>101742</v>
      </c>
      <c r="B132" s="706" t="s">
        <v>1986</v>
      </c>
      <c r="D132" s="706" t="s">
        <v>1841</v>
      </c>
      <c r="H132" s="1191"/>
      <c r="I132" s="706" t="s">
        <v>1972</v>
      </c>
      <c r="M132" s="706"/>
      <c r="N132" s="706"/>
      <c r="O132" s="706"/>
      <c r="P132" s="706"/>
    </row>
    <row r="133" spans="1:16">
      <c r="A133" s="706">
        <v>101743</v>
      </c>
      <c r="B133" s="706" t="s">
        <v>1987</v>
      </c>
      <c r="D133" s="706" t="s">
        <v>1841</v>
      </c>
      <c r="H133" s="1191"/>
      <c r="I133" s="706" t="s">
        <v>1974</v>
      </c>
      <c r="M133" s="706"/>
      <c r="N133" s="706"/>
      <c r="O133" s="706"/>
      <c r="P133" s="706"/>
    </row>
    <row r="134" spans="1:16">
      <c r="A134" s="706">
        <v>101744</v>
      </c>
      <c r="B134" s="706" t="s">
        <v>1988</v>
      </c>
      <c r="D134" s="706" t="s">
        <v>1841</v>
      </c>
      <c r="H134" s="1191"/>
      <c r="I134" s="706" t="s">
        <v>1976</v>
      </c>
      <c r="M134" s="706"/>
      <c r="N134" s="706"/>
      <c r="O134" s="706"/>
      <c r="P134" s="706"/>
    </row>
    <row r="135" spans="1:16">
      <c r="A135" s="706">
        <v>101745</v>
      </c>
      <c r="B135" s="706" t="s">
        <v>1989</v>
      </c>
      <c r="D135" s="706" t="s">
        <v>1841</v>
      </c>
      <c r="H135" s="1191"/>
      <c r="I135" s="706" t="s">
        <v>1990</v>
      </c>
      <c r="M135" s="706"/>
      <c r="N135" s="706"/>
      <c r="O135" s="706"/>
      <c r="P135" s="706"/>
    </row>
    <row r="136" spans="1:16">
      <c r="A136" s="706">
        <v>101746</v>
      </c>
      <c r="B136" s="706" t="s">
        <v>1991</v>
      </c>
      <c r="D136" s="706" t="s">
        <v>1841</v>
      </c>
      <c r="H136" s="1191"/>
      <c r="I136" s="706" t="s">
        <v>1970</v>
      </c>
      <c r="M136" s="706"/>
      <c r="N136" s="706"/>
      <c r="O136" s="706"/>
      <c r="P136" s="706"/>
    </row>
    <row r="137" spans="1:16">
      <c r="A137" s="706">
        <v>101763</v>
      </c>
      <c r="B137" s="706" t="s">
        <v>1992</v>
      </c>
      <c r="D137" s="706" t="s">
        <v>1841</v>
      </c>
      <c r="H137" s="1191"/>
      <c r="I137" s="706" t="s">
        <v>1993</v>
      </c>
      <c r="M137" s="706"/>
      <c r="N137" s="706"/>
      <c r="O137" s="706"/>
      <c r="P137" s="706"/>
    </row>
    <row r="138" spans="1:16">
      <c r="A138" s="706">
        <v>101764</v>
      </c>
      <c r="B138" s="706" t="s">
        <v>1994</v>
      </c>
      <c r="D138" s="706" t="s">
        <v>1841</v>
      </c>
      <c r="H138" s="1191"/>
      <c r="I138" s="706" t="s">
        <v>1993</v>
      </c>
      <c r="M138" s="706"/>
      <c r="N138" s="706"/>
      <c r="O138" s="706"/>
      <c r="P138" s="706"/>
    </row>
    <row r="139" spans="1:16">
      <c r="A139" s="706">
        <v>101765</v>
      </c>
      <c r="B139" s="706" t="s">
        <v>1995</v>
      </c>
      <c r="D139" s="706" t="s">
        <v>1841</v>
      </c>
      <c r="H139" s="1191"/>
      <c r="I139" s="706" t="s">
        <v>1993</v>
      </c>
      <c r="M139" s="706"/>
      <c r="N139" s="706"/>
      <c r="O139" s="706"/>
      <c r="P139" s="706"/>
    </row>
    <row r="140" spans="1:16">
      <c r="A140" s="706">
        <v>101766</v>
      </c>
      <c r="B140" s="706" t="s">
        <v>1996</v>
      </c>
      <c r="D140" s="706" t="s">
        <v>1841</v>
      </c>
      <c r="H140" s="1191"/>
      <c r="I140" s="706" t="s">
        <v>1993</v>
      </c>
      <c r="M140" s="706"/>
      <c r="N140" s="706"/>
      <c r="O140" s="706"/>
      <c r="P140" s="706"/>
    </row>
    <row r="141" spans="1:16">
      <c r="A141" s="706">
        <v>101767</v>
      </c>
      <c r="B141" s="706" t="s">
        <v>1997</v>
      </c>
      <c r="D141" s="706" t="s">
        <v>1841</v>
      </c>
      <c r="H141" s="1191"/>
      <c r="I141" s="706" t="s">
        <v>1993</v>
      </c>
      <c r="M141" s="706"/>
      <c r="N141" s="706"/>
      <c r="O141" s="706"/>
      <c r="P141" s="706"/>
    </row>
    <row r="142" spans="1:16">
      <c r="A142" s="706">
        <v>101768</v>
      </c>
      <c r="B142" s="706" t="s">
        <v>1998</v>
      </c>
      <c r="D142" s="706" t="s">
        <v>1841</v>
      </c>
      <c r="H142" s="1191"/>
      <c r="I142" s="706" t="s">
        <v>1993</v>
      </c>
      <c r="M142" s="706"/>
      <c r="N142" s="706"/>
      <c r="O142" s="706"/>
      <c r="P142" s="706"/>
    </row>
    <row r="143" spans="1:16">
      <c r="A143" s="706">
        <v>101769</v>
      </c>
      <c r="B143" s="706" t="s">
        <v>1999</v>
      </c>
      <c r="D143" s="706" t="s">
        <v>1841</v>
      </c>
      <c r="H143" s="1191"/>
      <c r="I143" s="706" t="s">
        <v>1993</v>
      </c>
      <c r="M143" s="706"/>
      <c r="N143" s="706"/>
      <c r="O143" s="706"/>
      <c r="P143" s="706"/>
    </row>
    <row r="144" spans="1:16">
      <c r="A144" s="706">
        <v>101770</v>
      </c>
      <c r="B144" s="706" t="s">
        <v>2000</v>
      </c>
      <c r="D144" s="706" t="s">
        <v>1841</v>
      </c>
      <c r="H144" s="1191"/>
      <c r="I144" s="706" t="s">
        <v>1993</v>
      </c>
      <c r="M144" s="706"/>
      <c r="N144" s="706"/>
      <c r="O144" s="706"/>
      <c r="P144" s="706"/>
    </row>
    <row r="145" spans="1:16">
      <c r="A145" s="706">
        <v>101771</v>
      </c>
      <c r="B145" s="706" t="s">
        <v>2001</v>
      </c>
      <c r="D145" s="706" t="s">
        <v>1841</v>
      </c>
      <c r="H145" s="1191"/>
      <c r="I145" s="706" t="s">
        <v>1993</v>
      </c>
      <c r="M145" s="706"/>
      <c r="N145" s="706"/>
      <c r="O145" s="706"/>
      <c r="P145" s="706"/>
    </row>
    <row r="146" spans="1:16">
      <c r="A146" s="706">
        <v>101772</v>
      </c>
      <c r="B146" s="706" t="s">
        <v>2002</v>
      </c>
      <c r="C146" s="706" t="s">
        <v>8186</v>
      </c>
      <c r="D146" s="706" t="s">
        <v>1841</v>
      </c>
      <c r="E146" s="706">
        <v>4.8</v>
      </c>
      <c r="F146" s="706" t="s">
        <v>768</v>
      </c>
      <c r="G146" s="706">
        <v>407162</v>
      </c>
      <c r="H146" s="1191">
        <v>45187</v>
      </c>
      <c r="I146" s="706" t="s">
        <v>1993</v>
      </c>
      <c r="M146" s="706"/>
      <c r="N146" s="706"/>
      <c r="O146" s="706"/>
      <c r="P146" s="706"/>
    </row>
    <row r="147" spans="1:16">
      <c r="A147" s="706">
        <v>101773</v>
      </c>
      <c r="B147" s="706" t="s">
        <v>2003</v>
      </c>
      <c r="C147" s="706" t="s">
        <v>8186</v>
      </c>
      <c r="D147" s="706" t="s">
        <v>1841</v>
      </c>
      <c r="E147" s="706">
        <v>3.49</v>
      </c>
      <c r="F147" s="706" t="s">
        <v>768</v>
      </c>
      <c r="G147" s="706">
        <v>405908</v>
      </c>
      <c r="H147" s="1191">
        <v>44895</v>
      </c>
      <c r="I147" s="706" t="s">
        <v>1993</v>
      </c>
      <c r="M147" s="706"/>
      <c r="N147" s="706"/>
      <c r="O147" s="706"/>
      <c r="P147" s="706"/>
    </row>
    <row r="148" spans="1:16">
      <c r="A148" s="706">
        <v>101774</v>
      </c>
      <c r="B148" s="706" t="s">
        <v>2004</v>
      </c>
      <c r="D148" s="706" t="s">
        <v>1841</v>
      </c>
      <c r="H148" s="1191"/>
      <c r="I148" s="706" t="s">
        <v>1993</v>
      </c>
      <c r="M148" s="706"/>
      <c r="N148" s="706"/>
      <c r="O148" s="706"/>
      <c r="P148" s="706"/>
    </row>
    <row r="149" spans="1:16">
      <c r="A149" s="706">
        <v>101775</v>
      </c>
      <c r="B149" s="706" t="s">
        <v>2005</v>
      </c>
      <c r="D149" s="706" t="s">
        <v>1841</v>
      </c>
      <c r="H149" s="1191"/>
      <c r="I149" s="706" t="s">
        <v>1993</v>
      </c>
      <c r="M149" s="706"/>
      <c r="N149" s="706"/>
      <c r="O149" s="706"/>
      <c r="P149" s="706"/>
    </row>
    <row r="150" spans="1:16">
      <c r="A150" s="706">
        <v>101776</v>
      </c>
      <c r="B150" s="706" t="s">
        <v>2006</v>
      </c>
      <c r="D150" s="706" t="s">
        <v>1841</v>
      </c>
      <c r="H150" s="1191"/>
      <c r="I150" s="706" t="s">
        <v>1993</v>
      </c>
      <c r="M150" s="706"/>
      <c r="N150" s="706"/>
      <c r="O150" s="706"/>
      <c r="P150" s="706"/>
    </row>
    <row r="151" spans="1:16">
      <c r="A151" s="706">
        <v>101777</v>
      </c>
      <c r="B151" s="706" t="s">
        <v>2007</v>
      </c>
      <c r="D151" s="706" t="s">
        <v>1841</v>
      </c>
      <c r="H151" s="1191"/>
      <c r="I151" s="706" t="s">
        <v>1993</v>
      </c>
      <c r="M151" s="706"/>
      <c r="N151" s="706"/>
      <c r="O151" s="706"/>
      <c r="P151" s="706"/>
    </row>
    <row r="152" spans="1:16">
      <c r="A152" s="706">
        <v>101778</v>
      </c>
      <c r="B152" s="706" t="s">
        <v>2008</v>
      </c>
      <c r="D152" s="706" t="s">
        <v>1841</v>
      </c>
      <c r="H152" s="1191"/>
      <c r="I152" s="706" t="s">
        <v>1993</v>
      </c>
      <c r="M152" s="706"/>
      <c r="N152" s="706"/>
      <c r="O152" s="706"/>
      <c r="P152" s="706"/>
    </row>
    <row r="153" spans="1:16">
      <c r="A153" s="706">
        <v>101801</v>
      </c>
      <c r="B153" s="706" t="s">
        <v>2009</v>
      </c>
      <c r="D153" s="706" t="s">
        <v>1841</v>
      </c>
      <c r="H153" s="1191"/>
      <c r="I153" s="706" t="s">
        <v>2010</v>
      </c>
      <c r="M153" s="706"/>
      <c r="N153" s="706"/>
      <c r="O153" s="706"/>
      <c r="P153" s="706"/>
    </row>
    <row r="154" spans="1:16">
      <c r="A154" s="706">
        <v>101802</v>
      </c>
      <c r="B154" s="706" t="s">
        <v>2011</v>
      </c>
      <c r="D154" s="706" t="s">
        <v>1841</v>
      </c>
      <c r="H154" s="1191"/>
      <c r="I154" s="706" t="s">
        <v>2010</v>
      </c>
      <c r="M154" s="706"/>
      <c r="N154" s="706"/>
      <c r="O154" s="706"/>
      <c r="P154" s="706"/>
    </row>
    <row r="155" spans="1:16">
      <c r="A155" s="706">
        <v>101803</v>
      </c>
      <c r="B155" s="706" t="s">
        <v>2012</v>
      </c>
      <c r="D155" s="706" t="s">
        <v>1841</v>
      </c>
      <c r="H155" s="1191"/>
      <c r="I155" s="706" t="s">
        <v>2010</v>
      </c>
      <c r="M155" s="706"/>
      <c r="N155" s="706"/>
      <c r="O155" s="706"/>
      <c r="P155" s="706"/>
    </row>
    <row r="156" spans="1:16">
      <c r="A156" s="706">
        <v>101804</v>
      </c>
      <c r="B156" s="706" t="s">
        <v>2013</v>
      </c>
      <c r="C156" s="706" t="s">
        <v>1953</v>
      </c>
      <c r="D156" s="706" t="s">
        <v>1841</v>
      </c>
      <c r="E156" s="706">
        <v>47.521599999999999</v>
      </c>
      <c r="F156" s="706" t="s">
        <v>768</v>
      </c>
      <c r="G156" s="706">
        <v>411303</v>
      </c>
      <c r="H156" s="1191">
        <v>45982</v>
      </c>
      <c r="I156" s="706" t="s">
        <v>2010</v>
      </c>
      <c r="M156" s="706"/>
      <c r="N156" s="706"/>
      <c r="O156" s="706"/>
      <c r="P156" s="706"/>
    </row>
    <row r="157" spans="1:16">
      <c r="A157" s="706">
        <v>101805</v>
      </c>
      <c r="B157" s="706" t="s">
        <v>2014</v>
      </c>
      <c r="D157" s="706" t="s">
        <v>1841</v>
      </c>
      <c r="H157" s="1191"/>
      <c r="I157" s="706" t="s">
        <v>2010</v>
      </c>
      <c r="M157" s="706"/>
      <c r="N157" s="706"/>
      <c r="O157" s="706"/>
      <c r="P157" s="706"/>
    </row>
    <row r="158" spans="1:16">
      <c r="A158" s="706">
        <v>101806</v>
      </c>
      <c r="B158" s="706" t="s">
        <v>2015</v>
      </c>
      <c r="D158" s="706" t="s">
        <v>1841</v>
      </c>
      <c r="H158" s="1191"/>
      <c r="I158" s="706" t="s">
        <v>2010</v>
      </c>
      <c r="M158" s="706"/>
      <c r="N158" s="706"/>
      <c r="O158" s="706"/>
      <c r="P158" s="706"/>
    </row>
    <row r="159" spans="1:16">
      <c r="A159" s="706">
        <v>101807</v>
      </c>
      <c r="B159" s="706" t="s">
        <v>2016</v>
      </c>
      <c r="D159" s="706" t="s">
        <v>1841</v>
      </c>
      <c r="H159" s="1191"/>
      <c r="I159" s="706" t="s">
        <v>2010</v>
      </c>
      <c r="M159" s="706"/>
      <c r="N159" s="706"/>
      <c r="O159" s="706"/>
      <c r="P159" s="706"/>
    </row>
    <row r="160" spans="1:16">
      <c r="A160" s="706">
        <v>101808</v>
      </c>
      <c r="B160" s="706" t="s">
        <v>2017</v>
      </c>
      <c r="D160" s="706" t="s">
        <v>1841</v>
      </c>
      <c r="H160" s="1191"/>
      <c r="I160" s="706" t="s">
        <v>2010</v>
      </c>
      <c r="M160" s="706"/>
      <c r="N160" s="706"/>
      <c r="O160" s="706"/>
      <c r="P160" s="706"/>
    </row>
    <row r="161" spans="1:16">
      <c r="A161" s="706">
        <v>101809</v>
      </c>
      <c r="B161" s="706" t="s">
        <v>2018</v>
      </c>
      <c r="D161" s="706" t="s">
        <v>1841</v>
      </c>
      <c r="H161" s="1191"/>
      <c r="I161" s="706" t="s">
        <v>2010</v>
      </c>
      <c r="M161" s="706"/>
      <c r="N161" s="706"/>
      <c r="O161" s="706"/>
      <c r="P161" s="706"/>
    </row>
    <row r="162" spans="1:16">
      <c r="A162" s="706">
        <v>101810</v>
      </c>
      <c r="B162" s="706" t="s">
        <v>2019</v>
      </c>
      <c r="D162" s="706" t="s">
        <v>1841</v>
      </c>
      <c r="H162" s="1191"/>
      <c r="I162" s="706" t="s">
        <v>2010</v>
      </c>
      <c r="M162" s="706"/>
      <c r="N162" s="706"/>
      <c r="O162" s="706"/>
      <c r="P162" s="706"/>
    </row>
    <row r="163" spans="1:16">
      <c r="A163" s="706">
        <v>101811</v>
      </c>
      <c r="B163" s="706" t="s">
        <v>2020</v>
      </c>
      <c r="D163" s="706" t="s">
        <v>1841</v>
      </c>
      <c r="H163" s="1191"/>
      <c r="I163" s="706" t="s">
        <v>2010</v>
      </c>
      <c r="M163" s="706"/>
      <c r="N163" s="706"/>
      <c r="O163" s="706"/>
      <c r="P163" s="706"/>
    </row>
    <row r="164" spans="1:16">
      <c r="A164" s="706">
        <v>101812</v>
      </c>
      <c r="B164" s="706" t="s">
        <v>2021</v>
      </c>
      <c r="D164" s="706" t="s">
        <v>1841</v>
      </c>
      <c r="H164" s="1191"/>
      <c r="I164" s="706" t="s">
        <v>2010</v>
      </c>
      <c r="M164" s="706"/>
      <c r="N164" s="706"/>
      <c r="O164" s="706"/>
      <c r="P164" s="706"/>
    </row>
    <row r="165" spans="1:16">
      <c r="A165" s="706">
        <v>101813</v>
      </c>
      <c r="B165" s="706" t="s">
        <v>2022</v>
      </c>
      <c r="D165" s="706" t="s">
        <v>1841</v>
      </c>
      <c r="H165" s="1191"/>
      <c r="I165" s="706" t="s">
        <v>2010</v>
      </c>
      <c r="M165" s="706"/>
      <c r="N165" s="706"/>
      <c r="O165" s="706"/>
      <c r="P165" s="706"/>
    </row>
    <row r="166" spans="1:16">
      <c r="A166" s="706">
        <v>101814</v>
      </c>
      <c r="B166" s="706" t="s">
        <v>2023</v>
      </c>
      <c r="D166" s="706" t="s">
        <v>1841</v>
      </c>
      <c r="H166" s="1191"/>
      <c r="I166" s="706" t="s">
        <v>2010</v>
      </c>
      <c r="M166" s="706"/>
      <c r="N166" s="706"/>
      <c r="O166" s="706"/>
      <c r="P166" s="706"/>
    </row>
    <row r="167" spans="1:16">
      <c r="A167" s="706">
        <v>101815</v>
      </c>
      <c r="B167" s="706" t="s">
        <v>2024</v>
      </c>
      <c r="D167" s="706" t="s">
        <v>1841</v>
      </c>
      <c r="H167" s="1191"/>
      <c r="I167" s="706" t="s">
        <v>2010</v>
      </c>
      <c r="M167" s="706"/>
      <c r="N167" s="706"/>
      <c r="O167" s="706"/>
      <c r="P167" s="706"/>
    </row>
    <row r="168" spans="1:16">
      <c r="A168" s="706">
        <v>101816</v>
      </c>
      <c r="B168" s="706" t="s">
        <v>2025</v>
      </c>
      <c r="D168" s="706" t="s">
        <v>1841</v>
      </c>
      <c r="H168" s="1191"/>
      <c r="I168" s="706" t="s">
        <v>2010</v>
      </c>
      <c r="M168" s="706"/>
      <c r="N168" s="706"/>
      <c r="O168" s="706"/>
      <c r="P168" s="706"/>
    </row>
    <row r="169" spans="1:16">
      <c r="A169" s="706">
        <v>101817</v>
      </c>
      <c r="B169" s="706" t="s">
        <v>2026</v>
      </c>
      <c r="D169" s="706" t="s">
        <v>1841</v>
      </c>
      <c r="H169" s="1191"/>
      <c r="I169" s="706" t="s">
        <v>2010</v>
      </c>
      <c r="M169" s="706"/>
      <c r="N169" s="706"/>
      <c r="O169" s="706"/>
      <c r="P169" s="706"/>
    </row>
    <row r="170" spans="1:16">
      <c r="A170" s="706">
        <v>101818</v>
      </c>
      <c r="B170" s="706" t="s">
        <v>2027</v>
      </c>
      <c r="D170" s="706" t="s">
        <v>1841</v>
      </c>
      <c r="H170" s="1191"/>
      <c r="I170" s="706" t="s">
        <v>2010</v>
      </c>
      <c r="M170" s="706"/>
      <c r="N170" s="706"/>
      <c r="O170" s="706"/>
      <c r="P170" s="706"/>
    </row>
    <row r="171" spans="1:16">
      <c r="A171" s="706">
        <v>101819</v>
      </c>
      <c r="B171" s="706" t="s">
        <v>2028</v>
      </c>
      <c r="D171" s="706" t="s">
        <v>1841</v>
      </c>
      <c r="H171" s="1191"/>
      <c r="I171" s="706" t="s">
        <v>2010</v>
      </c>
      <c r="M171" s="706"/>
      <c r="N171" s="706"/>
      <c r="O171" s="706"/>
      <c r="P171" s="706"/>
    </row>
    <row r="172" spans="1:16">
      <c r="A172" s="706">
        <v>101820</v>
      </c>
      <c r="B172" s="706" t="s">
        <v>2029</v>
      </c>
      <c r="D172" s="706" t="s">
        <v>1841</v>
      </c>
      <c r="H172" s="1191"/>
      <c r="I172" s="706" t="s">
        <v>2010</v>
      </c>
      <c r="M172" s="706"/>
      <c r="N172" s="706"/>
      <c r="O172" s="706"/>
      <c r="P172" s="706"/>
    </row>
    <row r="173" spans="1:16">
      <c r="A173" s="706">
        <v>101821</v>
      </c>
      <c r="B173" s="706" t="s">
        <v>2030</v>
      </c>
      <c r="C173" s="706" t="s">
        <v>1953</v>
      </c>
      <c r="D173" s="706" t="s">
        <v>1841</v>
      </c>
      <c r="E173" s="706">
        <v>8.1030999999999995</v>
      </c>
      <c r="F173" s="706" t="s">
        <v>768</v>
      </c>
      <c r="G173" s="706">
        <v>407743</v>
      </c>
      <c r="H173" s="1191">
        <v>45299</v>
      </c>
      <c r="I173" s="706" t="s">
        <v>2010</v>
      </c>
      <c r="M173" s="706"/>
      <c r="N173" s="706"/>
      <c r="O173" s="706"/>
      <c r="P173" s="706"/>
    </row>
    <row r="174" spans="1:16">
      <c r="A174" s="706">
        <v>101866</v>
      </c>
      <c r="B174" s="706" t="s">
        <v>2031</v>
      </c>
      <c r="C174" s="706" t="s">
        <v>2032</v>
      </c>
      <c r="D174" s="706" t="s">
        <v>1841</v>
      </c>
      <c r="E174" s="706">
        <v>1.5852999999999999</v>
      </c>
      <c r="F174" s="706" t="s">
        <v>768</v>
      </c>
      <c r="G174" s="706">
        <v>406623</v>
      </c>
      <c r="H174" s="1191">
        <v>45062</v>
      </c>
      <c r="I174" s="706" t="s">
        <v>1993</v>
      </c>
      <c r="M174" s="706"/>
      <c r="N174" s="706"/>
      <c r="O174" s="706"/>
      <c r="P174" s="706"/>
    </row>
    <row r="175" spans="1:16">
      <c r="A175" s="706">
        <v>101867</v>
      </c>
      <c r="B175" s="706" t="s">
        <v>2033</v>
      </c>
      <c r="C175" s="706" t="s">
        <v>8186</v>
      </c>
      <c r="D175" s="706" t="s">
        <v>1841</v>
      </c>
      <c r="E175" s="706">
        <v>2.84</v>
      </c>
      <c r="F175" s="706" t="s">
        <v>768</v>
      </c>
      <c r="G175" s="706">
        <v>409482</v>
      </c>
      <c r="H175" s="1191">
        <v>45615</v>
      </c>
      <c r="I175" s="706" t="s">
        <v>1993</v>
      </c>
      <c r="M175" s="706"/>
      <c r="N175" s="706"/>
      <c r="O175" s="706"/>
      <c r="P175" s="706"/>
    </row>
    <row r="176" spans="1:16">
      <c r="A176" s="706">
        <v>101868</v>
      </c>
      <c r="B176" s="706" t="s">
        <v>2034</v>
      </c>
      <c r="C176" s="706" t="s">
        <v>8186</v>
      </c>
      <c r="D176" s="706" t="s">
        <v>1841</v>
      </c>
      <c r="E176" s="706">
        <v>2.82</v>
      </c>
      <c r="F176" s="706" t="s">
        <v>768</v>
      </c>
      <c r="G176" s="706">
        <v>411724</v>
      </c>
      <c r="H176" s="1191">
        <v>46066</v>
      </c>
      <c r="I176" s="706" t="s">
        <v>1993</v>
      </c>
      <c r="M176" s="706"/>
      <c r="N176" s="706"/>
      <c r="O176" s="706"/>
      <c r="P176" s="706"/>
    </row>
    <row r="177" spans="1:16">
      <c r="A177" s="706">
        <v>101869</v>
      </c>
      <c r="B177" s="706" t="s">
        <v>1818</v>
      </c>
      <c r="C177" s="706" t="s">
        <v>8186</v>
      </c>
      <c r="D177" s="706" t="s">
        <v>1841</v>
      </c>
      <c r="E177" s="706">
        <v>2.82</v>
      </c>
      <c r="F177" s="706" t="s">
        <v>768</v>
      </c>
      <c r="G177" s="706">
        <v>411724</v>
      </c>
      <c r="H177" s="1191">
        <v>46066</v>
      </c>
      <c r="I177" s="706" t="s">
        <v>1993</v>
      </c>
      <c r="M177" s="706"/>
      <c r="N177" s="706"/>
      <c r="O177" s="706"/>
      <c r="P177" s="706"/>
    </row>
    <row r="178" spans="1:16">
      <c r="A178" s="706">
        <v>101870</v>
      </c>
      <c r="B178" s="706" t="s">
        <v>2035</v>
      </c>
      <c r="C178" s="706" t="s">
        <v>2064</v>
      </c>
      <c r="D178" s="706" t="s">
        <v>1841</v>
      </c>
      <c r="E178" s="706">
        <v>3.6088</v>
      </c>
      <c r="F178" s="706" t="s">
        <v>768</v>
      </c>
      <c r="G178" s="706">
        <v>410910</v>
      </c>
      <c r="H178" s="1191">
        <v>45904</v>
      </c>
      <c r="I178" s="706" t="s">
        <v>1993</v>
      </c>
      <c r="M178" s="706"/>
      <c r="N178" s="706"/>
      <c r="O178" s="706"/>
      <c r="P178" s="706"/>
    </row>
    <row r="179" spans="1:16">
      <c r="A179" s="706">
        <v>101871</v>
      </c>
      <c r="B179" s="706" t="s">
        <v>1817</v>
      </c>
      <c r="C179" s="706" t="s">
        <v>8186</v>
      </c>
      <c r="D179" s="706" t="s">
        <v>1841</v>
      </c>
      <c r="E179" s="706">
        <v>2.74</v>
      </c>
      <c r="F179" s="706" t="s">
        <v>768</v>
      </c>
      <c r="G179" s="706">
        <v>411756</v>
      </c>
      <c r="H179" s="1191">
        <v>46072</v>
      </c>
      <c r="I179" s="706" t="s">
        <v>1993</v>
      </c>
      <c r="M179" s="706"/>
      <c r="N179" s="706"/>
      <c r="O179" s="706"/>
      <c r="P179" s="706"/>
    </row>
    <row r="180" spans="1:16">
      <c r="A180" s="706">
        <v>101872</v>
      </c>
      <c r="B180" s="706" t="s">
        <v>1816</v>
      </c>
      <c r="C180" s="706" t="s">
        <v>8186</v>
      </c>
      <c r="D180" s="706" t="s">
        <v>1841</v>
      </c>
      <c r="E180" s="706">
        <v>5.5159000000000002</v>
      </c>
      <c r="F180" s="706" t="s">
        <v>768</v>
      </c>
      <c r="G180" s="706">
        <v>411807</v>
      </c>
      <c r="H180" s="1191">
        <v>46077</v>
      </c>
      <c r="I180" s="706" t="s">
        <v>1993</v>
      </c>
      <c r="M180" s="706"/>
      <c r="N180" s="706"/>
      <c r="O180" s="706"/>
      <c r="P180" s="706"/>
    </row>
    <row r="181" spans="1:16">
      <c r="A181" s="706">
        <v>101873</v>
      </c>
      <c r="B181" s="706" t="s">
        <v>1815</v>
      </c>
      <c r="C181" s="706" t="s">
        <v>8186</v>
      </c>
      <c r="D181" s="706" t="s">
        <v>1841</v>
      </c>
      <c r="E181" s="706">
        <v>3.68</v>
      </c>
      <c r="F181" s="706" t="s">
        <v>768</v>
      </c>
      <c r="G181" s="706">
        <v>406126</v>
      </c>
      <c r="H181" s="1191">
        <v>44956</v>
      </c>
      <c r="I181" s="706" t="s">
        <v>1993</v>
      </c>
      <c r="M181" s="706"/>
      <c r="N181" s="706"/>
      <c r="O181" s="706"/>
      <c r="P181" s="706"/>
    </row>
    <row r="182" spans="1:16">
      <c r="A182" s="706">
        <v>101874</v>
      </c>
      <c r="B182" s="706" t="s">
        <v>963</v>
      </c>
      <c r="C182" s="706" t="s">
        <v>8186</v>
      </c>
      <c r="D182" s="706" t="s">
        <v>1841</v>
      </c>
      <c r="E182" s="706">
        <v>3.17</v>
      </c>
      <c r="F182" s="706" t="s">
        <v>768</v>
      </c>
      <c r="G182" s="706">
        <v>411756</v>
      </c>
      <c r="H182" s="1191">
        <v>46072</v>
      </c>
      <c r="I182" s="706" t="s">
        <v>1993</v>
      </c>
      <c r="M182" s="706"/>
      <c r="N182" s="706"/>
      <c r="O182" s="706"/>
      <c r="P182" s="706"/>
    </row>
    <row r="183" spans="1:16">
      <c r="A183" s="706">
        <v>101875</v>
      </c>
      <c r="B183" s="706" t="s">
        <v>1814</v>
      </c>
      <c r="D183" s="706" t="s">
        <v>1841</v>
      </c>
      <c r="H183" s="1191"/>
      <c r="I183" s="706" t="s">
        <v>1993</v>
      </c>
      <c r="M183" s="706"/>
      <c r="N183" s="706"/>
      <c r="O183" s="706"/>
      <c r="P183" s="706"/>
    </row>
    <row r="184" spans="1:16">
      <c r="A184" s="706">
        <v>101876</v>
      </c>
      <c r="B184" s="706" t="s">
        <v>1813</v>
      </c>
      <c r="C184" s="706" t="s">
        <v>2036</v>
      </c>
      <c r="D184" s="706" t="s">
        <v>1841</v>
      </c>
      <c r="E184" s="706">
        <v>1.5580000000000001</v>
      </c>
      <c r="F184" s="706" t="s">
        <v>768</v>
      </c>
      <c r="G184" s="706">
        <v>402176</v>
      </c>
      <c r="H184" s="1191">
        <v>44182</v>
      </c>
      <c r="I184" s="706" t="s">
        <v>1993</v>
      </c>
      <c r="M184" s="706"/>
      <c r="N184" s="706"/>
      <c r="O184" s="706"/>
      <c r="P184" s="706"/>
    </row>
    <row r="185" spans="1:16">
      <c r="A185" s="706">
        <v>101877</v>
      </c>
      <c r="B185" s="706" t="s">
        <v>2037</v>
      </c>
      <c r="C185" s="706" t="s">
        <v>2036</v>
      </c>
      <c r="D185" s="706" t="s">
        <v>1841</v>
      </c>
      <c r="E185" s="706">
        <v>1.6312</v>
      </c>
      <c r="F185" s="706" t="s">
        <v>768</v>
      </c>
      <c r="G185" s="706">
        <v>402176</v>
      </c>
      <c r="H185" s="1191">
        <v>44182</v>
      </c>
      <c r="I185" s="706" t="s">
        <v>1993</v>
      </c>
      <c r="M185" s="706"/>
      <c r="N185" s="706"/>
      <c r="O185" s="706"/>
      <c r="P185" s="706"/>
    </row>
    <row r="186" spans="1:16">
      <c r="A186" s="706">
        <v>101878</v>
      </c>
      <c r="B186" s="706" t="s">
        <v>2038</v>
      </c>
      <c r="D186" s="706" t="s">
        <v>1841</v>
      </c>
      <c r="H186" s="1191"/>
      <c r="I186" s="706" t="s">
        <v>1993</v>
      </c>
      <c r="M186" s="706"/>
      <c r="N186" s="706"/>
      <c r="O186" s="706"/>
      <c r="P186" s="706"/>
    </row>
    <row r="187" spans="1:16">
      <c r="A187" s="706">
        <v>101879</v>
      </c>
      <c r="B187" s="706" t="s">
        <v>2039</v>
      </c>
      <c r="C187" s="706" t="s">
        <v>8186</v>
      </c>
      <c r="D187" s="706" t="s">
        <v>1841</v>
      </c>
      <c r="E187" s="706">
        <v>1.95</v>
      </c>
      <c r="F187" s="706" t="s">
        <v>768</v>
      </c>
      <c r="G187" s="706">
        <v>401774</v>
      </c>
      <c r="H187" s="1191">
        <v>44117</v>
      </c>
      <c r="I187" s="706" t="s">
        <v>1993</v>
      </c>
      <c r="M187" s="706"/>
      <c r="N187" s="706"/>
      <c r="O187" s="706"/>
      <c r="P187" s="706"/>
    </row>
    <row r="188" spans="1:16">
      <c r="A188" s="706">
        <v>101880</v>
      </c>
      <c r="B188" s="706" t="s">
        <v>2040</v>
      </c>
      <c r="C188" s="706" t="s">
        <v>8188</v>
      </c>
      <c r="D188" s="706" t="s">
        <v>1841</v>
      </c>
      <c r="E188" s="706">
        <v>3</v>
      </c>
      <c r="F188" s="706" t="s">
        <v>768</v>
      </c>
      <c r="G188" s="706">
        <v>405824</v>
      </c>
      <c r="H188" s="1191">
        <v>44874</v>
      </c>
      <c r="I188" s="706" t="s">
        <v>1993</v>
      </c>
      <c r="M188" s="706"/>
      <c r="N188" s="706"/>
      <c r="O188" s="706"/>
      <c r="P188" s="706"/>
    </row>
    <row r="189" spans="1:16">
      <c r="A189" s="706">
        <v>101881</v>
      </c>
      <c r="B189" s="706" t="s">
        <v>2041</v>
      </c>
      <c r="D189" s="706" t="s">
        <v>1841</v>
      </c>
      <c r="H189" s="1191"/>
      <c r="I189" s="706" t="s">
        <v>1993</v>
      </c>
      <c r="M189" s="706"/>
      <c r="N189" s="706"/>
      <c r="O189" s="706"/>
      <c r="P189" s="706"/>
    </row>
    <row r="190" spans="1:16">
      <c r="A190" s="706">
        <v>101882</v>
      </c>
      <c r="B190" s="706" t="s">
        <v>2042</v>
      </c>
      <c r="C190" s="706" t="s">
        <v>8188</v>
      </c>
      <c r="D190" s="706" t="s">
        <v>1841</v>
      </c>
      <c r="E190" s="706">
        <v>5.72</v>
      </c>
      <c r="F190" s="706" t="s">
        <v>768</v>
      </c>
      <c r="G190" s="706">
        <v>407753</v>
      </c>
      <c r="H190" s="1191">
        <v>45301</v>
      </c>
      <c r="I190" s="706" t="s">
        <v>1993</v>
      </c>
      <c r="M190" s="706"/>
      <c r="N190" s="706"/>
      <c r="O190" s="706"/>
      <c r="P190" s="706"/>
    </row>
    <row r="191" spans="1:16">
      <c r="A191" s="706">
        <v>101883</v>
      </c>
      <c r="B191" s="706" t="s">
        <v>2043</v>
      </c>
      <c r="D191" s="706" t="s">
        <v>1841</v>
      </c>
      <c r="H191" s="1191"/>
      <c r="I191" s="706" t="s">
        <v>1993</v>
      </c>
      <c r="M191" s="706"/>
      <c r="N191" s="706"/>
      <c r="O191" s="706"/>
      <c r="P191" s="706"/>
    </row>
    <row r="192" spans="1:16">
      <c r="A192" s="706">
        <v>101884</v>
      </c>
      <c r="B192" s="706" t="s">
        <v>2044</v>
      </c>
      <c r="D192" s="706" t="s">
        <v>1841</v>
      </c>
      <c r="H192" s="1191"/>
      <c r="I192" s="706" t="s">
        <v>1993</v>
      </c>
      <c r="M192" s="706"/>
      <c r="N192" s="706"/>
      <c r="O192" s="706"/>
      <c r="P192" s="706"/>
    </row>
    <row r="193" spans="1:16">
      <c r="A193" s="706">
        <v>101885</v>
      </c>
      <c r="B193" s="706" t="s">
        <v>2045</v>
      </c>
      <c r="D193" s="706" t="s">
        <v>1841</v>
      </c>
      <c r="H193" s="1191"/>
      <c r="I193" s="706" t="s">
        <v>1993</v>
      </c>
      <c r="M193" s="706"/>
      <c r="N193" s="706"/>
      <c r="O193" s="706"/>
      <c r="P193" s="706"/>
    </row>
    <row r="194" spans="1:16">
      <c r="A194" s="706">
        <v>101886</v>
      </c>
      <c r="B194" s="706" t="s">
        <v>2046</v>
      </c>
      <c r="D194" s="706" t="s">
        <v>1841</v>
      </c>
      <c r="H194" s="1191"/>
      <c r="I194" s="706" t="s">
        <v>1993</v>
      </c>
      <c r="M194" s="706"/>
      <c r="N194" s="706"/>
      <c r="O194" s="706"/>
      <c r="P194" s="706"/>
    </row>
    <row r="195" spans="1:16">
      <c r="A195" s="706">
        <v>101887</v>
      </c>
      <c r="B195" s="706" t="s">
        <v>2047</v>
      </c>
      <c r="C195" s="706" t="s">
        <v>8188</v>
      </c>
      <c r="D195" s="706" t="s">
        <v>1841</v>
      </c>
      <c r="E195" s="706">
        <v>2.0219999999999998</v>
      </c>
      <c r="F195" s="706" t="s">
        <v>768</v>
      </c>
      <c r="G195" s="706">
        <v>400994</v>
      </c>
      <c r="H195" s="1191">
        <v>44026</v>
      </c>
      <c r="I195" s="706" t="s">
        <v>1993</v>
      </c>
      <c r="M195" s="706"/>
      <c r="N195" s="706"/>
      <c r="O195" s="706"/>
      <c r="P195" s="706"/>
    </row>
    <row r="196" spans="1:16">
      <c r="A196" s="706">
        <v>101888</v>
      </c>
      <c r="B196" s="706" t="s">
        <v>2048</v>
      </c>
      <c r="D196" s="706" t="s">
        <v>1841</v>
      </c>
      <c r="H196" s="1191"/>
      <c r="I196" s="706" t="s">
        <v>1993</v>
      </c>
      <c r="M196" s="706"/>
      <c r="N196" s="706"/>
      <c r="O196" s="706"/>
      <c r="P196" s="706"/>
    </row>
    <row r="197" spans="1:16">
      <c r="A197" s="706">
        <v>101889</v>
      </c>
      <c r="B197" s="706" t="s">
        <v>2049</v>
      </c>
      <c r="D197" s="706" t="s">
        <v>1841</v>
      </c>
      <c r="H197" s="1191"/>
      <c r="I197" s="706" t="s">
        <v>1993</v>
      </c>
      <c r="M197" s="706"/>
      <c r="N197" s="706"/>
      <c r="O197" s="706"/>
      <c r="P197" s="706"/>
    </row>
    <row r="198" spans="1:16">
      <c r="A198" s="706">
        <v>101890</v>
      </c>
      <c r="B198" s="706" t="s">
        <v>2050</v>
      </c>
      <c r="C198" s="706" t="s">
        <v>8186</v>
      </c>
      <c r="D198" s="706" t="s">
        <v>1841</v>
      </c>
      <c r="E198" s="706">
        <v>2.21</v>
      </c>
      <c r="F198" s="706" t="s">
        <v>768</v>
      </c>
      <c r="G198" s="706">
        <v>411490</v>
      </c>
      <c r="H198" s="1191">
        <v>46029</v>
      </c>
      <c r="I198" s="706" t="s">
        <v>1993</v>
      </c>
      <c r="M198" s="706"/>
      <c r="N198" s="706"/>
      <c r="O198" s="706"/>
      <c r="P198" s="706"/>
    </row>
    <row r="199" spans="1:16">
      <c r="A199" s="706">
        <v>101891</v>
      </c>
      <c r="B199" s="706" t="s">
        <v>1800</v>
      </c>
      <c r="C199" s="706" t="s">
        <v>8186</v>
      </c>
      <c r="D199" s="706" t="s">
        <v>1841</v>
      </c>
      <c r="E199" s="706">
        <v>1.99</v>
      </c>
      <c r="F199" s="706" t="s">
        <v>768</v>
      </c>
      <c r="G199" s="706">
        <v>411784</v>
      </c>
      <c r="H199" s="1191">
        <v>46073</v>
      </c>
      <c r="I199" s="706" t="s">
        <v>1993</v>
      </c>
      <c r="M199" s="706"/>
      <c r="N199" s="706"/>
      <c r="O199" s="706"/>
      <c r="P199" s="706"/>
    </row>
    <row r="200" spans="1:16">
      <c r="A200" s="706">
        <v>101892</v>
      </c>
      <c r="B200" s="706" t="s">
        <v>2051</v>
      </c>
      <c r="C200" s="706" t="s">
        <v>8186</v>
      </c>
      <c r="D200" s="706" t="s">
        <v>1841</v>
      </c>
      <c r="E200" s="706">
        <v>2.2200000000000002</v>
      </c>
      <c r="F200" s="706" t="s">
        <v>768</v>
      </c>
      <c r="G200" s="706">
        <v>408912</v>
      </c>
      <c r="H200" s="1191">
        <v>45509</v>
      </c>
      <c r="I200" s="706" t="s">
        <v>1993</v>
      </c>
      <c r="M200" s="706"/>
      <c r="N200" s="706"/>
      <c r="O200" s="706"/>
      <c r="P200" s="706"/>
    </row>
    <row r="201" spans="1:16">
      <c r="A201" s="706">
        <v>101893</v>
      </c>
      <c r="B201" s="706" t="s">
        <v>1799</v>
      </c>
      <c r="C201" s="706" t="s">
        <v>8186</v>
      </c>
      <c r="D201" s="706" t="s">
        <v>1841</v>
      </c>
      <c r="E201" s="706">
        <v>1.99</v>
      </c>
      <c r="F201" s="706" t="s">
        <v>768</v>
      </c>
      <c r="G201" s="706">
        <v>411784</v>
      </c>
      <c r="H201" s="1191">
        <v>46073</v>
      </c>
      <c r="I201" s="706" t="s">
        <v>1993</v>
      </c>
      <c r="M201" s="706"/>
      <c r="N201" s="706"/>
      <c r="O201" s="706"/>
      <c r="P201" s="706"/>
    </row>
    <row r="202" spans="1:16">
      <c r="A202" s="706">
        <v>101894</v>
      </c>
      <c r="B202" s="706" t="s">
        <v>1798</v>
      </c>
      <c r="C202" s="706" t="s">
        <v>8186</v>
      </c>
      <c r="D202" s="706" t="s">
        <v>1841</v>
      </c>
      <c r="E202" s="706">
        <v>2.11</v>
      </c>
      <c r="F202" s="706" t="s">
        <v>768</v>
      </c>
      <c r="G202" s="706">
        <v>411648</v>
      </c>
      <c r="H202" s="1191">
        <v>46055</v>
      </c>
      <c r="I202" s="706" t="s">
        <v>1993</v>
      </c>
      <c r="M202" s="706"/>
      <c r="N202" s="706"/>
      <c r="O202" s="706"/>
      <c r="P202" s="706"/>
    </row>
    <row r="203" spans="1:16">
      <c r="A203" s="706">
        <v>101895</v>
      </c>
      <c r="B203" s="706" t="s">
        <v>1797</v>
      </c>
      <c r="C203" s="706" t="s">
        <v>8186</v>
      </c>
      <c r="D203" s="706" t="s">
        <v>1841</v>
      </c>
      <c r="E203" s="706">
        <v>5.5803000000000003</v>
      </c>
      <c r="F203" s="706" t="s">
        <v>768</v>
      </c>
      <c r="G203" s="706">
        <v>408148</v>
      </c>
      <c r="H203" s="1191">
        <v>45364</v>
      </c>
      <c r="I203" s="706" t="s">
        <v>1993</v>
      </c>
      <c r="M203" s="706"/>
      <c r="N203" s="706"/>
      <c r="O203" s="706"/>
      <c r="P203" s="706"/>
    </row>
    <row r="204" spans="1:16">
      <c r="A204" s="706">
        <v>101896</v>
      </c>
      <c r="B204" s="706" t="s">
        <v>964</v>
      </c>
      <c r="C204" s="706" t="s">
        <v>2064</v>
      </c>
      <c r="D204" s="706" t="s">
        <v>1841</v>
      </c>
      <c r="E204" s="706">
        <v>21</v>
      </c>
      <c r="F204" s="706" t="s">
        <v>768</v>
      </c>
      <c r="G204" s="706">
        <v>411532</v>
      </c>
      <c r="H204" s="1191">
        <v>46035</v>
      </c>
      <c r="I204" s="706" t="s">
        <v>1993</v>
      </c>
      <c r="M204" s="706"/>
      <c r="N204" s="706"/>
      <c r="O204" s="706"/>
      <c r="P204" s="706"/>
    </row>
    <row r="205" spans="1:16">
      <c r="A205" s="706">
        <v>101897</v>
      </c>
      <c r="B205" s="706" t="s">
        <v>1796</v>
      </c>
      <c r="C205" s="706" t="s">
        <v>8186</v>
      </c>
      <c r="D205" s="706" t="s">
        <v>1841</v>
      </c>
      <c r="E205" s="706">
        <v>2.71</v>
      </c>
      <c r="F205" s="706" t="s">
        <v>768</v>
      </c>
      <c r="G205" s="706">
        <v>403019</v>
      </c>
      <c r="H205" s="1191">
        <v>44319</v>
      </c>
      <c r="I205" s="706" t="s">
        <v>1993</v>
      </c>
      <c r="M205" s="706"/>
      <c r="N205" s="706"/>
      <c r="O205" s="706"/>
      <c r="P205" s="706"/>
    </row>
    <row r="206" spans="1:16">
      <c r="A206" s="706">
        <v>101898</v>
      </c>
      <c r="B206" s="706" t="s">
        <v>2052</v>
      </c>
      <c r="C206" s="706" t="s">
        <v>2036</v>
      </c>
      <c r="D206" s="706" t="s">
        <v>1841</v>
      </c>
      <c r="E206" s="706">
        <v>1.1312</v>
      </c>
      <c r="F206" s="706" t="s">
        <v>768</v>
      </c>
      <c r="G206" s="706">
        <v>402176</v>
      </c>
      <c r="H206" s="1191">
        <v>44182</v>
      </c>
      <c r="I206" s="706" t="s">
        <v>1993</v>
      </c>
      <c r="M206" s="706"/>
      <c r="N206" s="706"/>
      <c r="O206" s="706"/>
      <c r="P206" s="706"/>
    </row>
    <row r="207" spans="1:16">
      <c r="A207" s="706">
        <v>101899</v>
      </c>
      <c r="B207" s="706" t="s">
        <v>1795</v>
      </c>
      <c r="C207" s="706" t="s">
        <v>2036</v>
      </c>
      <c r="D207" s="706" t="s">
        <v>1841</v>
      </c>
      <c r="E207" s="706">
        <v>1.1556999999999999</v>
      </c>
      <c r="F207" s="706" t="s">
        <v>768</v>
      </c>
      <c r="G207" s="706">
        <v>402176</v>
      </c>
      <c r="H207" s="1191">
        <v>44182</v>
      </c>
      <c r="I207" s="706" t="s">
        <v>1993</v>
      </c>
      <c r="M207" s="706"/>
      <c r="N207" s="706"/>
      <c r="O207" s="706"/>
      <c r="P207" s="706"/>
    </row>
    <row r="208" spans="1:16">
      <c r="A208" s="706">
        <v>101900</v>
      </c>
      <c r="B208" s="706" t="s">
        <v>2053</v>
      </c>
      <c r="D208" s="706" t="s">
        <v>1841</v>
      </c>
      <c r="H208" s="1191"/>
      <c r="I208" s="706" t="s">
        <v>1993</v>
      </c>
      <c r="M208" s="706"/>
      <c r="N208" s="706"/>
      <c r="O208" s="706"/>
      <c r="P208" s="706"/>
    </row>
    <row r="209" spans="1:16">
      <c r="A209" s="706">
        <v>101901</v>
      </c>
      <c r="B209" s="706" t="s">
        <v>2054</v>
      </c>
      <c r="C209" s="706" t="s">
        <v>8186</v>
      </c>
      <c r="D209" s="706" t="s">
        <v>1841</v>
      </c>
      <c r="E209" s="706">
        <v>2.2200000000000002</v>
      </c>
      <c r="F209" s="706" t="s">
        <v>768</v>
      </c>
      <c r="G209" s="706">
        <v>405850</v>
      </c>
      <c r="H209" s="1191">
        <v>44880</v>
      </c>
      <c r="I209" s="706" t="s">
        <v>1993</v>
      </c>
      <c r="M209" s="706"/>
      <c r="N209" s="706"/>
      <c r="O209" s="706"/>
      <c r="P209" s="706"/>
    </row>
    <row r="210" spans="1:16">
      <c r="A210" s="706">
        <v>101902</v>
      </c>
      <c r="B210" s="706" t="s">
        <v>1782</v>
      </c>
      <c r="C210" s="706" t="s">
        <v>8186</v>
      </c>
      <c r="D210" s="706" t="s">
        <v>1841</v>
      </c>
      <c r="E210" s="706">
        <v>1.75</v>
      </c>
      <c r="F210" s="706" t="s">
        <v>768</v>
      </c>
      <c r="G210" s="706">
        <v>408010</v>
      </c>
      <c r="H210" s="1191">
        <v>45364</v>
      </c>
      <c r="I210" s="706" t="s">
        <v>1993</v>
      </c>
      <c r="M210" s="706"/>
      <c r="N210" s="706"/>
      <c r="O210" s="706"/>
      <c r="P210" s="706"/>
    </row>
    <row r="211" spans="1:16">
      <c r="A211" s="706">
        <v>101903</v>
      </c>
      <c r="B211" s="706" t="s">
        <v>2055</v>
      </c>
      <c r="C211" s="706" t="s">
        <v>8186</v>
      </c>
      <c r="D211" s="706" t="s">
        <v>1841</v>
      </c>
      <c r="E211" s="706">
        <v>3.25</v>
      </c>
      <c r="F211" s="706" t="s">
        <v>768</v>
      </c>
      <c r="G211" s="706">
        <v>405194</v>
      </c>
      <c r="H211" s="1191">
        <v>44734</v>
      </c>
      <c r="I211" s="706" t="s">
        <v>1993</v>
      </c>
      <c r="M211" s="706"/>
      <c r="N211" s="706"/>
      <c r="O211" s="706"/>
      <c r="P211" s="706"/>
    </row>
    <row r="212" spans="1:16">
      <c r="A212" s="706">
        <v>101904</v>
      </c>
      <c r="B212" s="706" t="s">
        <v>1781</v>
      </c>
      <c r="C212" s="706" t="s">
        <v>8186</v>
      </c>
      <c r="D212" s="706" t="s">
        <v>1841</v>
      </c>
      <c r="E212" s="706">
        <v>1.79</v>
      </c>
      <c r="F212" s="706" t="s">
        <v>768</v>
      </c>
      <c r="G212" s="706">
        <v>408914</v>
      </c>
      <c r="H212" s="1191">
        <v>45504</v>
      </c>
      <c r="I212" s="706" t="s">
        <v>1993</v>
      </c>
      <c r="M212" s="706"/>
      <c r="N212" s="706"/>
      <c r="O212" s="706"/>
      <c r="P212" s="706"/>
    </row>
    <row r="213" spans="1:16">
      <c r="A213" s="706">
        <v>101905</v>
      </c>
      <c r="B213" s="706" t="s">
        <v>1780</v>
      </c>
      <c r="C213" s="706" t="s">
        <v>8186</v>
      </c>
      <c r="D213" s="706" t="s">
        <v>1841</v>
      </c>
      <c r="E213" s="706">
        <v>1.7</v>
      </c>
      <c r="F213" s="706" t="s">
        <v>768</v>
      </c>
      <c r="G213" s="706">
        <v>408302</v>
      </c>
      <c r="H213" s="1191">
        <v>45391</v>
      </c>
      <c r="I213" s="706" t="s">
        <v>1993</v>
      </c>
      <c r="M213" s="706"/>
      <c r="N213" s="706"/>
      <c r="O213" s="706"/>
      <c r="P213" s="706"/>
    </row>
    <row r="214" spans="1:16">
      <c r="A214" s="706">
        <v>101906</v>
      </c>
      <c r="B214" s="706" t="s">
        <v>1779</v>
      </c>
      <c r="C214" s="706" t="s">
        <v>8186</v>
      </c>
      <c r="D214" s="706" t="s">
        <v>1841</v>
      </c>
      <c r="E214" s="706">
        <v>1.35</v>
      </c>
      <c r="F214" s="706" t="s">
        <v>768</v>
      </c>
      <c r="G214" s="706">
        <v>400890</v>
      </c>
      <c r="H214" s="1191">
        <v>44014</v>
      </c>
      <c r="I214" s="706" t="s">
        <v>1993</v>
      </c>
      <c r="M214" s="706"/>
      <c r="N214" s="706"/>
      <c r="O214" s="706"/>
      <c r="P214" s="706"/>
    </row>
    <row r="215" spans="1:16">
      <c r="A215" s="706">
        <v>101907</v>
      </c>
      <c r="B215" s="706" t="s">
        <v>965</v>
      </c>
      <c r="C215" s="706" t="s">
        <v>8186</v>
      </c>
      <c r="D215" s="706" t="s">
        <v>1841</v>
      </c>
      <c r="E215" s="706">
        <v>2.5</v>
      </c>
      <c r="F215" s="706" t="s">
        <v>768</v>
      </c>
      <c r="G215" s="706">
        <v>411032</v>
      </c>
      <c r="H215" s="1191">
        <v>45925</v>
      </c>
      <c r="I215" s="706" t="s">
        <v>1993</v>
      </c>
      <c r="M215" s="706"/>
      <c r="N215" s="706"/>
      <c r="O215" s="706"/>
      <c r="P215" s="706"/>
    </row>
    <row r="216" spans="1:16">
      <c r="A216" s="706">
        <v>101908</v>
      </c>
      <c r="B216" s="706" t="s">
        <v>1778</v>
      </c>
      <c r="C216" s="706" t="s">
        <v>8186</v>
      </c>
      <c r="D216" s="706" t="s">
        <v>1841</v>
      </c>
      <c r="E216" s="706">
        <v>2.0299999999999998</v>
      </c>
      <c r="F216" s="706" t="s">
        <v>768</v>
      </c>
      <c r="G216" s="706">
        <v>408264</v>
      </c>
      <c r="H216" s="1191">
        <v>45385</v>
      </c>
      <c r="I216" s="706" t="s">
        <v>1993</v>
      </c>
      <c r="M216" s="706"/>
      <c r="N216" s="706"/>
      <c r="O216" s="706"/>
      <c r="P216" s="706"/>
    </row>
    <row r="217" spans="1:16">
      <c r="A217" s="706">
        <v>101909</v>
      </c>
      <c r="B217" s="706" t="s">
        <v>1777</v>
      </c>
      <c r="C217" s="706" t="s">
        <v>8186</v>
      </c>
      <c r="D217" s="706" t="s">
        <v>1841</v>
      </c>
      <c r="E217" s="706">
        <v>2.08</v>
      </c>
      <c r="F217" s="706" t="s">
        <v>768</v>
      </c>
      <c r="G217" s="706">
        <v>408034</v>
      </c>
      <c r="H217" s="1191">
        <v>45343</v>
      </c>
      <c r="I217" s="706" t="s">
        <v>1993</v>
      </c>
      <c r="M217" s="706"/>
      <c r="N217" s="706"/>
      <c r="O217" s="706"/>
      <c r="P217" s="706"/>
    </row>
    <row r="218" spans="1:16">
      <c r="A218" s="706">
        <v>101910</v>
      </c>
      <c r="B218" s="706" t="s">
        <v>2056</v>
      </c>
      <c r="D218" s="706" t="s">
        <v>1841</v>
      </c>
      <c r="H218" s="1191"/>
      <c r="I218" s="706" t="s">
        <v>1993</v>
      </c>
      <c r="M218" s="706"/>
      <c r="N218" s="706"/>
      <c r="O218" s="706"/>
      <c r="P218" s="706"/>
    </row>
    <row r="219" spans="1:16">
      <c r="A219" s="706">
        <v>101911</v>
      </c>
      <c r="B219" s="706" t="s">
        <v>2057</v>
      </c>
      <c r="C219" s="706" t="s">
        <v>2036</v>
      </c>
      <c r="D219" s="706" t="s">
        <v>1841</v>
      </c>
      <c r="E219" s="706">
        <v>1.3063</v>
      </c>
      <c r="F219" s="706" t="s">
        <v>768</v>
      </c>
      <c r="G219" s="706">
        <v>402176</v>
      </c>
      <c r="H219" s="1191">
        <v>44182</v>
      </c>
      <c r="I219" s="706" t="s">
        <v>1993</v>
      </c>
      <c r="M219" s="706"/>
      <c r="N219" s="706"/>
      <c r="O219" s="706"/>
      <c r="P219" s="706"/>
    </row>
    <row r="220" spans="1:16">
      <c r="A220" s="706">
        <v>101943</v>
      </c>
      <c r="B220" s="706" t="s">
        <v>1829</v>
      </c>
      <c r="D220" s="706" t="s">
        <v>1841</v>
      </c>
      <c r="H220" s="1191"/>
      <c r="I220" s="706" t="s">
        <v>1993</v>
      </c>
      <c r="M220" s="706"/>
      <c r="N220" s="706"/>
      <c r="O220" s="706"/>
      <c r="P220" s="706"/>
    </row>
    <row r="221" spans="1:16">
      <c r="A221" s="706">
        <v>101944</v>
      </c>
      <c r="B221" s="706" t="s">
        <v>2058</v>
      </c>
      <c r="D221" s="706" t="s">
        <v>1841</v>
      </c>
      <c r="H221" s="1191"/>
      <c r="I221" s="706" t="s">
        <v>1993</v>
      </c>
      <c r="M221" s="706"/>
      <c r="N221" s="706"/>
      <c r="O221" s="706"/>
      <c r="P221" s="706"/>
    </row>
    <row r="222" spans="1:16">
      <c r="A222" s="706">
        <v>101945</v>
      </c>
      <c r="B222" s="706" t="s">
        <v>1811</v>
      </c>
      <c r="D222" s="706" t="s">
        <v>1841</v>
      </c>
      <c r="H222" s="1191"/>
      <c r="I222" s="706" t="s">
        <v>1993</v>
      </c>
      <c r="M222" s="706"/>
      <c r="N222" s="706"/>
      <c r="O222" s="706"/>
      <c r="P222" s="706"/>
    </row>
    <row r="223" spans="1:16">
      <c r="A223" s="706">
        <v>101946</v>
      </c>
      <c r="B223" s="706" t="s">
        <v>1793</v>
      </c>
      <c r="D223" s="706" t="s">
        <v>1841</v>
      </c>
      <c r="H223" s="1191"/>
      <c r="I223" s="706" t="s">
        <v>1993</v>
      </c>
      <c r="M223" s="706"/>
      <c r="N223" s="706"/>
      <c r="O223" s="706"/>
      <c r="P223" s="706"/>
    </row>
    <row r="224" spans="1:16">
      <c r="A224" s="706">
        <v>101947</v>
      </c>
      <c r="B224" s="706" t="s">
        <v>1830</v>
      </c>
      <c r="D224" s="706" t="s">
        <v>1841</v>
      </c>
      <c r="H224" s="1191"/>
      <c r="I224" s="706" t="s">
        <v>1993</v>
      </c>
      <c r="M224" s="706"/>
      <c r="N224" s="706"/>
      <c r="O224" s="706"/>
      <c r="P224" s="706"/>
    </row>
    <row r="225" spans="1:16">
      <c r="A225" s="706">
        <v>101948</v>
      </c>
      <c r="B225" s="706" t="s">
        <v>2059</v>
      </c>
      <c r="D225" s="706" t="s">
        <v>1841</v>
      </c>
      <c r="H225" s="1191"/>
      <c r="I225" s="706" t="s">
        <v>1993</v>
      </c>
      <c r="M225" s="706"/>
      <c r="N225" s="706"/>
      <c r="O225" s="706"/>
      <c r="P225" s="706"/>
    </row>
    <row r="226" spans="1:16">
      <c r="A226" s="706">
        <v>101949</v>
      </c>
      <c r="B226" s="706" t="s">
        <v>1812</v>
      </c>
      <c r="D226" s="706" t="s">
        <v>1841</v>
      </c>
      <c r="H226" s="1191"/>
      <c r="I226" s="706" t="s">
        <v>1993</v>
      </c>
      <c r="M226" s="706"/>
      <c r="N226" s="706"/>
      <c r="O226" s="706"/>
      <c r="P226" s="706"/>
    </row>
    <row r="227" spans="1:16">
      <c r="A227" s="706">
        <v>101950</v>
      </c>
      <c r="B227" s="706" t="s">
        <v>1794</v>
      </c>
      <c r="D227" s="706" t="s">
        <v>1841</v>
      </c>
      <c r="H227" s="1191"/>
      <c r="I227" s="706" t="s">
        <v>1993</v>
      </c>
      <c r="M227" s="706"/>
      <c r="N227" s="706"/>
      <c r="O227" s="706"/>
      <c r="P227" s="706"/>
    </row>
    <row r="228" spans="1:16">
      <c r="A228" s="706">
        <v>101951</v>
      </c>
      <c r="B228" s="706" t="s">
        <v>2060</v>
      </c>
      <c r="D228" s="706" t="s">
        <v>1841</v>
      </c>
      <c r="H228" s="1191"/>
      <c r="I228" s="706" t="s">
        <v>1993</v>
      </c>
      <c r="M228" s="706"/>
      <c r="N228" s="706"/>
      <c r="O228" s="706"/>
      <c r="P228" s="706"/>
    </row>
    <row r="229" spans="1:16">
      <c r="A229" s="706">
        <v>101952</v>
      </c>
      <c r="B229" s="706" t="s">
        <v>2061</v>
      </c>
      <c r="D229" s="706" t="s">
        <v>1841</v>
      </c>
      <c r="H229" s="1191"/>
      <c r="I229" s="706" t="s">
        <v>1993</v>
      </c>
      <c r="M229" s="706"/>
      <c r="N229" s="706"/>
      <c r="O229" s="706"/>
      <c r="P229" s="706"/>
    </row>
    <row r="230" spans="1:16">
      <c r="A230" s="706">
        <v>101953</v>
      </c>
      <c r="B230" s="706" t="s">
        <v>2062</v>
      </c>
      <c r="D230" s="706" t="s">
        <v>1841</v>
      </c>
      <c r="H230" s="1191"/>
      <c r="I230" s="706" t="s">
        <v>1993</v>
      </c>
      <c r="M230" s="706"/>
      <c r="N230" s="706"/>
      <c r="O230" s="706"/>
      <c r="P230" s="706"/>
    </row>
    <row r="231" spans="1:16">
      <c r="A231" s="706">
        <v>101954</v>
      </c>
      <c r="B231" s="706" t="s">
        <v>2063</v>
      </c>
      <c r="D231" s="706" t="s">
        <v>1841</v>
      </c>
      <c r="H231" s="1191"/>
      <c r="I231" s="706" t="s">
        <v>1993</v>
      </c>
      <c r="M231" s="706"/>
      <c r="N231" s="706"/>
      <c r="O231" s="706"/>
      <c r="P231" s="706"/>
    </row>
    <row r="232" spans="1:16">
      <c r="A232" s="706">
        <v>101955</v>
      </c>
      <c r="B232" s="706" t="s">
        <v>1828</v>
      </c>
      <c r="D232" s="706" t="s">
        <v>1841</v>
      </c>
      <c r="H232" s="1191"/>
      <c r="I232" s="706" t="s">
        <v>1993</v>
      </c>
      <c r="M232" s="706"/>
      <c r="N232" s="706"/>
      <c r="O232" s="706"/>
      <c r="P232" s="706"/>
    </row>
    <row r="233" spans="1:16">
      <c r="A233" s="706">
        <v>101956</v>
      </c>
      <c r="B233" s="706" t="s">
        <v>1827</v>
      </c>
      <c r="D233" s="706" t="s">
        <v>1841</v>
      </c>
      <c r="H233" s="1191"/>
      <c r="I233" s="706" t="s">
        <v>1993</v>
      </c>
      <c r="M233" s="706"/>
      <c r="N233" s="706"/>
      <c r="O233" s="706"/>
      <c r="P233" s="706"/>
    </row>
    <row r="234" spans="1:16">
      <c r="A234" s="706">
        <v>101957</v>
      </c>
      <c r="B234" s="706" t="s">
        <v>1826</v>
      </c>
      <c r="D234" s="706" t="s">
        <v>1841</v>
      </c>
      <c r="H234" s="1191"/>
      <c r="I234" s="706" t="s">
        <v>1993</v>
      </c>
      <c r="M234" s="706"/>
      <c r="N234" s="706"/>
      <c r="O234" s="706"/>
      <c r="P234" s="706"/>
    </row>
    <row r="235" spans="1:16">
      <c r="A235" s="706">
        <v>101958</v>
      </c>
      <c r="B235" s="706" t="s">
        <v>1825</v>
      </c>
      <c r="C235" s="706" t="s">
        <v>8186</v>
      </c>
      <c r="D235" s="706" t="s">
        <v>1841</v>
      </c>
      <c r="E235" s="706">
        <v>4.07</v>
      </c>
      <c r="F235" s="706" t="s">
        <v>768</v>
      </c>
      <c r="G235" s="706">
        <v>403564</v>
      </c>
      <c r="H235" s="1191">
        <v>44406</v>
      </c>
      <c r="I235" s="706" t="s">
        <v>1993</v>
      </c>
      <c r="M235" s="706"/>
      <c r="N235" s="706"/>
      <c r="O235" s="706"/>
      <c r="P235" s="706"/>
    </row>
    <row r="236" spans="1:16">
      <c r="A236" s="706">
        <v>101959</v>
      </c>
      <c r="B236" s="706" t="s">
        <v>1824</v>
      </c>
      <c r="C236" s="706" t="s">
        <v>8186</v>
      </c>
      <c r="D236" s="706" t="s">
        <v>1841</v>
      </c>
      <c r="E236" s="706">
        <v>3.1</v>
      </c>
      <c r="F236" s="706" t="s">
        <v>768</v>
      </c>
      <c r="G236" s="706">
        <v>410862</v>
      </c>
      <c r="H236" s="1191">
        <v>45898</v>
      </c>
      <c r="I236" s="706" t="s">
        <v>1993</v>
      </c>
      <c r="M236" s="706"/>
      <c r="N236" s="706"/>
      <c r="O236" s="706"/>
      <c r="P236" s="706"/>
    </row>
    <row r="237" spans="1:16">
      <c r="A237" s="706">
        <v>101960</v>
      </c>
      <c r="B237" s="706" t="s">
        <v>1823</v>
      </c>
      <c r="C237" s="706" t="s">
        <v>8186</v>
      </c>
      <c r="D237" s="706" t="s">
        <v>1841</v>
      </c>
      <c r="E237" s="706">
        <v>3.2</v>
      </c>
      <c r="F237" s="706" t="s">
        <v>768</v>
      </c>
      <c r="G237" s="706">
        <v>411756</v>
      </c>
      <c r="H237" s="1191">
        <v>46072</v>
      </c>
      <c r="I237" s="706" t="s">
        <v>1993</v>
      </c>
      <c r="M237" s="706"/>
      <c r="N237" s="706"/>
      <c r="O237" s="706"/>
      <c r="P237" s="706"/>
    </row>
    <row r="238" spans="1:16">
      <c r="A238" s="706">
        <v>101961</v>
      </c>
      <c r="B238" s="706" t="s">
        <v>1822</v>
      </c>
      <c r="C238" s="706" t="s">
        <v>8186</v>
      </c>
      <c r="D238" s="706" t="s">
        <v>1841</v>
      </c>
      <c r="E238" s="706">
        <v>2.8</v>
      </c>
      <c r="F238" s="706" t="s">
        <v>768</v>
      </c>
      <c r="G238" s="706">
        <v>411784</v>
      </c>
      <c r="H238" s="1191">
        <v>46073</v>
      </c>
      <c r="I238" s="706" t="s">
        <v>1993</v>
      </c>
      <c r="M238" s="706"/>
      <c r="N238" s="706"/>
      <c r="O238" s="706"/>
      <c r="P238" s="706"/>
    </row>
    <row r="239" spans="1:16">
      <c r="A239" s="706">
        <v>101962</v>
      </c>
      <c r="B239" s="706" t="s">
        <v>1821</v>
      </c>
      <c r="C239" s="706" t="s">
        <v>8186</v>
      </c>
      <c r="D239" s="706" t="s">
        <v>1841</v>
      </c>
      <c r="E239" s="706">
        <v>2.68</v>
      </c>
      <c r="F239" s="706" t="s">
        <v>768</v>
      </c>
      <c r="G239" s="706">
        <v>411614</v>
      </c>
      <c r="H239" s="1191">
        <v>46048</v>
      </c>
      <c r="I239" s="706" t="s">
        <v>1993</v>
      </c>
      <c r="M239" s="706"/>
      <c r="N239" s="706"/>
      <c r="O239" s="706"/>
      <c r="P239" s="706"/>
    </row>
    <row r="240" spans="1:16">
      <c r="A240" s="706">
        <v>101963</v>
      </c>
      <c r="B240" s="706" t="s">
        <v>1820</v>
      </c>
      <c r="C240" s="706" t="s">
        <v>8186</v>
      </c>
      <c r="D240" s="706" t="s">
        <v>1841</v>
      </c>
      <c r="E240" s="706">
        <v>3.5461999999999998</v>
      </c>
      <c r="F240" s="706" t="s">
        <v>768</v>
      </c>
      <c r="G240" s="706">
        <v>411824</v>
      </c>
      <c r="H240" s="1191">
        <v>46078</v>
      </c>
      <c r="I240" s="706" t="s">
        <v>1993</v>
      </c>
      <c r="M240" s="706"/>
      <c r="N240" s="706"/>
      <c r="O240" s="706"/>
      <c r="P240" s="706"/>
    </row>
    <row r="241" spans="1:16">
      <c r="A241" s="706">
        <v>101964</v>
      </c>
      <c r="B241" s="706" t="s">
        <v>1819</v>
      </c>
      <c r="C241" s="706" t="s">
        <v>8186</v>
      </c>
      <c r="D241" s="706" t="s">
        <v>1841</v>
      </c>
      <c r="E241" s="706">
        <v>2.5299999999999998</v>
      </c>
      <c r="F241" s="706" t="s">
        <v>768</v>
      </c>
      <c r="G241" s="706">
        <v>411725</v>
      </c>
      <c r="H241" s="1191">
        <v>46066</v>
      </c>
      <c r="I241" s="706" t="s">
        <v>1993</v>
      </c>
      <c r="M241" s="706"/>
      <c r="N241" s="706"/>
      <c r="O241" s="706"/>
      <c r="P241" s="706"/>
    </row>
    <row r="242" spans="1:16">
      <c r="A242" s="706">
        <v>101965</v>
      </c>
      <c r="B242" s="706" t="s">
        <v>2065</v>
      </c>
      <c r="D242" s="706" t="s">
        <v>1841</v>
      </c>
      <c r="H242" s="1191"/>
      <c r="I242" s="706" t="s">
        <v>1993</v>
      </c>
      <c r="M242" s="706"/>
      <c r="N242" s="706"/>
      <c r="O242" s="706"/>
      <c r="P242" s="706"/>
    </row>
    <row r="243" spans="1:16">
      <c r="A243" s="706">
        <v>101966</v>
      </c>
      <c r="B243" s="706" t="s">
        <v>2066</v>
      </c>
      <c r="D243" s="706" t="s">
        <v>1841</v>
      </c>
      <c r="H243" s="1191"/>
      <c r="I243" s="706" t="s">
        <v>1993</v>
      </c>
      <c r="M243" s="706"/>
      <c r="N243" s="706"/>
      <c r="O243" s="706"/>
      <c r="P243" s="706"/>
    </row>
    <row r="244" spans="1:16">
      <c r="A244" s="706">
        <v>101967</v>
      </c>
      <c r="B244" s="706" t="s">
        <v>2067</v>
      </c>
      <c r="D244" s="706" t="s">
        <v>1841</v>
      </c>
      <c r="H244" s="1191"/>
      <c r="I244" s="706" t="s">
        <v>1993</v>
      </c>
      <c r="M244" s="706"/>
      <c r="N244" s="706"/>
      <c r="O244" s="706"/>
      <c r="P244" s="706"/>
    </row>
    <row r="245" spans="1:16">
      <c r="A245" s="706">
        <v>101968</v>
      </c>
      <c r="B245" s="706" t="s">
        <v>2068</v>
      </c>
      <c r="C245" s="706" t="s">
        <v>8189</v>
      </c>
      <c r="D245" s="706" t="s">
        <v>1841</v>
      </c>
      <c r="E245" s="706">
        <v>185</v>
      </c>
      <c r="F245" s="706" t="s">
        <v>768</v>
      </c>
      <c r="G245" s="706">
        <v>40030</v>
      </c>
      <c r="H245" s="1191">
        <v>43871</v>
      </c>
      <c r="I245" s="706" t="s">
        <v>1993</v>
      </c>
      <c r="M245" s="706"/>
      <c r="N245" s="706"/>
      <c r="O245" s="706"/>
      <c r="P245" s="706"/>
    </row>
    <row r="246" spans="1:16">
      <c r="A246" s="706">
        <v>101969</v>
      </c>
      <c r="B246" s="706" t="s">
        <v>2069</v>
      </c>
      <c r="D246" s="706" t="s">
        <v>1841</v>
      </c>
      <c r="H246" s="1191"/>
      <c r="I246" s="706" t="s">
        <v>1993</v>
      </c>
      <c r="M246" s="706"/>
      <c r="N246" s="706"/>
      <c r="O246" s="706"/>
      <c r="P246" s="706"/>
    </row>
    <row r="247" spans="1:16">
      <c r="A247" s="706">
        <v>101970</v>
      </c>
      <c r="B247" s="706" t="s">
        <v>2070</v>
      </c>
      <c r="D247" s="706" t="s">
        <v>1841</v>
      </c>
      <c r="H247" s="1191"/>
      <c r="I247" s="706" t="s">
        <v>1993</v>
      </c>
      <c r="M247" s="706"/>
      <c r="N247" s="706"/>
      <c r="O247" s="706"/>
      <c r="P247" s="706"/>
    </row>
    <row r="248" spans="1:16">
      <c r="A248" s="706">
        <v>101971</v>
      </c>
      <c r="B248" s="706" t="s">
        <v>2071</v>
      </c>
      <c r="D248" s="706" t="s">
        <v>1841</v>
      </c>
      <c r="H248" s="1191"/>
      <c r="I248" s="706" t="s">
        <v>1993</v>
      </c>
      <c r="M248" s="706"/>
      <c r="N248" s="706"/>
      <c r="O248" s="706"/>
      <c r="P248" s="706"/>
    </row>
    <row r="249" spans="1:16">
      <c r="A249" s="706">
        <v>101972</v>
      </c>
      <c r="B249" s="706" t="s">
        <v>2072</v>
      </c>
      <c r="D249" s="706" t="s">
        <v>1841</v>
      </c>
      <c r="H249" s="1191"/>
      <c r="I249" s="706" t="s">
        <v>1993</v>
      </c>
      <c r="M249" s="706"/>
      <c r="N249" s="706"/>
      <c r="O249" s="706"/>
      <c r="P249" s="706"/>
    </row>
    <row r="250" spans="1:16">
      <c r="A250" s="706">
        <v>101973</v>
      </c>
      <c r="B250" s="706" t="s">
        <v>2073</v>
      </c>
      <c r="C250" s="706" t="s">
        <v>8186</v>
      </c>
      <c r="D250" s="706" t="s">
        <v>1841</v>
      </c>
      <c r="E250" s="706">
        <v>1.79</v>
      </c>
      <c r="F250" s="706" t="s">
        <v>768</v>
      </c>
      <c r="G250" s="706">
        <v>40049</v>
      </c>
      <c r="H250" s="1191">
        <v>43874</v>
      </c>
      <c r="I250" s="706" t="s">
        <v>1993</v>
      </c>
      <c r="M250" s="706"/>
      <c r="N250" s="706"/>
      <c r="O250" s="706"/>
      <c r="P250" s="706"/>
    </row>
    <row r="251" spans="1:16">
      <c r="A251" s="706">
        <v>101974</v>
      </c>
      <c r="B251" s="706" t="s">
        <v>2074</v>
      </c>
      <c r="D251" s="706" t="s">
        <v>1841</v>
      </c>
      <c r="H251" s="1191"/>
      <c r="I251" s="706" t="s">
        <v>1993</v>
      </c>
      <c r="M251" s="706"/>
      <c r="N251" s="706"/>
      <c r="O251" s="706"/>
      <c r="P251" s="706"/>
    </row>
    <row r="252" spans="1:16">
      <c r="A252" s="706">
        <v>101975</v>
      </c>
      <c r="B252" s="706" t="s">
        <v>2075</v>
      </c>
      <c r="D252" s="706" t="s">
        <v>1841</v>
      </c>
      <c r="H252" s="1191"/>
      <c r="I252" s="706" t="s">
        <v>1993</v>
      </c>
      <c r="M252" s="706"/>
      <c r="N252" s="706"/>
      <c r="O252" s="706"/>
      <c r="P252" s="706"/>
    </row>
    <row r="253" spans="1:16">
      <c r="A253" s="706">
        <v>101976</v>
      </c>
      <c r="B253" s="706" t="s">
        <v>2076</v>
      </c>
      <c r="D253" s="706" t="s">
        <v>1841</v>
      </c>
      <c r="H253" s="1191"/>
      <c r="I253" s="706" t="s">
        <v>1993</v>
      </c>
      <c r="M253" s="706"/>
      <c r="N253" s="706"/>
      <c r="O253" s="706"/>
      <c r="P253" s="706"/>
    </row>
    <row r="254" spans="1:16">
      <c r="A254" s="706">
        <v>101977</v>
      </c>
      <c r="B254" s="706" t="s">
        <v>1810</v>
      </c>
      <c r="D254" s="706" t="s">
        <v>1841</v>
      </c>
      <c r="H254" s="1191"/>
      <c r="I254" s="706" t="s">
        <v>1993</v>
      </c>
      <c r="M254" s="706"/>
      <c r="N254" s="706"/>
      <c r="O254" s="706"/>
      <c r="P254" s="706"/>
    </row>
    <row r="255" spans="1:16">
      <c r="A255" s="706">
        <v>101978</v>
      </c>
      <c r="B255" s="706" t="s">
        <v>1809</v>
      </c>
      <c r="D255" s="706" t="s">
        <v>1841</v>
      </c>
      <c r="H255" s="1191"/>
      <c r="I255" s="706" t="s">
        <v>1993</v>
      </c>
      <c r="M255" s="706"/>
      <c r="N255" s="706"/>
      <c r="O255" s="706"/>
      <c r="P255" s="706"/>
    </row>
    <row r="256" spans="1:16">
      <c r="A256" s="706">
        <v>101979</v>
      </c>
      <c r="B256" s="706" t="s">
        <v>1808</v>
      </c>
      <c r="C256" s="706" t="s">
        <v>8189</v>
      </c>
      <c r="D256" s="706" t="s">
        <v>1841</v>
      </c>
      <c r="E256" s="706">
        <v>5.625</v>
      </c>
      <c r="F256" s="706" t="s">
        <v>768</v>
      </c>
      <c r="G256" s="706">
        <v>409310</v>
      </c>
      <c r="H256" s="1191">
        <v>45586</v>
      </c>
      <c r="I256" s="706" t="s">
        <v>1993</v>
      </c>
      <c r="M256" s="706"/>
      <c r="N256" s="706"/>
      <c r="O256" s="706"/>
      <c r="P256" s="706"/>
    </row>
    <row r="257" spans="1:16">
      <c r="A257" s="706">
        <v>101980</v>
      </c>
      <c r="B257" s="706" t="s">
        <v>1807</v>
      </c>
      <c r="C257" s="706" t="s">
        <v>8186</v>
      </c>
      <c r="D257" s="706" t="s">
        <v>1841</v>
      </c>
      <c r="E257" s="706">
        <v>3.04</v>
      </c>
      <c r="F257" s="706" t="s">
        <v>768</v>
      </c>
      <c r="G257" s="706">
        <v>405150</v>
      </c>
      <c r="H257" s="1191">
        <v>44726</v>
      </c>
      <c r="I257" s="706" t="s">
        <v>1993</v>
      </c>
      <c r="M257" s="706"/>
      <c r="N257" s="706"/>
      <c r="O257" s="706"/>
      <c r="P257" s="706"/>
    </row>
    <row r="258" spans="1:16">
      <c r="A258" s="706">
        <v>101981</v>
      </c>
      <c r="B258" s="706" t="s">
        <v>1806</v>
      </c>
      <c r="C258" s="706" t="s">
        <v>8188</v>
      </c>
      <c r="D258" s="706" t="s">
        <v>1841</v>
      </c>
      <c r="E258" s="706">
        <v>2.0308999999999999</v>
      </c>
      <c r="F258" s="706" t="s">
        <v>768</v>
      </c>
      <c r="G258" s="706">
        <v>410239</v>
      </c>
      <c r="H258" s="1191">
        <v>45776</v>
      </c>
      <c r="I258" s="706" t="s">
        <v>1993</v>
      </c>
      <c r="M258" s="706"/>
      <c r="N258" s="706"/>
      <c r="O258" s="706"/>
      <c r="P258" s="706"/>
    </row>
    <row r="259" spans="1:16">
      <c r="A259" s="706">
        <v>101982</v>
      </c>
      <c r="B259" s="706" t="s">
        <v>1805</v>
      </c>
      <c r="C259" s="706" t="s">
        <v>8186</v>
      </c>
      <c r="D259" s="706" t="s">
        <v>1841</v>
      </c>
      <c r="E259" s="706">
        <v>2.2200000000000002</v>
      </c>
      <c r="F259" s="706" t="s">
        <v>768</v>
      </c>
      <c r="G259" s="706">
        <v>411765</v>
      </c>
      <c r="H259" s="1191">
        <v>46071</v>
      </c>
      <c r="I259" s="706" t="s">
        <v>1993</v>
      </c>
      <c r="M259" s="706"/>
      <c r="N259" s="706"/>
      <c r="O259" s="706"/>
      <c r="P259" s="706"/>
    </row>
    <row r="260" spans="1:16">
      <c r="A260" s="706">
        <v>101983</v>
      </c>
      <c r="B260" s="706" t="s">
        <v>1804</v>
      </c>
      <c r="C260" s="706" t="s">
        <v>8186</v>
      </c>
      <c r="D260" s="706" t="s">
        <v>1841</v>
      </c>
      <c r="E260" s="706">
        <v>1.95</v>
      </c>
      <c r="F260" s="706" t="s">
        <v>768</v>
      </c>
      <c r="G260" s="706">
        <v>411784</v>
      </c>
      <c r="H260" s="1191">
        <v>46073</v>
      </c>
      <c r="I260" s="706" t="s">
        <v>1993</v>
      </c>
      <c r="M260" s="706"/>
      <c r="N260" s="706"/>
      <c r="O260" s="706"/>
      <c r="P260" s="706"/>
    </row>
    <row r="261" spans="1:16">
      <c r="A261" s="706">
        <v>101984</v>
      </c>
      <c r="B261" s="706" t="s">
        <v>1803</v>
      </c>
      <c r="C261" s="706" t="s">
        <v>8186</v>
      </c>
      <c r="D261" s="706" t="s">
        <v>1841</v>
      </c>
      <c r="E261" s="706">
        <v>2.06</v>
      </c>
      <c r="F261" s="706" t="s">
        <v>768</v>
      </c>
      <c r="G261" s="706">
        <v>411551</v>
      </c>
      <c r="H261" s="1191">
        <v>46037</v>
      </c>
      <c r="I261" s="706" t="s">
        <v>1993</v>
      </c>
      <c r="M261" s="706"/>
      <c r="N261" s="706"/>
      <c r="O261" s="706"/>
      <c r="P261" s="706"/>
    </row>
    <row r="262" spans="1:16">
      <c r="A262" s="706">
        <v>101985</v>
      </c>
      <c r="B262" s="706" t="s">
        <v>1802</v>
      </c>
      <c r="C262" s="706" t="s">
        <v>8186</v>
      </c>
      <c r="D262" s="706" t="s">
        <v>1841</v>
      </c>
      <c r="E262" s="706">
        <v>1.86</v>
      </c>
      <c r="F262" s="706" t="s">
        <v>768</v>
      </c>
      <c r="G262" s="706">
        <v>411784</v>
      </c>
      <c r="H262" s="1191">
        <v>46073</v>
      </c>
      <c r="I262" s="706" t="s">
        <v>1993</v>
      </c>
      <c r="M262" s="706"/>
      <c r="N262" s="706"/>
      <c r="O262" s="706"/>
      <c r="P262" s="706"/>
    </row>
    <row r="263" spans="1:16">
      <c r="A263" s="706">
        <v>101986</v>
      </c>
      <c r="B263" s="706" t="s">
        <v>1801</v>
      </c>
      <c r="C263" s="706" t="s">
        <v>8186</v>
      </c>
      <c r="D263" s="706" t="s">
        <v>1841</v>
      </c>
      <c r="E263" s="706">
        <v>1.81</v>
      </c>
      <c r="F263" s="706" t="s">
        <v>768</v>
      </c>
      <c r="G263" s="706">
        <v>411784</v>
      </c>
      <c r="H263" s="1191">
        <v>46073</v>
      </c>
      <c r="I263" s="706" t="s">
        <v>1993</v>
      </c>
      <c r="M263" s="706"/>
      <c r="N263" s="706"/>
      <c r="O263" s="706"/>
      <c r="P263" s="706"/>
    </row>
    <row r="264" spans="1:16">
      <c r="A264" s="706">
        <v>101987</v>
      </c>
      <c r="B264" s="706" t="s">
        <v>2077</v>
      </c>
      <c r="D264" s="706" t="s">
        <v>1841</v>
      </c>
      <c r="H264" s="1191"/>
      <c r="I264" s="706" t="s">
        <v>1993</v>
      </c>
      <c r="M264" s="706"/>
      <c r="N264" s="706"/>
      <c r="O264" s="706"/>
      <c r="P264" s="706"/>
    </row>
    <row r="265" spans="1:16">
      <c r="A265" s="706">
        <v>101988</v>
      </c>
      <c r="B265" s="706" t="s">
        <v>1792</v>
      </c>
      <c r="C265" s="706" t="s">
        <v>8189</v>
      </c>
      <c r="D265" s="706" t="s">
        <v>1841</v>
      </c>
      <c r="E265" s="706">
        <v>3.9361000000000002</v>
      </c>
      <c r="F265" s="706" t="s">
        <v>768</v>
      </c>
      <c r="G265" s="706">
        <v>406015</v>
      </c>
      <c r="H265" s="1191">
        <v>44931</v>
      </c>
      <c r="I265" s="706" t="s">
        <v>1993</v>
      </c>
      <c r="M265" s="706"/>
      <c r="N265" s="706"/>
      <c r="O265" s="706"/>
      <c r="P265" s="706"/>
    </row>
    <row r="266" spans="1:16">
      <c r="A266" s="706">
        <v>101989</v>
      </c>
      <c r="B266" s="706" t="s">
        <v>1791</v>
      </c>
      <c r="D266" s="706" t="s">
        <v>1841</v>
      </c>
      <c r="H266" s="1191"/>
      <c r="I266" s="706" t="s">
        <v>1993</v>
      </c>
      <c r="M266" s="706"/>
      <c r="N266" s="706"/>
      <c r="O266" s="706"/>
      <c r="P266" s="706"/>
    </row>
    <row r="267" spans="1:16">
      <c r="A267" s="706">
        <v>101990</v>
      </c>
      <c r="B267" s="706" t="s">
        <v>1790</v>
      </c>
      <c r="C267" s="706" t="s">
        <v>8189</v>
      </c>
      <c r="D267" s="706" t="s">
        <v>1841</v>
      </c>
      <c r="E267" s="706">
        <v>5.0888999999999998</v>
      </c>
      <c r="F267" s="706" t="s">
        <v>768</v>
      </c>
      <c r="G267" s="706">
        <v>40223</v>
      </c>
      <c r="H267" s="1191">
        <v>43900</v>
      </c>
      <c r="I267" s="706" t="s">
        <v>1993</v>
      </c>
      <c r="M267" s="706"/>
      <c r="N267" s="706"/>
      <c r="O267" s="706"/>
      <c r="P267" s="706"/>
    </row>
    <row r="268" spans="1:16">
      <c r="A268" s="706">
        <v>101991</v>
      </c>
      <c r="B268" s="706" t="s">
        <v>1789</v>
      </c>
      <c r="C268" s="706" t="s">
        <v>8186</v>
      </c>
      <c r="D268" s="706" t="s">
        <v>1841</v>
      </c>
      <c r="E268" s="706">
        <v>1.49</v>
      </c>
      <c r="F268" s="706" t="s">
        <v>768</v>
      </c>
      <c r="G268" s="706">
        <v>401424</v>
      </c>
      <c r="H268" s="1191">
        <v>44069</v>
      </c>
      <c r="I268" s="706" t="s">
        <v>1993</v>
      </c>
      <c r="M268" s="706"/>
      <c r="N268" s="706"/>
      <c r="O268" s="706"/>
      <c r="P268" s="706"/>
    </row>
    <row r="269" spans="1:16">
      <c r="A269" s="706">
        <v>101992</v>
      </c>
      <c r="B269" s="706" t="s">
        <v>1788</v>
      </c>
      <c r="D269" s="706" t="s">
        <v>1841</v>
      </c>
      <c r="H269" s="1191"/>
      <c r="I269" s="706" t="s">
        <v>1993</v>
      </c>
      <c r="M269" s="706"/>
      <c r="N269" s="706"/>
      <c r="O269" s="706"/>
      <c r="P269" s="706"/>
    </row>
    <row r="270" spans="1:16">
      <c r="A270" s="706">
        <v>101993</v>
      </c>
      <c r="B270" s="706" t="s">
        <v>1787</v>
      </c>
      <c r="C270" s="706" t="s">
        <v>8186</v>
      </c>
      <c r="D270" s="706" t="s">
        <v>1841</v>
      </c>
      <c r="E270" s="706">
        <v>2.5</v>
      </c>
      <c r="F270" s="706" t="s">
        <v>768</v>
      </c>
      <c r="G270" s="706">
        <v>405979</v>
      </c>
      <c r="H270" s="1191">
        <v>44915</v>
      </c>
      <c r="I270" s="706" t="s">
        <v>1993</v>
      </c>
      <c r="M270" s="706"/>
      <c r="N270" s="706"/>
      <c r="O270" s="706"/>
      <c r="P270" s="706"/>
    </row>
    <row r="271" spans="1:16">
      <c r="A271" s="706">
        <v>101994</v>
      </c>
      <c r="B271" s="706" t="s">
        <v>1786</v>
      </c>
      <c r="C271" s="706" t="s">
        <v>8186</v>
      </c>
      <c r="D271" s="706" t="s">
        <v>1841</v>
      </c>
      <c r="E271" s="706">
        <v>1.17</v>
      </c>
      <c r="F271" s="706" t="s">
        <v>768</v>
      </c>
      <c r="G271" s="706">
        <v>400400</v>
      </c>
      <c r="H271" s="1191">
        <v>43957</v>
      </c>
      <c r="I271" s="706" t="s">
        <v>1993</v>
      </c>
      <c r="M271" s="706"/>
      <c r="N271" s="706"/>
      <c r="O271" s="706"/>
      <c r="P271" s="706"/>
    </row>
    <row r="272" spans="1:16">
      <c r="A272" s="706">
        <v>101995</v>
      </c>
      <c r="B272" s="706" t="s">
        <v>1785</v>
      </c>
      <c r="C272" s="706" t="s">
        <v>8186</v>
      </c>
      <c r="D272" s="706" t="s">
        <v>1841</v>
      </c>
      <c r="E272" s="706">
        <v>1.1499999999999999</v>
      </c>
      <c r="F272" s="706" t="s">
        <v>768</v>
      </c>
      <c r="G272" s="706">
        <v>400410</v>
      </c>
      <c r="H272" s="1191">
        <v>43958</v>
      </c>
      <c r="I272" s="706" t="s">
        <v>1993</v>
      </c>
      <c r="M272" s="706"/>
      <c r="N272" s="706"/>
      <c r="O272" s="706"/>
      <c r="P272" s="706"/>
    </row>
    <row r="273" spans="1:16">
      <c r="A273" s="706">
        <v>101996</v>
      </c>
      <c r="B273" s="706" t="s">
        <v>1784</v>
      </c>
      <c r="C273" s="706" t="s">
        <v>8186</v>
      </c>
      <c r="D273" s="706" t="s">
        <v>1841</v>
      </c>
      <c r="E273" s="706">
        <v>1.56</v>
      </c>
      <c r="F273" s="706" t="s">
        <v>768</v>
      </c>
      <c r="G273" s="706">
        <v>409209</v>
      </c>
      <c r="H273" s="1191">
        <v>45561</v>
      </c>
      <c r="I273" s="706" t="s">
        <v>1993</v>
      </c>
      <c r="M273" s="706"/>
      <c r="N273" s="706"/>
      <c r="O273" s="706"/>
      <c r="P273" s="706"/>
    </row>
    <row r="274" spans="1:16">
      <c r="A274" s="706">
        <v>101997</v>
      </c>
      <c r="B274" s="706" t="s">
        <v>1783</v>
      </c>
      <c r="C274" s="706" t="s">
        <v>8186</v>
      </c>
      <c r="D274" s="706" t="s">
        <v>1841</v>
      </c>
      <c r="E274" s="706">
        <v>2.29</v>
      </c>
      <c r="F274" s="706" t="s">
        <v>768</v>
      </c>
      <c r="G274" s="706">
        <v>406528</v>
      </c>
      <c r="H274" s="1191">
        <v>45043</v>
      </c>
      <c r="I274" s="706" t="s">
        <v>1993</v>
      </c>
      <c r="M274" s="706"/>
      <c r="N274" s="706"/>
      <c r="O274" s="706"/>
      <c r="P274" s="706"/>
    </row>
    <row r="275" spans="1:16">
      <c r="A275" s="706">
        <v>101998</v>
      </c>
      <c r="B275" s="706" t="s">
        <v>2078</v>
      </c>
      <c r="D275" s="706" t="s">
        <v>1841</v>
      </c>
      <c r="H275" s="1191"/>
      <c r="I275" s="706" t="s">
        <v>1993</v>
      </c>
      <c r="M275" s="706"/>
      <c r="N275" s="706"/>
      <c r="O275" s="706"/>
      <c r="P275" s="706"/>
    </row>
    <row r="276" spans="1:16">
      <c r="A276" s="706">
        <v>102098</v>
      </c>
      <c r="B276" s="706" t="s">
        <v>2079</v>
      </c>
      <c r="C276" s="706" t="s">
        <v>2036</v>
      </c>
      <c r="D276" s="706" t="s">
        <v>1841</v>
      </c>
      <c r="E276" s="706">
        <v>7.07</v>
      </c>
      <c r="F276" s="706" t="s">
        <v>1014</v>
      </c>
      <c r="G276" s="706">
        <v>403783</v>
      </c>
      <c r="H276" s="1191">
        <v>44452</v>
      </c>
      <c r="I276" s="706" t="s">
        <v>1993</v>
      </c>
      <c r="M276" s="706"/>
      <c r="N276" s="706"/>
      <c r="O276" s="706"/>
      <c r="P276" s="706"/>
    </row>
    <row r="277" spans="1:16">
      <c r="A277" s="706">
        <v>102099</v>
      </c>
      <c r="B277" s="706" t="s">
        <v>2080</v>
      </c>
      <c r="C277" s="706" t="s">
        <v>2036</v>
      </c>
      <c r="D277" s="706" t="s">
        <v>1841</v>
      </c>
      <c r="E277" s="706">
        <v>7.24</v>
      </c>
      <c r="F277" s="706" t="s">
        <v>1014</v>
      </c>
      <c r="G277" s="706">
        <v>403782</v>
      </c>
      <c r="H277" s="1191">
        <v>44452</v>
      </c>
      <c r="I277" s="706" t="s">
        <v>1993</v>
      </c>
      <c r="M277" s="706"/>
      <c r="N277" s="706"/>
      <c r="O277" s="706"/>
      <c r="P277" s="706"/>
    </row>
    <row r="278" spans="1:16">
      <c r="A278" s="706">
        <v>102100</v>
      </c>
      <c r="B278" s="706" t="s">
        <v>2081</v>
      </c>
      <c r="D278" s="706" t="s">
        <v>1841</v>
      </c>
      <c r="H278" s="1191"/>
      <c r="I278" s="706" t="s">
        <v>1993</v>
      </c>
      <c r="M278" s="706"/>
      <c r="N278" s="706"/>
      <c r="O278" s="706"/>
      <c r="P278" s="706"/>
    </row>
    <row r="279" spans="1:16">
      <c r="A279" s="706">
        <v>102101</v>
      </c>
      <c r="B279" s="706" t="s">
        <v>2082</v>
      </c>
      <c r="D279" s="706" t="s">
        <v>1841</v>
      </c>
      <c r="H279" s="1191"/>
      <c r="I279" s="706" t="s">
        <v>1993</v>
      </c>
      <c r="M279" s="706"/>
      <c r="N279" s="706"/>
      <c r="O279" s="706"/>
      <c r="P279" s="706"/>
    </row>
    <row r="280" spans="1:16">
      <c r="A280" s="706">
        <v>102102</v>
      </c>
      <c r="B280" s="706" t="s">
        <v>2083</v>
      </c>
      <c r="D280" s="706" t="s">
        <v>1841</v>
      </c>
      <c r="H280" s="1191"/>
      <c r="I280" s="706" t="s">
        <v>1993</v>
      </c>
      <c r="M280" s="706"/>
      <c r="N280" s="706"/>
      <c r="O280" s="706"/>
      <c r="P280" s="706"/>
    </row>
    <row r="281" spans="1:16">
      <c r="A281" s="706">
        <v>102103</v>
      </c>
      <c r="B281" s="706" t="s">
        <v>2084</v>
      </c>
      <c r="D281" s="706" t="s">
        <v>1841</v>
      </c>
      <c r="H281" s="1191"/>
      <c r="I281" s="706" t="s">
        <v>1993</v>
      </c>
      <c r="M281" s="706"/>
      <c r="N281" s="706"/>
      <c r="O281" s="706"/>
      <c r="P281" s="706"/>
    </row>
    <row r="282" spans="1:16">
      <c r="A282" s="706">
        <v>102104</v>
      </c>
      <c r="B282" s="706" t="s">
        <v>2085</v>
      </c>
      <c r="D282" s="706" t="s">
        <v>1841</v>
      </c>
      <c r="H282" s="1191"/>
      <c r="I282" s="706" t="s">
        <v>1993</v>
      </c>
      <c r="M282" s="706"/>
      <c r="N282" s="706"/>
      <c r="O282" s="706"/>
      <c r="P282" s="706"/>
    </row>
    <row r="283" spans="1:16">
      <c r="A283" s="706">
        <v>102105</v>
      </c>
      <c r="B283" s="706" t="s">
        <v>2086</v>
      </c>
      <c r="C283" s="706" t="s">
        <v>2036</v>
      </c>
      <c r="D283" s="706" t="s">
        <v>1841</v>
      </c>
      <c r="E283" s="706">
        <v>6.19</v>
      </c>
      <c r="F283" s="706" t="s">
        <v>1014</v>
      </c>
      <c r="G283" s="706">
        <v>403782</v>
      </c>
      <c r="H283" s="1191">
        <v>44452</v>
      </c>
      <c r="I283" s="706" t="s">
        <v>1993</v>
      </c>
      <c r="M283" s="706"/>
      <c r="N283" s="706"/>
      <c r="O283" s="706"/>
      <c r="P283" s="706"/>
    </row>
    <row r="284" spans="1:16">
      <c r="A284" s="706">
        <v>102106</v>
      </c>
      <c r="B284" s="706" t="s">
        <v>2087</v>
      </c>
      <c r="C284" s="706" t="s">
        <v>2036</v>
      </c>
      <c r="D284" s="706" t="s">
        <v>1841</v>
      </c>
      <c r="E284" s="706">
        <v>6.52</v>
      </c>
      <c r="F284" s="706" t="s">
        <v>1014</v>
      </c>
      <c r="G284" s="706">
        <v>403426</v>
      </c>
      <c r="H284" s="1191">
        <v>44379</v>
      </c>
      <c r="I284" s="706" t="s">
        <v>1993</v>
      </c>
      <c r="M284" s="706"/>
      <c r="N284" s="706"/>
      <c r="O284" s="706"/>
      <c r="P284" s="706"/>
    </row>
    <row r="285" spans="1:16">
      <c r="A285" s="706">
        <v>102107</v>
      </c>
      <c r="B285" s="706" t="s">
        <v>2088</v>
      </c>
      <c r="C285" s="706" t="s">
        <v>2036</v>
      </c>
      <c r="D285" s="706" t="s">
        <v>1841</v>
      </c>
      <c r="E285" s="706">
        <v>6.14</v>
      </c>
      <c r="F285" s="706" t="s">
        <v>1014</v>
      </c>
      <c r="G285" s="706">
        <v>403426</v>
      </c>
      <c r="H285" s="1191">
        <v>44379</v>
      </c>
      <c r="I285" s="706" t="s">
        <v>1993</v>
      </c>
      <c r="M285" s="706"/>
      <c r="N285" s="706"/>
      <c r="O285" s="706"/>
      <c r="P285" s="706"/>
    </row>
    <row r="286" spans="1:16">
      <c r="A286" s="706">
        <v>102108</v>
      </c>
      <c r="B286" s="706" t="s">
        <v>2089</v>
      </c>
      <c r="C286" s="706" t="s">
        <v>2036</v>
      </c>
      <c r="D286" s="706" t="s">
        <v>1841</v>
      </c>
      <c r="E286" s="706">
        <v>84.5</v>
      </c>
      <c r="F286" s="706" t="s">
        <v>1014</v>
      </c>
      <c r="G286" s="706">
        <v>403426</v>
      </c>
      <c r="H286" s="1191">
        <v>44379</v>
      </c>
      <c r="I286" s="706" t="s">
        <v>1993</v>
      </c>
      <c r="M286" s="706"/>
      <c r="N286" s="706"/>
      <c r="O286" s="706"/>
      <c r="P286" s="706"/>
    </row>
    <row r="287" spans="1:16">
      <c r="A287" s="706">
        <v>102109</v>
      </c>
      <c r="B287" s="706" t="s">
        <v>2090</v>
      </c>
      <c r="C287" s="706" t="s">
        <v>2036</v>
      </c>
      <c r="D287" s="706" t="s">
        <v>1841</v>
      </c>
      <c r="E287" s="706">
        <v>84.31</v>
      </c>
      <c r="F287" s="706" t="s">
        <v>1014</v>
      </c>
      <c r="G287" s="706">
        <v>403782</v>
      </c>
      <c r="H287" s="1191">
        <v>44452</v>
      </c>
      <c r="I287" s="706" t="s">
        <v>1993</v>
      </c>
      <c r="M287" s="706"/>
      <c r="N287" s="706"/>
      <c r="O287" s="706"/>
      <c r="P287" s="706"/>
    </row>
    <row r="288" spans="1:16">
      <c r="A288" s="706">
        <v>102110</v>
      </c>
      <c r="B288" s="706" t="s">
        <v>2091</v>
      </c>
      <c r="C288" s="706" t="s">
        <v>2036</v>
      </c>
      <c r="D288" s="706" t="s">
        <v>1841</v>
      </c>
      <c r="E288" s="706">
        <v>4.76</v>
      </c>
      <c r="F288" s="706" t="s">
        <v>1014</v>
      </c>
      <c r="G288" s="706">
        <v>403962</v>
      </c>
      <c r="H288" s="1191">
        <v>44487</v>
      </c>
      <c r="I288" s="706" t="s">
        <v>1993</v>
      </c>
      <c r="M288" s="706"/>
      <c r="N288" s="706"/>
      <c r="O288" s="706"/>
      <c r="P288" s="706"/>
    </row>
    <row r="289" spans="1:16">
      <c r="A289" s="706">
        <v>102111</v>
      </c>
      <c r="B289" s="706" t="s">
        <v>2092</v>
      </c>
      <c r="C289" s="706" t="s">
        <v>2036</v>
      </c>
      <c r="D289" s="706" t="s">
        <v>1841</v>
      </c>
      <c r="E289" s="706">
        <v>5.56</v>
      </c>
      <c r="F289" s="706" t="s">
        <v>1014</v>
      </c>
      <c r="G289" s="706">
        <v>403962</v>
      </c>
      <c r="H289" s="1191">
        <v>44487</v>
      </c>
      <c r="I289" s="706" t="s">
        <v>1993</v>
      </c>
      <c r="M289" s="706"/>
      <c r="N289" s="706"/>
      <c r="O289" s="706"/>
      <c r="P289" s="706"/>
    </row>
    <row r="290" spans="1:16">
      <c r="A290" s="706">
        <v>102112</v>
      </c>
      <c r="B290" s="706" t="s">
        <v>2093</v>
      </c>
      <c r="C290" s="706" t="s">
        <v>2036</v>
      </c>
      <c r="D290" s="706" t="s">
        <v>1841</v>
      </c>
      <c r="E290" s="706">
        <v>5.57</v>
      </c>
      <c r="F290" s="706" t="s">
        <v>1014</v>
      </c>
      <c r="G290" s="706">
        <v>403962</v>
      </c>
      <c r="H290" s="1191">
        <v>44487</v>
      </c>
      <c r="I290" s="706" t="s">
        <v>1993</v>
      </c>
      <c r="M290" s="706"/>
      <c r="N290" s="706"/>
      <c r="O290" s="706"/>
      <c r="P290" s="706"/>
    </row>
    <row r="291" spans="1:16">
      <c r="A291" s="706">
        <v>102113</v>
      </c>
      <c r="B291" s="706" t="s">
        <v>2094</v>
      </c>
      <c r="D291" s="706" t="s">
        <v>1841</v>
      </c>
      <c r="H291" s="1191"/>
      <c r="I291" s="706" t="s">
        <v>1993</v>
      </c>
      <c r="M291" s="706"/>
      <c r="N291" s="706"/>
      <c r="O291" s="706"/>
      <c r="P291" s="706"/>
    </row>
    <row r="292" spans="1:16">
      <c r="A292" s="706">
        <v>102114</v>
      </c>
      <c r="B292" s="706" t="s">
        <v>2095</v>
      </c>
      <c r="C292" s="706" t="s">
        <v>2036</v>
      </c>
      <c r="D292" s="706" t="s">
        <v>1841</v>
      </c>
      <c r="E292" s="706">
        <v>61.13</v>
      </c>
      <c r="F292" s="706" t="s">
        <v>1014</v>
      </c>
      <c r="G292" s="706">
        <v>403962</v>
      </c>
      <c r="H292" s="1191">
        <v>44487</v>
      </c>
      <c r="I292" s="706" t="s">
        <v>1993</v>
      </c>
      <c r="M292" s="706"/>
      <c r="N292" s="706"/>
      <c r="O292" s="706"/>
      <c r="P292" s="706"/>
    </row>
    <row r="293" spans="1:16">
      <c r="A293" s="706">
        <v>102115</v>
      </c>
      <c r="B293" s="706" t="s">
        <v>2096</v>
      </c>
      <c r="D293" s="706" t="s">
        <v>1841</v>
      </c>
      <c r="H293" s="1191"/>
      <c r="I293" s="706" t="s">
        <v>1993</v>
      </c>
      <c r="M293" s="706"/>
      <c r="N293" s="706"/>
      <c r="O293" s="706"/>
      <c r="P293" s="706"/>
    </row>
    <row r="294" spans="1:16">
      <c r="A294" s="706">
        <v>102116</v>
      </c>
      <c r="B294" s="706" t="s">
        <v>2097</v>
      </c>
      <c r="D294" s="706" t="s">
        <v>1841</v>
      </c>
      <c r="H294" s="1191"/>
      <c r="I294" s="706" t="s">
        <v>1993</v>
      </c>
      <c r="M294" s="706"/>
      <c r="N294" s="706"/>
      <c r="O294" s="706"/>
      <c r="P294" s="706"/>
    </row>
    <row r="295" spans="1:16">
      <c r="A295" s="706">
        <v>102117</v>
      </c>
      <c r="B295" s="706" t="s">
        <v>2098</v>
      </c>
      <c r="D295" s="706" t="s">
        <v>1841</v>
      </c>
      <c r="H295" s="1191"/>
      <c r="I295" s="706" t="s">
        <v>1993</v>
      </c>
      <c r="M295" s="706"/>
      <c r="N295" s="706"/>
      <c r="O295" s="706"/>
      <c r="P295" s="706"/>
    </row>
    <row r="296" spans="1:16">
      <c r="A296" s="706">
        <v>102118</v>
      </c>
      <c r="B296" s="706" t="s">
        <v>2099</v>
      </c>
      <c r="D296" s="706" t="s">
        <v>1841</v>
      </c>
      <c r="H296" s="1191"/>
      <c r="I296" s="706" t="s">
        <v>1993</v>
      </c>
      <c r="M296" s="706"/>
      <c r="N296" s="706"/>
      <c r="O296" s="706"/>
      <c r="P296" s="706"/>
    </row>
    <row r="297" spans="1:16">
      <c r="A297" s="706">
        <v>102119</v>
      </c>
      <c r="B297" s="706" t="s">
        <v>2100</v>
      </c>
      <c r="D297" s="706" t="s">
        <v>1841</v>
      </c>
      <c r="H297" s="1191"/>
      <c r="I297" s="706" t="s">
        <v>1993</v>
      </c>
      <c r="M297" s="706"/>
      <c r="N297" s="706"/>
      <c r="O297" s="706"/>
      <c r="P297" s="706"/>
    </row>
    <row r="298" spans="1:16">
      <c r="A298" s="706">
        <v>102120</v>
      </c>
      <c r="B298" s="706" t="s">
        <v>2101</v>
      </c>
      <c r="D298" s="706" t="s">
        <v>1841</v>
      </c>
      <c r="H298" s="1191"/>
      <c r="I298" s="706" t="s">
        <v>1993</v>
      </c>
      <c r="M298" s="706"/>
      <c r="N298" s="706"/>
      <c r="O298" s="706"/>
      <c r="P298" s="706"/>
    </row>
    <row r="299" spans="1:16">
      <c r="A299" s="706">
        <v>102121</v>
      </c>
      <c r="B299" s="706" t="s">
        <v>2102</v>
      </c>
      <c r="D299" s="706" t="s">
        <v>1841</v>
      </c>
      <c r="H299" s="1191"/>
      <c r="I299" s="706" t="s">
        <v>1993</v>
      </c>
      <c r="M299" s="706"/>
      <c r="N299" s="706"/>
      <c r="O299" s="706"/>
      <c r="P299" s="706"/>
    </row>
    <row r="300" spans="1:16">
      <c r="A300" s="706">
        <v>102122</v>
      </c>
      <c r="B300" s="706" t="s">
        <v>2103</v>
      </c>
      <c r="D300" s="706" t="s">
        <v>1841</v>
      </c>
      <c r="H300" s="1191"/>
      <c r="I300" s="706" t="s">
        <v>1993</v>
      </c>
      <c r="M300" s="706"/>
      <c r="N300" s="706"/>
      <c r="O300" s="706"/>
      <c r="P300" s="706"/>
    </row>
    <row r="301" spans="1:16">
      <c r="A301" s="706">
        <v>102123</v>
      </c>
      <c r="B301" s="706" t="s">
        <v>2104</v>
      </c>
      <c r="C301" s="706" t="s">
        <v>2036</v>
      </c>
      <c r="D301" s="706" t="s">
        <v>1841</v>
      </c>
      <c r="E301" s="706">
        <v>93.92</v>
      </c>
      <c r="F301" s="706" t="s">
        <v>1014</v>
      </c>
      <c r="G301" s="706">
        <v>403474</v>
      </c>
      <c r="H301" s="1191">
        <v>44389</v>
      </c>
      <c r="I301" s="706" t="s">
        <v>1993</v>
      </c>
      <c r="M301" s="706"/>
      <c r="N301" s="706"/>
      <c r="O301" s="706"/>
      <c r="P301" s="706"/>
    </row>
    <row r="302" spans="1:16">
      <c r="A302" s="706">
        <v>102725</v>
      </c>
      <c r="B302" s="706" t="s">
        <v>2105</v>
      </c>
      <c r="D302" s="706" t="s">
        <v>1841</v>
      </c>
      <c r="H302" s="1191"/>
      <c r="I302" s="706" t="s">
        <v>2106</v>
      </c>
      <c r="M302" s="706"/>
      <c r="N302" s="706"/>
      <c r="O302" s="706"/>
      <c r="P302" s="706"/>
    </row>
    <row r="303" spans="1:16">
      <c r="A303" s="706">
        <v>102726</v>
      </c>
      <c r="B303" s="706" t="s">
        <v>2107</v>
      </c>
      <c r="D303" s="706" t="s">
        <v>1841</v>
      </c>
      <c r="H303" s="1191"/>
      <c r="I303" s="706" t="s">
        <v>2106</v>
      </c>
      <c r="M303" s="706"/>
      <c r="N303" s="706"/>
      <c r="O303" s="706"/>
      <c r="P303" s="706"/>
    </row>
    <row r="304" spans="1:16">
      <c r="A304" s="706">
        <v>102727</v>
      </c>
      <c r="B304" s="706" t="s">
        <v>2108</v>
      </c>
      <c r="D304" s="706" t="s">
        <v>1841</v>
      </c>
      <c r="H304" s="1191"/>
      <c r="I304" s="706" t="s">
        <v>2106</v>
      </c>
      <c r="M304" s="706"/>
      <c r="N304" s="706"/>
      <c r="O304" s="706"/>
      <c r="P304" s="706"/>
    </row>
    <row r="305" spans="1:16">
      <c r="A305" s="706">
        <v>102728</v>
      </c>
      <c r="B305" s="706" t="s">
        <v>2109</v>
      </c>
      <c r="D305" s="706" t="s">
        <v>1841</v>
      </c>
      <c r="H305" s="1191"/>
      <c r="I305" s="706" t="s">
        <v>2106</v>
      </c>
      <c r="M305" s="706"/>
      <c r="N305" s="706"/>
      <c r="O305" s="706"/>
      <c r="P305" s="706"/>
    </row>
    <row r="306" spans="1:16">
      <c r="A306" s="706">
        <v>102729</v>
      </c>
      <c r="B306" s="706" t="s">
        <v>2110</v>
      </c>
      <c r="D306" s="706" t="s">
        <v>1841</v>
      </c>
      <c r="H306" s="1191"/>
      <c r="I306" s="706" t="s">
        <v>2106</v>
      </c>
      <c r="M306" s="706"/>
      <c r="N306" s="706"/>
      <c r="O306" s="706"/>
      <c r="P306" s="706"/>
    </row>
    <row r="307" spans="1:16">
      <c r="A307" s="706">
        <v>102730</v>
      </c>
      <c r="B307" s="706" t="s">
        <v>2111</v>
      </c>
      <c r="D307" s="706" t="s">
        <v>1841</v>
      </c>
      <c r="H307" s="1191"/>
      <c r="I307" s="706" t="s">
        <v>2106</v>
      </c>
      <c r="M307" s="706"/>
      <c r="N307" s="706"/>
      <c r="O307" s="706"/>
      <c r="P307" s="706"/>
    </row>
    <row r="308" spans="1:16">
      <c r="A308" s="706">
        <v>102731</v>
      </c>
      <c r="B308" s="706" t="s">
        <v>2112</v>
      </c>
      <c r="D308" s="706" t="s">
        <v>1841</v>
      </c>
      <c r="H308" s="1191"/>
      <c r="I308" s="706" t="s">
        <v>2106</v>
      </c>
      <c r="M308" s="706"/>
      <c r="N308" s="706"/>
      <c r="O308" s="706"/>
      <c r="P308" s="706"/>
    </row>
    <row r="309" spans="1:16">
      <c r="A309" s="706">
        <v>102732</v>
      </c>
      <c r="B309" s="706" t="s">
        <v>2113</v>
      </c>
      <c r="D309" s="706" t="s">
        <v>1841</v>
      </c>
      <c r="H309" s="1191"/>
      <c r="I309" s="706" t="s">
        <v>2106</v>
      </c>
      <c r="M309" s="706"/>
      <c r="N309" s="706"/>
      <c r="O309" s="706"/>
      <c r="P309" s="706"/>
    </row>
    <row r="310" spans="1:16">
      <c r="A310" s="706">
        <v>102733</v>
      </c>
      <c r="B310" s="706" t="s">
        <v>2114</v>
      </c>
      <c r="C310" s="706" t="s">
        <v>8189</v>
      </c>
      <c r="D310" s="706" t="s">
        <v>1841</v>
      </c>
      <c r="E310" s="706">
        <v>50</v>
      </c>
      <c r="F310" s="706" t="s">
        <v>28</v>
      </c>
      <c r="G310" s="706">
        <v>410326</v>
      </c>
      <c r="H310" s="1191">
        <v>45791</v>
      </c>
      <c r="I310" s="706" t="s">
        <v>2106</v>
      </c>
      <c r="M310" s="706"/>
      <c r="N310" s="706"/>
      <c r="O310" s="706"/>
      <c r="P310" s="706"/>
    </row>
    <row r="311" spans="1:16">
      <c r="A311" s="706">
        <v>102734</v>
      </c>
      <c r="B311" s="706" t="s">
        <v>2115</v>
      </c>
      <c r="D311" s="706" t="s">
        <v>1841</v>
      </c>
      <c r="H311" s="1191"/>
      <c r="I311" s="706" t="s">
        <v>2106</v>
      </c>
      <c r="M311" s="706"/>
      <c r="N311" s="706"/>
      <c r="O311" s="706"/>
      <c r="P311" s="706"/>
    </row>
    <row r="312" spans="1:16">
      <c r="A312" s="706">
        <v>102735</v>
      </c>
      <c r="B312" s="706" t="s">
        <v>2116</v>
      </c>
      <c r="C312" s="706" t="s">
        <v>8189</v>
      </c>
      <c r="D312" s="706" t="s">
        <v>1841</v>
      </c>
      <c r="E312" s="706">
        <v>3.75</v>
      </c>
      <c r="F312" s="706" t="s">
        <v>28</v>
      </c>
      <c r="G312" s="706">
        <v>411132</v>
      </c>
      <c r="H312" s="1191">
        <v>45946</v>
      </c>
      <c r="I312" s="706" t="s">
        <v>2106</v>
      </c>
      <c r="M312" s="706"/>
      <c r="N312" s="706"/>
      <c r="O312" s="706"/>
      <c r="P312" s="706"/>
    </row>
    <row r="313" spans="1:16">
      <c r="A313" s="706">
        <v>102736</v>
      </c>
      <c r="B313" s="706" t="s">
        <v>2117</v>
      </c>
      <c r="D313" s="706" t="s">
        <v>1841</v>
      </c>
      <c r="H313" s="1191"/>
      <c r="I313" s="706" t="s">
        <v>2106</v>
      </c>
      <c r="M313" s="706"/>
      <c r="N313" s="706"/>
      <c r="O313" s="706"/>
      <c r="P313" s="706"/>
    </row>
    <row r="314" spans="1:16">
      <c r="A314" s="706">
        <v>102737</v>
      </c>
      <c r="B314" s="706" t="s">
        <v>2118</v>
      </c>
      <c r="C314" s="706" t="s">
        <v>8189</v>
      </c>
      <c r="D314" s="706" t="s">
        <v>1841</v>
      </c>
      <c r="E314" s="706">
        <v>4.1665999999999999</v>
      </c>
      <c r="F314" s="706" t="s">
        <v>28</v>
      </c>
      <c r="G314" s="706">
        <v>411230</v>
      </c>
      <c r="H314" s="1191">
        <v>45966</v>
      </c>
      <c r="I314" s="706" t="s">
        <v>2106</v>
      </c>
      <c r="M314" s="706"/>
      <c r="N314" s="706"/>
      <c r="O314" s="706"/>
      <c r="P314" s="706"/>
    </row>
    <row r="315" spans="1:16">
      <c r="A315" s="706">
        <v>102738</v>
      </c>
      <c r="B315" s="706" t="s">
        <v>2119</v>
      </c>
      <c r="C315" s="706" t="s">
        <v>8187</v>
      </c>
      <c r="D315" s="706" t="s">
        <v>1841</v>
      </c>
      <c r="E315" s="706">
        <v>10.8066</v>
      </c>
      <c r="F315" s="706" t="s">
        <v>28</v>
      </c>
      <c r="G315" s="706">
        <v>410686</v>
      </c>
      <c r="H315" s="1191">
        <v>45869</v>
      </c>
      <c r="I315" s="706" t="s">
        <v>2106</v>
      </c>
      <c r="M315" s="706"/>
      <c r="N315" s="706"/>
      <c r="O315" s="706"/>
      <c r="P315" s="706"/>
    </row>
    <row r="316" spans="1:16">
      <c r="A316" s="706">
        <v>102739</v>
      </c>
      <c r="B316" s="706" t="s">
        <v>2120</v>
      </c>
      <c r="D316" s="706" t="s">
        <v>1841</v>
      </c>
      <c r="H316" s="1191"/>
      <c r="I316" s="706" t="s">
        <v>2106</v>
      </c>
      <c r="M316" s="706"/>
      <c r="N316" s="706"/>
      <c r="O316" s="706"/>
      <c r="P316" s="706"/>
    </row>
    <row r="317" spans="1:16">
      <c r="A317" s="706">
        <v>102740</v>
      </c>
      <c r="B317" s="706" t="s">
        <v>2121</v>
      </c>
      <c r="D317" s="706" t="s">
        <v>1841</v>
      </c>
      <c r="H317" s="1191"/>
      <c r="I317" s="706" t="s">
        <v>2106</v>
      </c>
      <c r="M317" s="706"/>
      <c r="N317" s="706"/>
      <c r="O317" s="706"/>
      <c r="P317" s="706"/>
    </row>
    <row r="318" spans="1:16">
      <c r="A318" s="706">
        <v>102741</v>
      </c>
      <c r="B318" s="706" t="s">
        <v>2122</v>
      </c>
      <c r="D318" s="706" t="s">
        <v>1841</v>
      </c>
      <c r="H318" s="1191"/>
      <c r="I318" s="706" t="s">
        <v>2106</v>
      </c>
      <c r="M318" s="706"/>
      <c r="N318" s="706"/>
      <c r="O318" s="706"/>
      <c r="P318" s="706"/>
    </row>
    <row r="319" spans="1:16">
      <c r="A319" s="706">
        <v>102742</v>
      </c>
      <c r="B319" s="706" t="s">
        <v>2123</v>
      </c>
      <c r="D319" s="706" t="s">
        <v>1841</v>
      </c>
      <c r="H319" s="1191"/>
      <c r="I319" s="706" t="s">
        <v>2106</v>
      </c>
      <c r="M319" s="706"/>
      <c r="N319" s="706"/>
      <c r="O319" s="706"/>
      <c r="P319" s="706"/>
    </row>
    <row r="320" spans="1:16">
      <c r="A320" s="706">
        <v>102743</v>
      </c>
      <c r="B320" s="706" t="s">
        <v>2124</v>
      </c>
      <c r="D320" s="706" t="s">
        <v>1841</v>
      </c>
      <c r="H320" s="1191"/>
      <c r="I320" s="706" t="s">
        <v>2106</v>
      </c>
      <c r="M320" s="706"/>
      <c r="N320" s="706"/>
      <c r="O320" s="706"/>
      <c r="P320" s="706"/>
    </row>
    <row r="321" spans="1:16">
      <c r="A321" s="706">
        <v>102744</v>
      </c>
      <c r="B321" s="706" t="s">
        <v>2125</v>
      </c>
      <c r="C321" s="706" t="s">
        <v>8189</v>
      </c>
      <c r="D321" s="706" t="s">
        <v>1841</v>
      </c>
      <c r="E321" s="706">
        <v>31</v>
      </c>
      <c r="F321" s="706" t="s">
        <v>28</v>
      </c>
      <c r="G321" s="706">
        <v>407514</v>
      </c>
      <c r="H321" s="1191">
        <v>45245</v>
      </c>
      <c r="I321" s="706" t="s">
        <v>2106</v>
      </c>
      <c r="M321" s="706"/>
      <c r="N321" s="706"/>
      <c r="O321" s="706"/>
      <c r="P321" s="706"/>
    </row>
    <row r="322" spans="1:16">
      <c r="A322" s="706">
        <v>102745</v>
      </c>
      <c r="B322" s="706" t="s">
        <v>2126</v>
      </c>
      <c r="C322" s="706" t="s">
        <v>8189</v>
      </c>
      <c r="D322" s="706" t="s">
        <v>1841</v>
      </c>
      <c r="E322" s="706">
        <v>17.5</v>
      </c>
      <c r="F322" s="706" t="s">
        <v>28</v>
      </c>
      <c r="G322" s="706">
        <v>411115</v>
      </c>
      <c r="H322" s="1191">
        <v>45944</v>
      </c>
      <c r="I322" s="706" t="s">
        <v>2106</v>
      </c>
      <c r="M322" s="706"/>
      <c r="N322" s="706"/>
      <c r="O322" s="706"/>
      <c r="P322" s="706"/>
    </row>
    <row r="323" spans="1:16">
      <c r="A323" s="706">
        <v>102746</v>
      </c>
      <c r="B323" s="706" t="s">
        <v>2127</v>
      </c>
      <c r="C323" s="706" t="s">
        <v>8189</v>
      </c>
      <c r="D323" s="706" t="s">
        <v>1841</v>
      </c>
      <c r="E323" s="706">
        <v>16</v>
      </c>
      <c r="F323" s="706" t="s">
        <v>28</v>
      </c>
      <c r="G323" s="706">
        <v>408407</v>
      </c>
      <c r="H323" s="1191">
        <v>45411</v>
      </c>
      <c r="I323" s="706" t="s">
        <v>2106</v>
      </c>
      <c r="M323" s="706"/>
      <c r="N323" s="706"/>
      <c r="O323" s="706"/>
      <c r="P323" s="706"/>
    </row>
    <row r="324" spans="1:16">
      <c r="A324" s="706">
        <v>102747</v>
      </c>
      <c r="B324" s="706" t="s">
        <v>2128</v>
      </c>
      <c r="D324" s="706" t="s">
        <v>1841</v>
      </c>
      <c r="H324" s="1191"/>
      <c r="I324" s="706" t="s">
        <v>2106</v>
      </c>
      <c r="M324" s="706"/>
      <c r="N324" s="706"/>
      <c r="O324" s="706"/>
      <c r="P324" s="706"/>
    </row>
    <row r="325" spans="1:16">
      <c r="A325" s="706">
        <v>102748</v>
      </c>
      <c r="B325" s="706" t="s">
        <v>2129</v>
      </c>
      <c r="C325" s="706" t="s">
        <v>8189</v>
      </c>
      <c r="D325" s="706" t="s">
        <v>1841</v>
      </c>
      <c r="E325" s="706">
        <v>95</v>
      </c>
      <c r="F325" s="706" t="s">
        <v>28</v>
      </c>
      <c r="G325" s="706">
        <v>410142</v>
      </c>
      <c r="H325" s="1191">
        <v>45756</v>
      </c>
      <c r="I325" s="706" t="s">
        <v>2106</v>
      </c>
      <c r="M325" s="706"/>
      <c r="N325" s="706"/>
      <c r="O325" s="706"/>
      <c r="P325" s="706"/>
    </row>
    <row r="326" spans="1:16">
      <c r="A326" s="706">
        <v>102749</v>
      </c>
      <c r="B326" s="706" t="s">
        <v>2130</v>
      </c>
      <c r="D326" s="706" t="s">
        <v>1841</v>
      </c>
      <c r="H326" s="1191"/>
      <c r="I326" s="706" t="s">
        <v>2106</v>
      </c>
      <c r="M326" s="706"/>
      <c r="N326" s="706"/>
      <c r="O326" s="706"/>
      <c r="P326" s="706"/>
    </row>
    <row r="327" spans="1:16">
      <c r="A327" s="706">
        <v>102750</v>
      </c>
      <c r="B327" s="706" t="s">
        <v>2131</v>
      </c>
      <c r="D327" s="706" t="s">
        <v>1841</v>
      </c>
      <c r="H327" s="1191"/>
      <c r="I327" s="706" t="s">
        <v>2106</v>
      </c>
      <c r="M327" s="706"/>
      <c r="N327" s="706"/>
      <c r="O327" s="706"/>
      <c r="P327" s="706"/>
    </row>
    <row r="328" spans="1:16">
      <c r="A328" s="706">
        <v>102751</v>
      </c>
      <c r="B328" s="706" t="s">
        <v>2132</v>
      </c>
      <c r="D328" s="706" t="s">
        <v>1841</v>
      </c>
      <c r="H328" s="1191"/>
      <c r="I328" s="706" t="s">
        <v>2106</v>
      </c>
      <c r="M328" s="706"/>
      <c r="N328" s="706"/>
      <c r="O328" s="706"/>
      <c r="P328" s="706"/>
    </row>
    <row r="329" spans="1:16">
      <c r="A329" s="706">
        <v>102752</v>
      </c>
      <c r="B329" s="706" t="s">
        <v>2133</v>
      </c>
      <c r="D329" s="706" t="s">
        <v>1841</v>
      </c>
      <c r="H329" s="1191"/>
      <c r="I329" s="706" t="s">
        <v>2106</v>
      </c>
      <c r="M329" s="706"/>
      <c r="N329" s="706"/>
      <c r="O329" s="706"/>
      <c r="P329" s="706"/>
    </row>
    <row r="330" spans="1:16">
      <c r="A330" s="706">
        <v>102753</v>
      </c>
      <c r="B330" s="706" t="s">
        <v>2134</v>
      </c>
      <c r="D330" s="706" t="s">
        <v>1841</v>
      </c>
      <c r="H330" s="1191"/>
      <c r="I330" s="706" t="s">
        <v>2106</v>
      </c>
      <c r="M330" s="706"/>
      <c r="N330" s="706"/>
      <c r="O330" s="706"/>
      <c r="P330" s="706"/>
    </row>
    <row r="331" spans="1:16">
      <c r="A331" s="706">
        <v>102754</v>
      </c>
      <c r="B331" s="706" t="s">
        <v>2135</v>
      </c>
      <c r="D331" s="706" t="s">
        <v>1841</v>
      </c>
      <c r="H331" s="1191"/>
      <c r="I331" s="706" t="s">
        <v>2106</v>
      </c>
      <c r="M331" s="706"/>
      <c r="N331" s="706"/>
      <c r="O331" s="706"/>
      <c r="P331" s="706"/>
    </row>
    <row r="332" spans="1:16">
      <c r="A332" s="706">
        <v>102755</v>
      </c>
      <c r="B332" s="706" t="s">
        <v>2136</v>
      </c>
      <c r="D332" s="706" t="s">
        <v>1841</v>
      </c>
      <c r="H332" s="1191"/>
      <c r="I332" s="706" t="s">
        <v>2106</v>
      </c>
      <c r="M332" s="706"/>
      <c r="N332" s="706"/>
      <c r="O332" s="706"/>
      <c r="P332" s="706"/>
    </row>
    <row r="333" spans="1:16">
      <c r="A333" s="706">
        <v>102756</v>
      </c>
      <c r="B333" s="706" t="s">
        <v>2137</v>
      </c>
      <c r="D333" s="706" t="s">
        <v>1841</v>
      </c>
      <c r="H333" s="1191"/>
      <c r="I333" s="706" t="s">
        <v>2106</v>
      </c>
      <c r="M333" s="706"/>
      <c r="N333" s="706"/>
      <c r="O333" s="706"/>
      <c r="P333" s="706"/>
    </row>
    <row r="334" spans="1:16">
      <c r="A334" s="706">
        <v>102757</v>
      </c>
      <c r="B334" s="706" t="s">
        <v>2138</v>
      </c>
      <c r="C334" s="706" t="s">
        <v>8189</v>
      </c>
      <c r="D334" s="706" t="s">
        <v>1841</v>
      </c>
      <c r="E334" s="706">
        <v>15</v>
      </c>
      <c r="F334" s="706" t="s">
        <v>28</v>
      </c>
      <c r="G334" s="706">
        <v>407919</v>
      </c>
      <c r="H334" s="1191">
        <v>45323</v>
      </c>
      <c r="I334" s="706" t="s">
        <v>2106</v>
      </c>
      <c r="M334" s="706"/>
      <c r="N334" s="706"/>
      <c r="O334" s="706"/>
      <c r="P334" s="706"/>
    </row>
    <row r="335" spans="1:16">
      <c r="A335" s="706">
        <v>102758</v>
      </c>
      <c r="B335" s="706" t="s">
        <v>2139</v>
      </c>
      <c r="C335" s="706" t="s">
        <v>8189</v>
      </c>
      <c r="D335" s="706" t="s">
        <v>1841</v>
      </c>
      <c r="E335" s="706">
        <v>10.5</v>
      </c>
      <c r="F335" s="706" t="s">
        <v>28</v>
      </c>
      <c r="G335" s="706">
        <v>408140</v>
      </c>
      <c r="H335" s="1191">
        <v>45363</v>
      </c>
      <c r="I335" s="706" t="s">
        <v>2106</v>
      </c>
      <c r="M335" s="706"/>
      <c r="N335" s="706"/>
      <c r="O335" s="706"/>
      <c r="P335" s="706"/>
    </row>
    <row r="336" spans="1:16">
      <c r="A336" s="706">
        <v>102759</v>
      </c>
      <c r="B336" s="706" t="s">
        <v>2140</v>
      </c>
      <c r="D336" s="706" t="s">
        <v>1841</v>
      </c>
      <c r="H336" s="1191"/>
      <c r="I336" s="706" t="s">
        <v>2106</v>
      </c>
      <c r="M336" s="706"/>
      <c r="N336" s="706"/>
      <c r="O336" s="706"/>
      <c r="P336" s="706"/>
    </row>
    <row r="337" spans="1:16">
      <c r="A337" s="706">
        <v>102760</v>
      </c>
      <c r="B337" s="706" t="s">
        <v>2141</v>
      </c>
      <c r="D337" s="706" t="s">
        <v>1841</v>
      </c>
      <c r="H337" s="1191"/>
      <c r="I337" s="706" t="s">
        <v>2106</v>
      </c>
      <c r="M337" s="706"/>
      <c r="N337" s="706"/>
      <c r="O337" s="706"/>
      <c r="P337" s="706"/>
    </row>
    <row r="338" spans="1:16">
      <c r="A338" s="706">
        <v>102761</v>
      </c>
      <c r="B338" s="706" t="s">
        <v>2142</v>
      </c>
      <c r="D338" s="706" t="s">
        <v>1841</v>
      </c>
      <c r="H338" s="1191"/>
      <c r="I338" s="706" t="s">
        <v>2106</v>
      </c>
      <c r="M338" s="706"/>
      <c r="N338" s="706"/>
      <c r="O338" s="706"/>
      <c r="P338" s="706"/>
    </row>
    <row r="339" spans="1:16">
      <c r="A339" s="706">
        <v>102762</v>
      </c>
      <c r="B339" s="706" t="s">
        <v>2143</v>
      </c>
      <c r="D339" s="706" t="s">
        <v>1841</v>
      </c>
      <c r="H339" s="1191"/>
      <c r="I339" s="706" t="s">
        <v>2106</v>
      </c>
      <c r="M339" s="706"/>
      <c r="N339" s="706"/>
      <c r="O339" s="706"/>
      <c r="P339" s="706"/>
    </row>
    <row r="340" spans="1:16">
      <c r="A340" s="706">
        <v>102763</v>
      </c>
      <c r="B340" s="706" t="s">
        <v>2144</v>
      </c>
      <c r="D340" s="706" t="s">
        <v>1841</v>
      </c>
      <c r="H340" s="1191"/>
      <c r="I340" s="706" t="s">
        <v>2106</v>
      </c>
      <c r="M340" s="706"/>
      <c r="N340" s="706"/>
      <c r="O340" s="706"/>
      <c r="P340" s="706"/>
    </row>
    <row r="341" spans="1:16">
      <c r="A341" s="706">
        <v>102764</v>
      </c>
      <c r="B341" s="706" t="s">
        <v>2145</v>
      </c>
      <c r="D341" s="706" t="s">
        <v>1841</v>
      </c>
      <c r="H341" s="1191"/>
      <c r="I341" s="706" t="s">
        <v>2106</v>
      </c>
      <c r="M341" s="706"/>
      <c r="N341" s="706"/>
      <c r="O341" s="706"/>
      <c r="P341" s="706"/>
    </row>
    <row r="342" spans="1:16">
      <c r="A342" s="706">
        <v>102765</v>
      </c>
      <c r="B342" s="706" t="s">
        <v>2146</v>
      </c>
      <c r="D342" s="706" t="s">
        <v>1841</v>
      </c>
      <c r="H342" s="1191"/>
      <c r="I342" s="706" t="s">
        <v>2106</v>
      </c>
      <c r="M342" s="706"/>
      <c r="N342" s="706"/>
      <c r="O342" s="706"/>
      <c r="P342" s="706"/>
    </row>
    <row r="343" spans="1:16">
      <c r="A343" s="706">
        <v>102766</v>
      </c>
      <c r="B343" s="706" t="s">
        <v>2147</v>
      </c>
      <c r="D343" s="706" t="s">
        <v>1841</v>
      </c>
      <c r="H343" s="1191"/>
      <c r="I343" s="706" t="s">
        <v>2106</v>
      </c>
      <c r="M343" s="706"/>
      <c r="N343" s="706"/>
      <c r="O343" s="706"/>
      <c r="P343" s="706"/>
    </row>
    <row r="344" spans="1:16">
      <c r="A344" s="706">
        <v>102767</v>
      </c>
      <c r="B344" s="706" t="s">
        <v>2148</v>
      </c>
      <c r="D344" s="706" t="s">
        <v>1841</v>
      </c>
      <c r="H344" s="1191"/>
      <c r="I344" s="706" t="s">
        <v>2106</v>
      </c>
      <c r="M344" s="706"/>
      <c r="N344" s="706"/>
      <c r="O344" s="706"/>
      <c r="P344" s="706"/>
    </row>
    <row r="345" spans="1:16">
      <c r="A345" s="706">
        <v>102768</v>
      </c>
      <c r="B345" s="706" t="s">
        <v>2149</v>
      </c>
      <c r="D345" s="706" t="s">
        <v>1841</v>
      </c>
      <c r="H345" s="1191"/>
      <c r="I345" s="706" t="s">
        <v>2106</v>
      </c>
      <c r="M345" s="706"/>
      <c r="N345" s="706"/>
      <c r="O345" s="706"/>
      <c r="P345" s="706"/>
    </row>
    <row r="346" spans="1:16">
      <c r="A346" s="706">
        <v>102769</v>
      </c>
      <c r="B346" s="706" t="s">
        <v>2150</v>
      </c>
      <c r="C346" s="706" t="s">
        <v>8189</v>
      </c>
      <c r="D346" s="706" t="s">
        <v>1841</v>
      </c>
      <c r="E346" s="706">
        <v>20.666599999999999</v>
      </c>
      <c r="F346" s="706" t="s">
        <v>28</v>
      </c>
      <c r="G346" s="706">
        <v>409696</v>
      </c>
      <c r="H346" s="1191">
        <v>45677</v>
      </c>
      <c r="I346" s="706" t="s">
        <v>2106</v>
      </c>
      <c r="M346" s="706"/>
      <c r="N346" s="706"/>
      <c r="O346" s="706"/>
      <c r="P346" s="706"/>
    </row>
    <row r="347" spans="1:16">
      <c r="A347" s="706">
        <v>102770</v>
      </c>
      <c r="B347" s="706" t="s">
        <v>2151</v>
      </c>
      <c r="D347" s="706" t="s">
        <v>1841</v>
      </c>
      <c r="H347" s="1191"/>
      <c r="I347" s="706" t="s">
        <v>2106</v>
      </c>
      <c r="M347" s="706"/>
      <c r="N347" s="706"/>
      <c r="O347" s="706"/>
      <c r="P347" s="706"/>
    </row>
    <row r="348" spans="1:16">
      <c r="A348" s="706">
        <v>102771</v>
      </c>
      <c r="B348" s="706" t="s">
        <v>2152</v>
      </c>
      <c r="D348" s="706" t="s">
        <v>1841</v>
      </c>
      <c r="H348" s="1191"/>
      <c r="I348" s="706" t="s">
        <v>2106</v>
      </c>
      <c r="M348" s="706"/>
      <c r="N348" s="706"/>
      <c r="O348" s="706"/>
      <c r="P348" s="706"/>
    </row>
    <row r="349" spans="1:16">
      <c r="A349" s="706">
        <v>102772</v>
      </c>
      <c r="B349" s="706" t="s">
        <v>2153</v>
      </c>
      <c r="D349" s="706" t="s">
        <v>1841</v>
      </c>
      <c r="H349" s="1191"/>
      <c r="I349" s="706" t="s">
        <v>2106</v>
      </c>
      <c r="M349" s="706"/>
      <c r="N349" s="706"/>
      <c r="O349" s="706"/>
      <c r="P349" s="706"/>
    </row>
    <row r="350" spans="1:16">
      <c r="A350" s="706">
        <v>102773</v>
      </c>
      <c r="B350" s="706" t="s">
        <v>2154</v>
      </c>
      <c r="C350" s="706" t="s">
        <v>8189</v>
      </c>
      <c r="D350" s="706" t="s">
        <v>1841</v>
      </c>
      <c r="E350" s="706">
        <v>45</v>
      </c>
      <c r="F350" s="706" t="s">
        <v>28</v>
      </c>
      <c r="G350" s="706">
        <v>410252</v>
      </c>
      <c r="H350" s="1191">
        <v>45779</v>
      </c>
      <c r="I350" s="706" t="s">
        <v>2106</v>
      </c>
      <c r="M350" s="706"/>
      <c r="N350" s="706"/>
      <c r="O350" s="706"/>
      <c r="P350" s="706"/>
    </row>
    <row r="351" spans="1:16">
      <c r="A351" s="706">
        <v>102774</v>
      </c>
      <c r="B351" s="706" t="s">
        <v>2155</v>
      </c>
      <c r="C351" s="706" t="s">
        <v>8189</v>
      </c>
      <c r="D351" s="706" t="s">
        <v>1841</v>
      </c>
      <c r="E351" s="706">
        <v>7.0833000000000004</v>
      </c>
      <c r="F351" s="706" t="s">
        <v>28</v>
      </c>
      <c r="G351" s="706">
        <v>408682</v>
      </c>
      <c r="H351" s="1191">
        <v>45455</v>
      </c>
      <c r="I351" s="706" t="s">
        <v>2106</v>
      </c>
      <c r="M351" s="706"/>
      <c r="N351" s="706"/>
      <c r="O351" s="706"/>
      <c r="P351" s="706"/>
    </row>
    <row r="352" spans="1:16">
      <c r="A352" s="706">
        <v>102775</v>
      </c>
      <c r="B352" s="706" t="s">
        <v>2156</v>
      </c>
      <c r="D352" s="706" t="s">
        <v>1841</v>
      </c>
      <c r="H352" s="1191"/>
      <c r="I352" s="706" t="s">
        <v>2106</v>
      </c>
      <c r="M352" s="706"/>
      <c r="N352" s="706"/>
      <c r="O352" s="706"/>
      <c r="P352" s="706"/>
    </row>
    <row r="353" spans="1:16">
      <c r="A353" s="706">
        <v>102776</v>
      </c>
      <c r="B353" s="706" t="s">
        <v>2157</v>
      </c>
      <c r="D353" s="706" t="s">
        <v>1841</v>
      </c>
      <c r="H353" s="1191"/>
      <c r="I353" s="706" t="s">
        <v>2106</v>
      </c>
      <c r="M353" s="706"/>
      <c r="N353" s="706"/>
      <c r="O353" s="706"/>
      <c r="P353" s="706"/>
    </row>
    <row r="354" spans="1:16">
      <c r="A354" s="706">
        <v>102777</v>
      </c>
      <c r="B354" s="706" t="s">
        <v>2158</v>
      </c>
      <c r="D354" s="706" t="s">
        <v>1841</v>
      </c>
      <c r="H354" s="1191"/>
      <c r="I354" s="706" t="s">
        <v>2106</v>
      </c>
      <c r="M354" s="706"/>
      <c r="N354" s="706"/>
      <c r="O354" s="706"/>
      <c r="P354" s="706"/>
    </row>
    <row r="355" spans="1:16">
      <c r="A355" s="706">
        <v>102778</v>
      </c>
      <c r="B355" s="706" t="s">
        <v>2159</v>
      </c>
      <c r="D355" s="706" t="s">
        <v>1841</v>
      </c>
      <c r="H355" s="1191"/>
      <c r="I355" s="706" t="s">
        <v>2106</v>
      </c>
      <c r="M355" s="706"/>
      <c r="N355" s="706"/>
      <c r="O355" s="706"/>
      <c r="P355" s="706"/>
    </row>
    <row r="356" spans="1:16">
      <c r="A356" s="706">
        <v>102779</v>
      </c>
      <c r="B356" s="706" t="s">
        <v>2160</v>
      </c>
      <c r="C356" s="706" t="s">
        <v>8189</v>
      </c>
      <c r="D356" s="706" t="s">
        <v>1841</v>
      </c>
      <c r="E356" s="706">
        <v>14</v>
      </c>
      <c r="F356" s="706" t="s">
        <v>28</v>
      </c>
      <c r="G356" s="706">
        <v>411105</v>
      </c>
      <c r="H356" s="1191">
        <v>45943</v>
      </c>
      <c r="I356" s="706" t="s">
        <v>2106</v>
      </c>
      <c r="M356" s="706"/>
      <c r="N356" s="706"/>
      <c r="O356" s="706"/>
      <c r="P356" s="706"/>
    </row>
    <row r="357" spans="1:16">
      <c r="A357" s="706">
        <v>102780</v>
      </c>
      <c r="B357" s="706" t="s">
        <v>2161</v>
      </c>
      <c r="C357" s="706" t="s">
        <v>8189</v>
      </c>
      <c r="D357" s="706" t="s">
        <v>1841</v>
      </c>
      <c r="E357" s="706">
        <v>4.5830000000000002</v>
      </c>
      <c r="F357" s="706" t="s">
        <v>28</v>
      </c>
      <c r="G357" s="706">
        <v>408633</v>
      </c>
      <c r="H357" s="1191">
        <v>45447</v>
      </c>
      <c r="I357" s="706" t="s">
        <v>2106</v>
      </c>
      <c r="M357" s="706"/>
      <c r="N357" s="706"/>
      <c r="O357" s="706"/>
      <c r="P357" s="706"/>
    </row>
    <row r="358" spans="1:16">
      <c r="A358" s="706">
        <v>102781</v>
      </c>
      <c r="B358" s="706" t="s">
        <v>2162</v>
      </c>
      <c r="C358" s="706" t="s">
        <v>8189</v>
      </c>
      <c r="D358" s="706" t="s">
        <v>1841</v>
      </c>
      <c r="E358" s="706">
        <v>3.33</v>
      </c>
      <c r="F358" s="706" t="s">
        <v>28</v>
      </c>
      <c r="G358" s="706">
        <v>409502</v>
      </c>
      <c r="H358" s="1191">
        <v>45617</v>
      </c>
      <c r="I358" s="706" t="s">
        <v>2106</v>
      </c>
      <c r="M358" s="706"/>
      <c r="N358" s="706"/>
      <c r="O358" s="706"/>
      <c r="P358" s="706"/>
    </row>
    <row r="359" spans="1:16">
      <c r="A359" s="706">
        <v>102782</v>
      </c>
      <c r="B359" s="706" t="s">
        <v>2163</v>
      </c>
      <c r="D359" s="706" t="s">
        <v>1841</v>
      </c>
      <c r="H359" s="1191"/>
      <c r="I359" s="706" t="s">
        <v>2106</v>
      </c>
      <c r="M359" s="706"/>
      <c r="N359" s="706"/>
      <c r="O359" s="706"/>
      <c r="P359" s="706"/>
    </row>
    <row r="360" spans="1:16">
      <c r="A360" s="706">
        <v>102783</v>
      </c>
      <c r="B360" s="706" t="s">
        <v>2164</v>
      </c>
      <c r="D360" s="706" t="s">
        <v>1841</v>
      </c>
      <c r="H360" s="1191"/>
      <c r="I360" s="706" t="s">
        <v>2106</v>
      </c>
      <c r="M360" s="706"/>
      <c r="N360" s="706"/>
      <c r="O360" s="706"/>
      <c r="P360" s="706"/>
    </row>
    <row r="361" spans="1:16">
      <c r="A361" s="706">
        <v>102784</v>
      </c>
      <c r="B361" s="706" t="s">
        <v>2165</v>
      </c>
      <c r="D361" s="706" t="s">
        <v>1841</v>
      </c>
      <c r="H361" s="1191"/>
      <c r="I361" s="706" t="s">
        <v>2106</v>
      </c>
      <c r="M361" s="706"/>
      <c r="N361" s="706"/>
      <c r="O361" s="706"/>
      <c r="P361" s="706"/>
    </row>
    <row r="362" spans="1:16">
      <c r="A362" s="706">
        <v>102785</v>
      </c>
      <c r="B362" s="706" t="s">
        <v>2166</v>
      </c>
      <c r="D362" s="706" t="s">
        <v>1841</v>
      </c>
      <c r="H362" s="1191"/>
      <c r="I362" s="706" t="s">
        <v>2106</v>
      </c>
      <c r="M362" s="706"/>
      <c r="N362" s="706"/>
      <c r="O362" s="706"/>
      <c r="P362" s="706"/>
    </row>
    <row r="363" spans="1:16">
      <c r="A363" s="706">
        <v>102786</v>
      </c>
      <c r="B363" s="706" t="s">
        <v>2167</v>
      </c>
      <c r="D363" s="706" t="s">
        <v>1841</v>
      </c>
      <c r="H363" s="1191"/>
      <c r="I363" s="706" t="s">
        <v>2106</v>
      </c>
      <c r="M363" s="706"/>
      <c r="N363" s="706"/>
      <c r="O363" s="706"/>
      <c r="P363" s="706"/>
    </row>
    <row r="364" spans="1:16">
      <c r="A364" s="706">
        <v>102787</v>
      </c>
      <c r="B364" s="706" t="s">
        <v>2168</v>
      </c>
      <c r="D364" s="706" t="s">
        <v>1841</v>
      </c>
      <c r="H364" s="1191"/>
      <c r="I364" s="706" t="s">
        <v>2106</v>
      </c>
      <c r="M364" s="706"/>
      <c r="N364" s="706"/>
      <c r="O364" s="706"/>
      <c r="P364" s="706"/>
    </row>
    <row r="365" spans="1:16">
      <c r="A365" s="706">
        <v>102788</v>
      </c>
      <c r="B365" s="706" t="s">
        <v>2169</v>
      </c>
      <c r="C365" s="706" t="s">
        <v>8187</v>
      </c>
      <c r="D365" s="706" t="s">
        <v>1841</v>
      </c>
      <c r="E365" s="706">
        <v>7.27</v>
      </c>
      <c r="F365" s="706" t="s">
        <v>28</v>
      </c>
      <c r="G365" s="706">
        <v>403225</v>
      </c>
      <c r="H365" s="1191">
        <v>44351</v>
      </c>
      <c r="I365" s="706" t="s">
        <v>2106</v>
      </c>
      <c r="M365" s="706"/>
      <c r="N365" s="706"/>
      <c r="O365" s="706"/>
      <c r="P365" s="706"/>
    </row>
    <row r="366" spans="1:16">
      <c r="A366" s="706">
        <v>102789</v>
      </c>
      <c r="B366" s="706" t="s">
        <v>2114</v>
      </c>
      <c r="D366" s="706" t="s">
        <v>1841</v>
      </c>
      <c r="H366" s="1191"/>
      <c r="I366" s="706" t="s">
        <v>2106</v>
      </c>
      <c r="M366" s="706"/>
      <c r="N366" s="706"/>
      <c r="O366" s="706"/>
      <c r="P366" s="706"/>
    </row>
    <row r="367" spans="1:16">
      <c r="A367" s="706">
        <v>102790</v>
      </c>
      <c r="B367" s="706" t="s">
        <v>2170</v>
      </c>
      <c r="C367" s="706" t="s">
        <v>8187</v>
      </c>
      <c r="D367" s="706" t="s">
        <v>1841</v>
      </c>
      <c r="E367" s="706">
        <v>7.1067</v>
      </c>
      <c r="F367" s="706" t="s">
        <v>28</v>
      </c>
      <c r="G367" s="706">
        <v>410894</v>
      </c>
      <c r="H367" s="1191">
        <v>45903</v>
      </c>
      <c r="I367" s="706" t="s">
        <v>2106</v>
      </c>
      <c r="M367" s="706"/>
      <c r="N367" s="706"/>
      <c r="O367" s="706"/>
      <c r="P367" s="706"/>
    </row>
    <row r="368" spans="1:16">
      <c r="A368" s="706">
        <v>102791</v>
      </c>
      <c r="B368" s="706" t="s">
        <v>2171</v>
      </c>
      <c r="D368" s="706" t="s">
        <v>1841</v>
      </c>
      <c r="H368" s="1191"/>
      <c r="I368" s="706" t="s">
        <v>2106</v>
      </c>
      <c r="M368" s="706"/>
      <c r="N368" s="706"/>
      <c r="O368" s="706"/>
      <c r="P368" s="706"/>
    </row>
    <row r="369" spans="1:16">
      <c r="A369" s="706">
        <v>102792</v>
      </c>
      <c r="B369" s="706" t="s">
        <v>2115</v>
      </c>
      <c r="D369" s="706" t="s">
        <v>1841</v>
      </c>
      <c r="H369" s="1191"/>
      <c r="I369" s="706" t="s">
        <v>2106</v>
      </c>
      <c r="M369" s="706"/>
      <c r="N369" s="706"/>
      <c r="O369" s="706"/>
      <c r="P369" s="706"/>
    </row>
    <row r="370" spans="1:16">
      <c r="A370" s="706">
        <v>102793</v>
      </c>
      <c r="B370" s="706" t="s">
        <v>2172</v>
      </c>
      <c r="C370" s="706" t="s">
        <v>8187</v>
      </c>
      <c r="D370" s="706" t="s">
        <v>1841</v>
      </c>
      <c r="E370" s="706">
        <v>7.1066000000000003</v>
      </c>
      <c r="F370" s="706" t="s">
        <v>28</v>
      </c>
      <c r="G370" s="706">
        <v>410670</v>
      </c>
      <c r="H370" s="1191">
        <v>45868</v>
      </c>
      <c r="I370" s="706" t="s">
        <v>2106</v>
      </c>
      <c r="M370" s="706"/>
      <c r="N370" s="706"/>
      <c r="O370" s="706"/>
      <c r="P370" s="706"/>
    </row>
    <row r="371" spans="1:16">
      <c r="A371" s="706">
        <v>102794</v>
      </c>
      <c r="B371" s="706" t="s">
        <v>2173</v>
      </c>
      <c r="D371" s="706" t="s">
        <v>1841</v>
      </c>
      <c r="H371" s="1191"/>
      <c r="I371" s="706" t="s">
        <v>2106</v>
      </c>
      <c r="M371" s="706"/>
      <c r="N371" s="706"/>
      <c r="O371" s="706"/>
      <c r="P371" s="706"/>
    </row>
    <row r="372" spans="1:16">
      <c r="A372" s="706">
        <v>102795</v>
      </c>
      <c r="B372" s="706" t="s">
        <v>2116</v>
      </c>
      <c r="C372" s="706" t="s">
        <v>8189</v>
      </c>
      <c r="D372" s="706" t="s">
        <v>1841</v>
      </c>
      <c r="E372" s="706">
        <v>2.0832999999999999</v>
      </c>
      <c r="F372" s="706" t="s">
        <v>28</v>
      </c>
      <c r="G372" s="706">
        <v>408633</v>
      </c>
      <c r="H372" s="1191">
        <v>45447</v>
      </c>
      <c r="I372" s="706" t="s">
        <v>2106</v>
      </c>
      <c r="M372" s="706"/>
      <c r="N372" s="706"/>
      <c r="O372" s="706"/>
      <c r="P372" s="706"/>
    </row>
    <row r="373" spans="1:16">
      <c r="A373" s="706">
        <v>102796</v>
      </c>
      <c r="B373" s="706" t="s">
        <v>2174</v>
      </c>
      <c r="C373" s="706" t="s">
        <v>8189</v>
      </c>
      <c r="D373" s="706" t="s">
        <v>1841</v>
      </c>
      <c r="E373" s="706">
        <v>2.0832999999999999</v>
      </c>
      <c r="F373" s="706" t="s">
        <v>28</v>
      </c>
      <c r="G373" s="706">
        <v>411132</v>
      </c>
      <c r="H373" s="1191">
        <v>45946</v>
      </c>
      <c r="I373" s="706" t="s">
        <v>2106</v>
      </c>
      <c r="M373" s="706"/>
      <c r="N373" s="706"/>
      <c r="O373" s="706"/>
      <c r="P373" s="706"/>
    </row>
    <row r="374" spans="1:16">
      <c r="A374" s="706">
        <v>102797</v>
      </c>
      <c r="B374" s="706" t="s">
        <v>2175</v>
      </c>
      <c r="D374" s="706" t="s">
        <v>1841</v>
      </c>
      <c r="H374" s="1191"/>
      <c r="I374" s="706" t="s">
        <v>2106</v>
      </c>
      <c r="M374" s="706"/>
      <c r="N374" s="706"/>
      <c r="O374" s="706"/>
      <c r="P374" s="706"/>
    </row>
    <row r="375" spans="1:16">
      <c r="A375" s="706">
        <v>102798</v>
      </c>
      <c r="B375" s="706" t="s">
        <v>2117</v>
      </c>
      <c r="D375" s="706" t="s">
        <v>1841</v>
      </c>
      <c r="H375" s="1191"/>
      <c r="I375" s="706" t="s">
        <v>2106</v>
      </c>
      <c r="M375" s="706"/>
      <c r="N375" s="706"/>
      <c r="O375" s="706"/>
      <c r="P375" s="706"/>
    </row>
    <row r="376" spans="1:16">
      <c r="A376" s="706">
        <v>102799</v>
      </c>
      <c r="B376" s="706" t="s">
        <v>2176</v>
      </c>
      <c r="C376" s="706" t="s">
        <v>8189</v>
      </c>
      <c r="D376" s="706" t="s">
        <v>1841</v>
      </c>
      <c r="E376" s="706">
        <v>50</v>
      </c>
      <c r="F376" s="706" t="s">
        <v>28</v>
      </c>
      <c r="G376" s="706">
        <v>410326</v>
      </c>
      <c r="H376" s="1191">
        <v>45791</v>
      </c>
      <c r="I376" s="706" t="s">
        <v>2106</v>
      </c>
      <c r="M376" s="706"/>
      <c r="N376" s="706"/>
      <c r="O376" s="706"/>
      <c r="P376" s="706"/>
    </row>
    <row r="377" spans="1:16">
      <c r="A377" s="706">
        <v>102800</v>
      </c>
      <c r="B377" s="706" t="s">
        <v>2177</v>
      </c>
      <c r="C377" s="706" t="s">
        <v>8187</v>
      </c>
      <c r="D377" s="706" t="s">
        <v>1841</v>
      </c>
      <c r="E377" s="706">
        <v>3.34</v>
      </c>
      <c r="F377" s="706" t="s">
        <v>28</v>
      </c>
      <c r="G377" s="706">
        <v>407353</v>
      </c>
      <c r="H377" s="1191">
        <v>45215</v>
      </c>
      <c r="I377" s="706" t="s">
        <v>2106</v>
      </c>
      <c r="M377" s="706"/>
      <c r="N377" s="706"/>
      <c r="O377" s="706"/>
      <c r="P377" s="706"/>
    </row>
    <row r="378" spans="1:16">
      <c r="A378" s="706">
        <v>103566</v>
      </c>
      <c r="B378" s="706" t="s">
        <v>2178</v>
      </c>
      <c r="C378" s="706" t="s">
        <v>8189</v>
      </c>
      <c r="D378" s="706" t="s">
        <v>1841</v>
      </c>
      <c r="E378" s="706">
        <v>1.5</v>
      </c>
      <c r="F378" s="706" t="s">
        <v>28</v>
      </c>
      <c r="G378" s="706">
        <v>407532</v>
      </c>
      <c r="H378" s="1191">
        <v>45250</v>
      </c>
      <c r="I378" s="706" t="s">
        <v>2106</v>
      </c>
      <c r="M378" s="706"/>
      <c r="N378" s="706"/>
      <c r="O378" s="706"/>
      <c r="P378" s="706"/>
    </row>
    <row r="379" spans="1:16">
      <c r="A379" s="706">
        <v>103567</v>
      </c>
      <c r="B379" s="706" t="s">
        <v>2179</v>
      </c>
      <c r="C379" s="706" t="s">
        <v>8189</v>
      </c>
      <c r="D379" s="706" t="s">
        <v>1841</v>
      </c>
      <c r="E379" s="706">
        <v>1.7</v>
      </c>
      <c r="F379" s="706" t="s">
        <v>28</v>
      </c>
      <c r="G379" s="706">
        <v>407235</v>
      </c>
      <c r="H379" s="1191">
        <v>45197</v>
      </c>
      <c r="I379" s="706" t="s">
        <v>2106</v>
      </c>
      <c r="M379" s="706"/>
      <c r="N379" s="706"/>
      <c r="O379" s="706"/>
      <c r="P379" s="706"/>
    </row>
    <row r="380" spans="1:16">
      <c r="A380" s="706">
        <v>103568</v>
      </c>
      <c r="B380" s="706" t="s">
        <v>2180</v>
      </c>
      <c r="D380" s="706" t="s">
        <v>1841</v>
      </c>
      <c r="H380" s="1191"/>
      <c r="I380" s="706" t="s">
        <v>2106</v>
      </c>
      <c r="M380" s="706"/>
      <c r="N380" s="706"/>
      <c r="O380" s="706"/>
      <c r="P380" s="706"/>
    </row>
    <row r="381" spans="1:16">
      <c r="A381" s="706">
        <v>103569</v>
      </c>
      <c r="B381" s="706" t="s">
        <v>2181</v>
      </c>
      <c r="D381" s="706" t="s">
        <v>1841</v>
      </c>
      <c r="H381" s="1191"/>
      <c r="I381" s="706" t="s">
        <v>2106</v>
      </c>
      <c r="M381" s="706"/>
      <c r="N381" s="706"/>
      <c r="O381" s="706"/>
      <c r="P381" s="706"/>
    </row>
    <row r="382" spans="1:16">
      <c r="A382" s="706">
        <v>103570</v>
      </c>
      <c r="B382" s="706" t="s">
        <v>2182</v>
      </c>
      <c r="C382" s="706" t="s">
        <v>8189</v>
      </c>
      <c r="D382" s="706" t="s">
        <v>1841</v>
      </c>
      <c r="E382" s="706">
        <v>48.706800000000001</v>
      </c>
      <c r="F382" s="706" t="s">
        <v>28</v>
      </c>
      <c r="G382" s="706">
        <v>405678</v>
      </c>
      <c r="H382" s="1191">
        <v>44837</v>
      </c>
      <c r="I382" s="706" t="s">
        <v>2106</v>
      </c>
      <c r="M382" s="706"/>
      <c r="N382" s="706"/>
      <c r="O382" s="706"/>
      <c r="P382" s="706"/>
    </row>
    <row r="383" spans="1:16">
      <c r="A383" s="706">
        <v>103571</v>
      </c>
      <c r="B383" s="706" t="s">
        <v>2178</v>
      </c>
      <c r="C383" s="706" t="s">
        <v>8189</v>
      </c>
      <c r="D383" s="706" t="s">
        <v>1841</v>
      </c>
      <c r="E383" s="706">
        <v>1.6666000000000001</v>
      </c>
      <c r="F383" s="706" t="s">
        <v>28</v>
      </c>
      <c r="G383" s="706">
        <v>405384</v>
      </c>
      <c r="H383" s="1191">
        <v>44776</v>
      </c>
      <c r="I383" s="706" t="s">
        <v>2106</v>
      </c>
      <c r="M383" s="706"/>
      <c r="N383" s="706"/>
      <c r="O383" s="706"/>
      <c r="P383" s="706"/>
    </row>
    <row r="384" spans="1:16">
      <c r="A384" s="706">
        <v>103572</v>
      </c>
      <c r="B384" s="706" t="s">
        <v>2183</v>
      </c>
      <c r="C384" s="706" t="s">
        <v>8189</v>
      </c>
      <c r="D384" s="706" t="s">
        <v>1841</v>
      </c>
      <c r="E384" s="706">
        <v>15</v>
      </c>
      <c r="F384" s="706" t="s">
        <v>28</v>
      </c>
      <c r="G384" s="706">
        <v>405372</v>
      </c>
      <c r="H384" s="1191">
        <v>44774</v>
      </c>
      <c r="I384" s="706" t="s">
        <v>2106</v>
      </c>
      <c r="M384" s="706"/>
      <c r="N384" s="706"/>
      <c r="O384" s="706"/>
      <c r="P384" s="706"/>
    </row>
    <row r="385" spans="1:16">
      <c r="A385" s="706">
        <v>103573</v>
      </c>
      <c r="B385" s="706" t="s">
        <v>2184</v>
      </c>
      <c r="D385" s="706" t="s">
        <v>1841</v>
      </c>
      <c r="H385" s="1191"/>
      <c r="I385" s="706" t="s">
        <v>2106</v>
      </c>
      <c r="M385" s="706"/>
      <c r="N385" s="706"/>
      <c r="O385" s="706"/>
      <c r="P385" s="706"/>
    </row>
    <row r="386" spans="1:16">
      <c r="A386" s="706">
        <v>103574</v>
      </c>
      <c r="B386" s="706" t="s">
        <v>2185</v>
      </c>
      <c r="D386" s="706" t="s">
        <v>1841</v>
      </c>
      <c r="H386" s="1191"/>
      <c r="I386" s="706" t="s">
        <v>2106</v>
      </c>
      <c r="M386" s="706"/>
      <c r="N386" s="706"/>
      <c r="O386" s="706"/>
      <c r="P386" s="706"/>
    </row>
    <row r="387" spans="1:16">
      <c r="A387" s="706">
        <v>103575</v>
      </c>
      <c r="B387" s="706" t="s">
        <v>2186</v>
      </c>
      <c r="D387" s="706" t="s">
        <v>1841</v>
      </c>
      <c r="H387" s="1191"/>
      <c r="I387" s="706" t="s">
        <v>2106</v>
      </c>
      <c r="M387" s="706"/>
      <c r="N387" s="706"/>
      <c r="O387" s="706"/>
      <c r="P387" s="706"/>
    </row>
    <row r="388" spans="1:16">
      <c r="A388" s="706">
        <v>103576</v>
      </c>
      <c r="B388" s="706" t="s">
        <v>2187</v>
      </c>
      <c r="D388" s="706" t="s">
        <v>1841</v>
      </c>
      <c r="H388" s="1191"/>
      <c r="I388" s="706" t="s">
        <v>2106</v>
      </c>
      <c r="M388" s="706"/>
      <c r="N388" s="706"/>
      <c r="O388" s="706"/>
      <c r="P388" s="706"/>
    </row>
    <row r="389" spans="1:16">
      <c r="A389" s="706">
        <v>103577</v>
      </c>
      <c r="B389" s="706" t="s">
        <v>2188</v>
      </c>
      <c r="C389" s="706" t="s">
        <v>8189</v>
      </c>
      <c r="D389" s="706" t="s">
        <v>1841</v>
      </c>
      <c r="E389" s="706">
        <v>19</v>
      </c>
      <c r="F389" s="706" t="s">
        <v>28</v>
      </c>
      <c r="G389" s="706">
        <v>411499</v>
      </c>
      <c r="H389" s="1191">
        <v>46030</v>
      </c>
      <c r="I389" s="706" t="s">
        <v>2106</v>
      </c>
      <c r="M389" s="706"/>
      <c r="N389" s="706"/>
      <c r="O389" s="706"/>
      <c r="P389" s="706"/>
    </row>
    <row r="390" spans="1:16">
      <c r="A390" s="706">
        <v>103578</v>
      </c>
      <c r="B390" s="706" t="s">
        <v>2189</v>
      </c>
      <c r="C390" s="706" t="s">
        <v>8189</v>
      </c>
      <c r="D390" s="706" t="s">
        <v>1841</v>
      </c>
      <c r="E390" s="706">
        <v>12</v>
      </c>
      <c r="F390" s="706" t="s">
        <v>28</v>
      </c>
      <c r="G390" s="706">
        <v>411304</v>
      </c>
      <c r="H390" s="1191">
        <v>45982</v>
      </c>
      <c r="I390" s="706" t="s">
        <v>2106</v>
      </c>
      <c r="M390" s="706"/>
      <c r="N390" s="706"/>
      <c r="O390" s="706"/>
      <c r="P390" s="706"/>
    </row>
    <row r="391" spans="1:16">
      <c r="A391" s="706">
        <v>103579</v>
      </c>
      <c r="B391" s="706" t="s">
        <v>2190</v>
      </c>
      <c r="D391" s="706" t="s">
        <v>1841</v>
      </c>
      <c r="H391" s="1191"/>
      <c r="I391" s="706" t="s">
        <v>2106</v>
      </c>
      <c r="M391" s="706"/>
      <c r="N391" s="706"/>
      <c r="O391" s="706"/>
      <c r="P391" s="706"/>
    </row>
    <row r="392" spans="1:16">
      <c r="A392" s="706">
        <v>103580</v>
      </c>
      <c r="B392" s="706" t="s">
        <v>2191</v>
      </c>
      <c r="D392" s="706" t="s">
        <v>1841</v>
      </c>
      <c r="H392" s="1191"/>
      <c r="I392" s="706" t="s">
        <v>2106</v>
      </c>
      <c r="M392" s="706"/>
      <c r="N392" s="706"/>
      <c r="O392" s="706"/>
      <c r="P392" s="706"/>
    </row>
    <row r="393" spans="1:16">
      <c r="A393" s="706">
        <v>103581</v>
      </c>
      <c r="B393" s="706" t="s">
        <v>2192</v>
      </c>
      <c r="D393" s="706" t="s">
        <v>1841</v>
      </c>
      <c r="H393" s="1191"/>
      <c r="I393" s="706" t="s">
        <v>2106</v>
      </c>
      <c r="M393" s="706"/>
      <c r="N393" s="706"/>
      <c r="O393" s="706"/>
      <c r="P393" s="706"/>
    </row>
    <row r="394" spans="1:16">
      <c r="A394" s="706">
        <v>103582</v>
      </c>
      <c r="B394" s="706" t="s">
        <v>2193</v>
      </c>
      <c r="D394" s="706" t="s">
        <v>1841</v>
      </c>
      <c r="H394" s="1191"/>
      <c r="I394" s="706" t="s">
        <v>2106</v>
      </c>
      <c r="M394" s="706"/>
      <c r="N394" s="706"/>
      <c r="O394" s="706"/>
      <c r="P394" s="706"/>
    </row>
    <row r="395" spans="1:16">
      <c r="A395" s="706">
        <v>103583</v>
      </c>
      <c r="B395" s="706" t="s">
        <v>2194</v>
      </c>
      <c r="D395" s="706" t="s">
        <v>1841</v>
      </c>
      <c r="H395" s="1191"/>
      <c r="I395" s="706" t="s">
        <v>2106</v>
      </c>
      <c r="M395" s="706"/>
      <c r="N395" s="706"/>
      <c r="O395" s="706"/>
      <c r="P395" s="706"/>
    </row>
    <row r="396" spans="1:16">
      <c r="A396" s="706">
        <v>103584</v>
      </c>
      <c r="B396" s="706" t="s">
        <v>2195</v>
      </c>
      <c r="D396" s="706" t="s">
        <v>1841</v>
      </c>
      <c r="H396" s="1191"/>
      <c r="I396" s="706" t="s">
        <v>2106</v>
      </c>
      <c r="M396" s="706"/>
      <c r="N396" s="706"/>
      <c r="O396" s="706"/>
      <c r="P396" s="706"/>
    </row>
    <row r="397" spans="1:16">
      <c r="A397" s="706">
        <v>103585</v>
      </c>
      <c r="B397" s="706" t="s">
        <v>2196</v>
      </c>
      <c r="D397" s="706" t="s">
        <v>1841</v>
      </c>
      <c r="H397" s="1191"/>
      <c r="I397" s="706" t="s">
        <v>2106</v>
      </c>
      <c r="M397" s="706"/>
      <c r="N397" s="706"/>
      <c r="O397" s="706"/>
      <c r="P397" s="706"/>
    </row>
    <row r="398" spans="1:16">
      <c r="A398" s="706">
        <v>103586</v>
      </c>
      <c r="B398" s="706" t="s">
        <v>2197</v>
      </c>
      <c r="D398" s="706" t="s">
        <v>1841</v>
      </c>
      <c r="H398" s="1191"/>
      <c r="I398" s="706" t="s">
        <v>2106</v>
      </c>
      <c r="M398" s="706"/>
      <c r="N398" s="706"/>
      <c r="O398" s="706"/>
      <c r="P398" s="706"/>
    </row>
    <row r="399" spans="1:16">
      <c r="A399" s="706">
        <v>103587</v>
      </c>
      <c r="B399" s="706" t="s">
        <v>2198</v>
      </c>
      <c r="D399" s="706" t="s">
        <v>1841</v>
      </c>
      <c r="H399" s="1191"/>
      <c r="I399" s="706" t="s">
        <v>2106</v>
      </c>
      <c r="M399" s="706"/>
      <c r="N399" s="706"/>
      <c r="O399" s="706"/>
      <c r="P399" s="706"/>
    </row>
    <row r="400" spans="1:16">
      <c r="A400" s="706">
        <v>103588</v>
      </c>
      <c r="B400" s="706" t="s">
        <v>2199</v>
      </c>
      <c r="D400" s="706" t="s">
        <v>1841</v>
      </c>
      <c r="H400" s="1191"/>
      <c r="I400" s="706" t="s">
        <v>2106</v>
      </c>
      <c r="M400" s="706"/>
      <c r="N400" s="706"/>
      <c r="O400" s="706"/>
      <c r="P400" s="706"/>
    </row>
    <row r="401" spans="1:16">
      <c r="A401" s="706">
        <v>103589</v>
      </c>
      <c r="B401" s="706" t="s">
        <v>2200</v>
      </c>
      <c r="D401" s="706" t="s">
        <v>1841</v>
      </c>
      <c r="H401" s="1191"/>
      <c r="I401" s="706" t="s">
        <v>2106</v>
      </c>
      <c r="M401" s="706"/>
      <c r="N401" s="706"/>
      <c r="O401" s="706"/>
      <c r="P401" s="706"/>
    </row>
    <row r="402" spans="1:16">
      <c r="A402" s="706">
        <v>103590</v>
      </c>
      <c r="B402" s="706" t="s">
        <v>2201</v>
      </c>
      <c r="C402" s="706" t="s">
        <v>8189</v>
      </c>
      <c r="D402" s="706" t="s">
        <v>1841</v>
      </c>
      <c r="E402" s="706">
        <v>6</v>
      </c>
      <c r="F402" s="706" t="s">
        <v>28</v>
      </c>
      <c r="G402" s="706">
        <v>407811</v>
      </c>
      <c r="H402" s="1191">
        <v>45310</v>
      </c>
      <c r="I402" s="706" t="s">
        <v>2106</v>
      </c>
      <c r="M402" s="706"/>
      <c r="N402" s="706"/>
      <c r="O402" s="706"/>
      <c r="P402" s="706"/>
    </row>
    <row r="403" spans="1:16">
      <c r="A403" s="706">
        <v>103591</v>
      </c>
      <c r="B403" s="706" t="s">
        <v>2202</v>
      </c>
      <c r="D403" s="706" t="s">
        <v>1841</v>
      </c>
      <c r="H403" s="1191"/>
      <c r="I403" s="706" t="s">
        <v>2106</v>
      </c>
      <c r="M403" s="706"/>
      <c r="N403" s="706"/>
      <c r="O403" s="706"/>
      <c r="P403" s="706"/>
    </row>
    <row r="404" spans="1:16">
      <c r="A404" s="706">
        <v>103592</v>
      </c>
      <c r="B404" s="706" t="s">
        <v>2203</v>
      </c>
      <c r="D404" s="706" t="s">
        <v>1841</v>
      </c>
      <c r="H404" s="1191"/>
      <c r="I404" s="706" t="s">
        <v>2106</v>
      </c>
      <c r="M404" s="706"/>
      <c r="N404" s="706"/>
      <c r="O404" s="706"/>
      <c r="P404" s="706"/>
    </row>
    <row r="405" spans="1:16">
      <c r="A405" s="706">
        <v>103593</v>
      </c>
      <c r="B405" s="706" t="s">
        <v>2204</v>
      </c>
      <c r="D405" s="706" t="s">
        <v>1841</v>
      </c>
      <c r="H405" s="1191"/>
      <c r="I405" s="706" t="s">
        <v>2106</v>
      </c>
      <c r="M405" s="706"/>
      <c r="N405" s="706"/>
      <c r="O405" s="706"/>
      <c r="P405" s="706"/>
    </row>
    <row r="406" spans="1:16">
      <c r="A406" s="706">
        <v>103594</v>
      </c>
      <c r="B406" s="706" t="s">
        <v>2205</v>
      </c>
      <c r="D406" s="706" t="s">
        <v>1841</v>
      </c>
      <c r="H406" s="1191"/>
      <c r="I406" s="706" t="s">
        <v>2106</v>
      </c>
      <c r="M406" s="706"/>
      <c r="N406" s="706"/>
      <c r="O406" s="706"/>
      <c r="P406" s="706"/>
    </row>
    <row r="407" spans="1:16">
      <c r="A407" s="706">
        <v>103595</v>
      </c>
      <c r="B407" s="706" t="s">
        <v>2206</v>
      </c>
      <c r="D407" s="706" t="s">
        <v>1841</v>
      </c>
      <c r="H407" s="1191"/>
      <c r="I407" s="706" t="s">
        <v>2106</v>
      </c>
      <c r="M407" s="706"/>
      <c r="N407" s="706"/>
      <c r="O407" s="706"/>
      <c r="P407" s="706"/>
    </row>
    <row r="408" spans="1:16">
      <c r="A408" s="706">
        <v>103596</v>
      </c>
      <c r="B408" s="706" t="s">
        <v>2207</v>
      </c>
      <c r="D408" s="706" t="s">
        <v>1841</v>
      </c>
      <c r="H408" s="1191"/>
      <c r="I408" s="706" t="s">
        <v>2106</v>
      </c>
      <c r="M408" s="706"/>
      <c r="N408" s="706"/>
      <c r="O408" s="706"/>
      <c r="P408" s="706"/>
    </row>
    <row r="409" spans="1:16">
      <c r="A409" s="706">
        <v>103597</v>
      </c>
      <c r="B409" s="706" t="s">
        <v>2208</v>
      </c>
      <c r="D409" s="706" t="s">
        <v>1841</v>
      </c>
      <c r="H409" s="1191"/>
      <c r="I409" s="706" t="s">
        <v>2106</v>
      </c>
      <c r="M409" s="706"/>
      <c r="N409" s="706"/>
      <c r="O409" s="706"/>
      <c r="P409" s="706"/>
    </row>
    <row r="410" spans="1:16">
      <c r="A410" s="706">
        <v>103598</v>
      </c>
      <c r="B410" s="706" t="s">
        <v>2209</v>
      </c>
      <c r="D410" s="706" t="s">
        <v>1841</v>
      </c>
      <c r="H410" s="1191"/>
      <c r="I410" s="706" t="s">
        <v>2106</v>
      </c>
      <c r="M410" s="706"/>
      <c r="N410" s="706"/>
      <c r="O410" s="706"/>
      <c r="P410" s="706"/>
    </row>
    <row r="411" spans="1:16">
      <c r="A411" s="706">
        <v>103599</v>
      </c>
      <c r="B411" s="706" t="s">
        <v>2210</v>
      </c>
      <c r="D411" s="706" t="s">
        <v>1841</v>
      </c>
      <c r="H411" s="1191"/>
      <c r="I411" s="706" t="s">
        <v>2106</v>
      </c>
      <c r="M411" s="706"/>
      <c r="N411" s="706"/>
      <c r="O411" s="706"/>
      <c r="P411" s="706"/>
    </row>
    <row r="412" spans="1:16">
      <c r="A412" s="706">
        <v>103600</v>
      </c>
      <c r="B412" s="706" t="s">
        <v>2211</v>
      </c>
      <c r="D412" s="706" t="s">
        <v>1841</v>
      </c>
      <c r="H412" s="1191"/>
      <c r="I412" s="706" t="s">
        <v>2106</v>
      </c>
      <c r="M412" s="706"/>
      <c r="N412" s="706"/>
      <c r="O412" s="706"/>
      <c r="P412" s="706"/>
    </row>
    <row r="413" spans="1:16">
      <c r="A413" s="706">
        <v>103601</v>
      </c>
      <c r="B413" s="706" t="s">
        <v>2212</v>
      </c>
      <c r="D413" s="706" t="s">
        <v>1841</v>
      </c>
      <c r="H413" s="1191"/>
      <c r="I413" s="706" t="s">
        <v>2106</v>
      </c>
      <c r="M413" s="706"/>
      <c r="N413" s="706"/>
      <c r="O413" s="706"/>
      <c r="P413" s="706"/>
    </row>
    <row r="414" spans="1:16">
      <c r="A414" s="706">
        <v>103602</v>
      </c>
      <c r="B414" s="706" t="s">
        <v>2213</v>
      </c>
      <c r="D414" s="706" t="s">
        <v>1841</v>
      </c>
      <c r="H414" s="1191"/>
      <c r="I414" s="706" t="s">
        <v>2106</v>
      </c>
      <c r="M414" s="706"/>
      <c r="N414" s="706"/>
      <c r="O414" s="706"/>
      <c r="P414" s="706"/>
    </row>
    <row r="415" spans="1:16">
      <c r="A415" s="706">
        <v>103603</v>
      </c>
      <c r="B415" s="706" t="s">
        <v>2214</v>
      </c>
      <c r="D415" s="706" t="s">
        <v>1841</v>
      </c>
      <c r="H415" s="1191"/>
      <c r="I415" s="706" t="s">
        <v>2106</v>
      </c>
      <c r="M415" s="706"/>
      <c r="N415" s="706"/>
      <c r="O415" s="706"/>
      <c r="P415" s="706"/>
    </row>
    <row r="416" spans="1:16">
      <c r="A416" s="706">
        <v>103604</v>
      </c>
      <c r="B416" s="706" t="s">
        <v>2215</v>
      </c>
      <c r="D416" s="706" t="s">
        <v>1841</v>
      </c>
      <c r="H416" s="1191"/>
      <c r="I416" s="706" t="s">
        <v>2106</v>
      </c>
      <c r="M416" s="706"/>
      <c r="N416" s="706"/>
      <c r="O416" s="706"/>
      <c r="P416" s="706"/>
    </row>
    <row r="417" spans="1:16">
      <c r="A417" s="706">
        <v>103605</v>
      </c>
      <c r="B417" s="706" t="s">
        <v>2216</v>
      </c>
      <c r="D417" s="706" t="s">
        <v>1841</v>
      </c>
      <c r="H417" s="1191"/>
      <c r="I417" s="706" t="s">
        <v>2106</v>
      </c>
      <c r="M417" s="706"/>
      <c r="N417" s="706"/>
      <c r="O417" s="706"/>
      <c r="P417" s="706"/>
    </row>
    <row r="418" spans="1:16">
      <c r="A418" s="706">
        <v>103606</v>
      </c>
      <c r="B418" s="706" t="s">
        <v>2217</v>
      </c>
      <c r="D418" s="706" t="s">
        <v>1841</v>
      </c>
      <c r="H418" s="1191"/>
      <c r="I418" s="706" t="s">
        <v>2106</v>
      </c>
      <c r="M418" s="706"/>
      <c r="N418" s="706"/>
      <c r="O418" s="706"/>
      <c r="P418" s="706"/>
    </row>
    <row r="419" spans="1:16">
      <c r="A419" s="706">
        <v>103607</v>
      </c>
      <c r="B419" s="706" t="s">
        <v>2218</v>
      </c>
      <c r="D419" s="706" t="s">
        <v>1841</v>
      </c>
      <c r="H419" s="1191"/>
      <c r="I419" s="706" t="s">
        <v>2106</v>
      </c>
      <c r="M419" s="706"/>
      <c r="N419" s="706"/>
      <c r="O419" s="706"/>
      <c r="P419" s="706"/>
    </row>
    <row r="420" spans="1:16">
      <c r="A420" s="706">
        <v>103608</v>
      </c>
      <c r="B420" s="706" t="s">
        <v>2219</v>
      </c>
      <c r="D420" s="706" t="s">
        <v>1841</v>
      </c>
      <c r="H420" s="1191"/>
      <c r="I420" s="706" t="s">
        <v>2106</v>
      </c>
      <c r="M420" s="706"/>
      <c r="N420" s="706"/>
      <c r="O420" s="706"/>
      <c r="P420" s="706"/>
    </row>
    <row r="421" spans="1:16">
      <c r="A421" s="706">
        <v>103609</v>
      </c>
      <c r="B421" s="706" t="s">
        <v>2220</v>
      </c>
      <c r="D421" s="706" t="s">
        <v>1841</v>
      </c>
      <c r="H421" s="1191"/>
      <c r="I421" s="706" t="s">
        <v>2106</v>
      </c>
      <c r="M421" s="706"/>
      <c r="N421" s="706"/>
      <c r="O421" s="706"/>
      <c r="P421" s="706"/>
    </row>
    <row r="422" spans="1:16">
      <c r="A422" s="706">
        <v>103610</v>
      </c>
      <c r="B422" s="706" t="s">
        <v>2221</v>
      </c>
      <c r="D422" s="706" t="s">
        <v>1841</v>
      </c>
      <c r="H422" s="1191"/>
      <c r="I422" s="706" t="s">
        <v>2106</v>
      </c>
      <c r="M422" s="706"/>
      <c r="N422" s="706"/>
      <c r="O422" s="706"/>
      <c r="P422" s="706"/>
    </row>
    <row r="423" spans="1:16">
      <c r="A423" s="706">
        <v>103611</v>
      </c>
      <c r="B423" s="706" t="s">
        <v>2222</v>
      </c>
      <c r="C423" s="706" t="s">
        <v>8189</v>
      </c>
      <c r="D423" s="706" t="s">
        <v>1841</v>
      </c>
      <c r="E423" s="706">
        <v>6.25</v>
      </c>
      <c r="F423" s="706" t="s">
        <v>28</v>
      </c>
      <c r="G423" s="706">
        <v>406410</v>
      </c>
      <c r="H423" s="1191">
        <v>45008</v>
      </c>
      <c r="I423" s="706" t="s">
        <v>2106</v>
      </c>
      <c r="M423" s="706"/>
      <c r="N423" s="706"/>
      <c r="O423" s="706"/>
      <c r="P423" s="706"/>
    </row>
    <row r="424" spans="1:16">
      <c r="A424" s="706">
        <v>103612</v>
      </c>
      <c r="B424" s="706" t="s">
        <v>2223</v>
      </c>
      <c r="D424" s="706" t="s">
        <v>1841</v>
      </c>
      <c r="H424" s="1191"/>
      <c r="I424" s="706" t="s">
        <v>2106</v>
      </c>
      <c r="M424" s="706"/>
      <c r="N424" s="706"/>
      <c r="O424" s="706"/>
      <c r="P424" s="706"/>
    </row>
    <row r="425" spans="1:16">
      <c r="A425" s="706">
        <v>103613</v>
      </c>
      <c r="B425" s="706" t="s">
        <v>2224</v>
      </c>
      <c r="D425" s="706" t="s">
        <v>1841</v>
      </c>
      <c r="H425" s="1191"/>
      <c r="I425" s="706" t="s">
        <v>2106</v>
      </c>
      <c r="M425" s="706"/>
      <c r="N425" s="706"/>
      <c r="O425" s="706"/>
      <c r="P425" s="706"/>
    </row>
    <row r="426" spans="1:16">
      <c r="A426" s="706">
        <v>103614</v>
      </c>
      <c r="B426" s="706" t="s">
        <v>2225</v>
      </c>
      <c r="D426" s="706" t="s">
        <v>1841</v>
      </c>
      <c r="H426" s="1191"/>
      <c r="I426" s="706" t="s">
        <v>2106</v>
      </c>
      <c r="M426" s="706"/>
      <c r="N426" s="706"/>
      <c r="O426" s="706"/>
      <c r="P426" s="706"/>
    </row>
    <row r="427" spans="1:16">
      <c r="A427" s="706">
        <v>103615</v>
      </c>
      <c r="B427" s="706" t="s">
        <v>2226</v>
      </c>
      <c r="D427" s="706" t="s">
        <v>1841</v>
      </c>
      <c r="H427" s="1191"/>
      <c r="I427" s="706" t="s">
        <v>2106</v>
      </c>
      <c r="M427" s="706"/>
      <c r="N427" s="706"/>
      <c r="O427" s="706"/>
      <c r="P427" s="706"/>
    </row>
    <row r="428" spans="1:16">
      <c r="A428" s="706">
        <v>103616</v>
      </c>
      <c r="B428" s="706" t="s">
        <v>2227</v>
      </c>
      <c r="D428" s="706" t="s">
        <v>1841</v>
      </c>
      <c r="H428" s="1191"/>
      <c r="I428" s="706" t="s">
        <v>2106</v>
      </c>
      <c r="M428" s="706"/>
      <c r="N428" s="706"/>
      <c r="O428" s="706"/>
      <c r="P428" s="706"/>
    </row>
    <row r="429" spans="1:16">
      <c r="A429" s="706">
        <v>103617</v>
      </c>
      <c r="B429" s="706" t="s">
        <v>2228</v>
      </c>
      <c r="D429" s="706" t="s">
        <v>1841</v>
      </c>
      <c r="H429" s="1191"/>
      <c r="I429" s="706" t="s">
        <v>2106</v>
      </c>
      <c r="M429" s="706"/>
      <c r="N429" s="706"/>
      <c r="O429" s="706"/>
      <c r="P429" s="706"/>
    </row>
    <row r="430" spans="1:16">
      <c r="A430" s="706">
        <v>103618</v>
      </c>
      <c r="B430" s="706" t="s">
        <v>2229</v>
      </c>
      <c r="D430" s="706" t="s">
        <v>1841</v>
      </c>
      <c r="H430" s="1191"/>
      <c r="I430" s="706" t="s">
        <v>2106</v>
      </c>
      <c r="M430" s="706"/>
      <c r="N430" s="706"/>
      <c r="O430" s="706"/>
      <c r="P430" s="706"/>
    </row>
    <row r="431" spans="1:16">
      <c r="A431" s="706">
        <v>103619</v>
      </c>
      <c r="B431" s="706" t="s">
        <v>2230</v>
      </c>
      <c r="D431" s="706" t="s">
        <v>1841</v>
      </c>
      <c r="H431" s="1191"/>
      <c r="I431" s="706" t="s">
        <v>2106</v>
      </c>
      <c r="M431" s="706"/>
      <c r="N431" s="706"/>
      <c r="O431" s="706"/>
      <c r="P431" s="706"/>
    </row>
    <row r="432" spans="1:16">
      <c r="A432" s="706">
        <v>103620</v>
      </c>
      <c r="B432" s="706" t="s">
        <v>2231</v>
      </c>
      <c r="D432" s="706" t="s">
        <v>1841</v>
      </c>
      <c r="H432" s="1191"/>
      <c r="I432" s="706" t="s">
        <v>2106</v>
      </c>
      <c r="M432" s="706"/>
      <c r="N432" s="706"/>
      <c r="O432" s="706"/>
      <c r="P432" s="706"/>
    </row>
    <row r="433" spans="1:16">
      <c r="A433" s="706">
        <v>103621</v>
      </c>
      <c r="B433" s="706" t="s">
        <v>2232</v>
      </c>
      <c r="D433" s="706" t="s">
        <v>1841</v>
      </c>
      <c r="H433" s="1191"/>
      <c r="I433" s="706" t="s">
        <v>2106</v>
      </c>
      <c r="M433" s="706"/>
      <c r="N433" s="706"/>
      <c r="O433" s="706"/>
      <c r="P433" s="706"/>
    </row>
    <row r="434" spans="1:16">
      <c r="A434" s="706">
        <v>103622</v>
      </c>
      <c r="B434" s="706" t="s">
        <v>2233</v>
      </c>
      <c r="D434" s="706" t="s">
        <v>1841</v>
      </c>
      <c r="H434" s="1191"/>
      <c r="I434" s="706" t="s">
        <v>2106</v>
      </c>
      <c r="M434" s="706"/>
      <c r="N434" s="706"/>
      <c r="O434" s="706"/>
      <c r="P434" s="706"/>
    </row>
    <row r="435" spans="1:16">
      <c r="A435" s="706">
        <v>103623</v>
      </c>
      <c r="B435" s="706" t="s">
        <v>2234</v>
      </c>
      <c r="D435" s="706" t="s">
        <v>1841</v>
      </c>
      <c r="H435" s="1191"/>
      <c r="I435" s="706" t="s">
        <v>2106</v>
      </c>
      <c r="M435" s="706"/>
      <c r="N435" s="706"/>
      <c r="O435" s="706"/>
      <c r="P435" s="706"/>
    </row>
    <row r="436" spans="1:16">
      <c r="A436" s="706">
        <v>103624</v>
      </c>
      <c r="B436" s="706" t="s">
        <v>2235</v>
      </c>
      <c r="D436" s="706" t="s">
        <v>1841</v>
      </c>
      <c r="H436" s="1191"/>
      <c r="I436" s="706" t="s">
        <v>2106</v>
      </c>
      <c r="M436" s="706"/>
      <c r="N436" s="706"/>
      <c r="O436" s="706"/>
      <c r="P436" s="706"/>
    </row>
    <row r="437" spans="1:16">
      <c r="A437" s="706">
        <v>103625</v>
      </c>
      <c r="B437" s="706" t="s">
        <v>2236</v>
      </c>
      <c r="D437" s="706" t="s">
        <v>1841</v>
      </c>
      <c r="H437" s="1191"/>
      <c r="I437" s="706" t="s">
        <v>2106</v>
      </c>
      <c r="M437" s="706"/>
      <c r="N437" s="706"/>
      <c r="O437" s="706"/>
      <c r="P437" s="706"/>
    </row>
    <row r="438" spans="1:16">
      <c r="A438" s="706">
        <v>103626</v>
      </c>
      <c r="B438" s="706" t="s">
        <v>2237</v>
      </c>
      <c r="D438" s="706" t="s">
        <v>1841</v>
      </c>
      <c r="H438" s="1191"/>
      <c r="I438" s="706" t="s">
        <v>2106</v>
      </c>
      <c r="M438" s="706"/>
      <c r="N438" s="706"/>
      <c r="O438" s="706"/>
      <c r="P438" s="706"/>
    </row>
    <row r="439" spans="1:16">
      <c r="A439" s="706">
        <v>103627</v>
      </c>
      <c r="B439" s="706" t="s">
        <v>2238</v>
      </c>
      <c r="D439" s="706" t="s">
        <v>1841</v>
      </c>
      <c r="H439" s="1191"/>
      <c r="I439" s="706" t="s">
        <v>2106</v>
      </c>
      <c r="M439" s="706"/>
      <c r="N439" s="706"/>
      <c r="O439" s="706"/>
      <c r="P439" s="706"/>
    </row>
    <row r="440" spans="1:16">
      <c r="A440" s="706">
        <v>103628</v>
      </c>
      <c r="B440" s="706" t="s">
        <v>2239</v>
      </c>
      <c r="D440" s="706" t="s">
        <v>1841</v>
      </c>
      <c r="H440" s="1191"/>
      <c r="I440" s="706" t="s">
        <v>2106</v>
      </c>
      <c r="M440" s="706"/>
      <c r="N440" s="706"/>
      <c r="O440" s="706"/>
      <c r="P440" s="706"/>
    </row>
    <row r="441" spans="1:16">
      <c r="A441" s="706">
        <v>103629</v>
      </c>
      <c r="B441" s="706" t="s">
        <v>2240</v>
      </c>
      <c r="D441" s="706" t="s">
        <v>1841</v>
      </c>
      <c r="H441" s="1191"/>
      <c r="I441" s="706" t="s">
        <v>2106</v>
      </c>
      <c r="M441" s="706"/>
      <c r="N441" s="706"/>
      <c r="O441" s="706"/>
      <c r="P441" s="706"/>
    </row>
    <row r="442" spans="1:16">
      <c r="A442" s="706">
        <v>103630</v>
      </c>
      <c r="B442" s="706" t="s">
        <v>2241</v>
      </c>
      <c r="D442" s="706" t="s">
        <v>1841</v>
      </c>
      <c r="H442" s="1191"/>
      <c r="I442" s="706" t="s">
        <v>2106</v>
      </c>
      <c r="M442" s="706"/>
      <c r="N442" s="706"/>
      <c r="O442" s="706"/>
      <c r="P442" s="706"/>
    </row>
    <row r="443" spans="1:16">
      <c r="A443" s="706">
        <v>103631</v>
      </c>
      <c r="B443" s="706" t="s">
        <v>2242</v>
      </c>
      <c r="D443" s="706" t="s">
        <v>1841</v>
      </c>
      <c r="H443" s="1191"/>
      <c r="I443" s="706" t="s">
        <v>2106</v>
      </c>
      <c r="M443" s="706"/>
      <c r="N443" s="706"/>
      <c r="O443" s="706"/>
      <c r="P443" s="706"/>
    </row>
    <row r="444" spans="1:16">
      <c r="A444" s="706">
        <v>103632</v>
      </c>
      <c r="B444" s="706" t="s">
        <v>2243</v>
      </c>
      <c r="C444" s="706" t="s">
        <v>8189</v>
      </c>
      <c r="D444" s="706" t="s">
        <v>1841</v>
      </c>
      <c r="E444" s="706">
        <v>6.88</v>
      </c>
      <c r="F444" s="706" t="s">
        <v>28</v>
      </c>
      <c r="G444" s="706">
        <v>408737</v>
      </c>
      <c r="H444" s="1191">
        <v>45463</v>
      </c>
      <c r="I444" s="706" t="s">
        <v>2106</v>
      </c>
      <c r="M444" s="706"/>
      <c r="N444" s="706"/>
      <c r="O444" s="706"/>
      <c r="P444" s="706"/>
    </row>
    <row r="445" spans="1:16">
      <c r="A445" s="706">
        <v>103633</v>
      </c>
      <c r="B445" s="706" t="s">
        <v>2244</v>
      </c>
      <c r="D445" s="706" t="s">
        <v>1841</v>
      </c>
      <c r="H445" s="1191"/>
      <c r="I445" s="706" t="s">
        <v>2106</v>
      </c>
      <c r="M445" s="706"/>
      <c r="N445" s="706"/>
      <c r="O445" s="706"/>
      <c r="P445" s="706"/>
    </row>
    <row r="446" spans="1:16">
      <c r="A446" s="706">
        <v>103634</v>
      </c>
      <c r="B446" s="706" t="s">
        <v>2245</v>
      </c>
      <c r="D446" s="706" t="s">
        <v>1841</v>
      </c>
      <c r="H446" s="1191"/>
      <c r="I446" s="706" t="s">
        <v>2106</v>
      </c>
      <c r="M446" s="706"/>
      <c r="N446" s="706"/>
      <c r="O446" s="706"/>
      <c r="P446" s="706"/>
    </row>
    <row r="447" spans="1:16">
      <c r="A447" s="706">
        <v>103635</v>
      </c>
      <c r="B447" s="706" t="s">
        <v>2246</v>
      </c>
      <c r="D447" s="706" t="s">
        <v>1841</v>
      </c>
      <c r="H447" s="1191"/>
      <c r="I447" s="706" t="s">
        <v>2106</v>
      </c>
      <c r="M447" s="706"/>
      <c r="N447" s="706"/>
      <c r="O447" s="706"/>
      <c r="P447" s="706"/>
    </row>
    <row r="448" spans="1:16">
      <c r="A448" s="706">
        <v>103636</v>
      </c>
      <c r="B448" s="706" t="s">
        <v>2247</v>
      </c>
      <c r="C448" s="706" t="s">
        <v>8189</v>
      </c>
      <c r="D448" s="706" t="s">
        <v>1841</v>
      </c>
      <c r="E448" s="706">
        <v>4</v>
      </c>
      <c r="F448" s="706" t="s">
        <v>28</v>
      </c>
      <c r="G448" s="706">
        <v>408836</v>
      </c>
      <c r="H448" s="1191">
        <v>45490</v>
      </c>
      <c r="I448" s="706" t="s">
        <v>2106</v>
      </c>
      <c r="M448" s="706"/>
      <c r="N448" s="706"/>
      <c r="O448" s="706"/>
      <c r="P448" s="706"/>
    </row>
    <row r="449" spans="1:16">
      <c r="A449" s="706">
        <v>103637</v>
      </c>
      <c r="B449" s="706" t="s">
        <v>2248</v>
      </c>
      <c r="C449" s="706" t="s">
        <v>8189</v>
      </c>
      <c r="D449" s="706" t="s">
        <v>1841</v>
      </c>
      <c r="E449" s="706">
        <v>3.3332999999999999</v>
      </c>
      <c r="F449" s="706" t="s">
        <v>28</v>
      </c>
      <c r="G449" s="706">
        <v>410932</v>
      </c>
      <c r="H449" s="1191">
        <v>45909</v>
      </c>
      <c r="I449" s="706" t="s">
        <v>2106</v>
      </c>
      <c r="M449" s="706"/>
      <c r="N449" s="706"/>
      <c r="O449" s="706"/>
      <c r="P449" s="706"/>
    </row>
    <row r="450" spans="1:16">
      <c r="A450" s="706">
        <v>103638</v>
      </c>
      <c r="B450" s="706" t="s">
        <v>2249</v>
      </c>
      <c r="D450" s="706" t="s">
        <v>1841</v>
      </c>
      <c r="H450" s="1191"/>
      <c r="I450" s="706" t="s">
        <v>2106</v>
      </c>
      <c r="M450" s="706"/>
      <c r="N450" s="706"/>
      <c r="O450" s="706"/>
      <c r="P450" s="706"/>
    </row>
    <row r="451" spans="1:16">
      <c r="A451" s="706">
        <v>103639</v>
      </c>
      <c r="B451" s="706" t="s">
        <v>2250</v>
      </c>
      <c r="D451" s="706" t="s">
        <v>1841</v>
      </c>
      <c r="H451" s="1191"/>
      <c r="I451" s="706" t="s">
        <v>2106</v>
      </c>
      <c r="M451" s="706"/>
      <c r="N451" s="706"/>
      <c r="O451" s="706"/>
      <c r="P451" s="706"/>
    </row>
    <row r="452" spans="1:16">
      <c r="A452" s="706">
        <v>103640</v>
      </c>
      <c r="B452" s="706" t="s">
        <v>2251</v>
      </c>
      <c r="D452" s="706" t="s">
        <v>1841</v>
      </c>
      <c r="H452" s="1191"/>
      <c r="I452" s="706" t="s">
        <v>2106</v>
      </c>
      <c r="M452" s="706"/>
      <c r="N452" s="706"/>
      <c r="O452" s="706"/>
      <c r="P452" s="706"/>
    </row>
    <row r="453" spans="1:16">
      <c r="A453" s="706">
        <v>103641</v>
      </c>
      <c r="B453" s="706" t="s">
        <v>2252</v>
      </c>
      <c r="D453" s="706" t="s">
        <v>1841</v>
      </c>
      <c r="H453" s="1191"/>
      <c r="I453" s="706" t="s">
        <v>2106</v>
      </c>
      <c r="M453" s="706"/>
      <c r="N453" s="706"/>
      <c r="O453" s="706"/>
      <c r="P453" s="706"/>
    </row>
    <row r="454" spans="1:16">
      <c r="A454" s="706">
        <v>103642</v>
      </c>
      <c r="B454" s="706" t="s">
        <v>2253</v>
      </c>
      <c r="D454" s="706" t="s">
        <v>1841</v>
      </c>
      <c r="H454" s="1191"/>
      <c r="I454" s="706" t="s">
        <v>2106</v>
      </c>
      <c r="M454" s="706"/>
      <c r="N454" s="706"/>
      <c r="O454" s="706"/>
      <c r="P454" s="706"/>
    </row>
    <row r="455" spans="1:16">
      <c r="A455" s="706">
        <v>103643</v>
      </c>
      <c r="B455" s="706" t="s">
        <v>2254</v>
      </c>
      <c r="D455" s="706" t="s">
        <v>1841</v>
      </c>
      <c r="H455" s="1191"/>
      <c r="I455" s="706" t="s">
        <v>2106</v>
      </c>
      <c r="M455" s="706"/>
      <c r="N455" s="706"/>
      <c r="O455" s="706"/>
      <c r="P455" s="706"/>
    </row>
    <row r="456" spans="1:16">
      <c r="A456" s="706">
        <v>103644</v>
      </c>
      <c r="B456" s="706" t="s">
        <v>2255</v>
      </c>
      <c r="C456" s="706" t="s">
        <v>8189</v>
      </c>
      <c r="D456" s="706" t="s">
        <v>1841</v>
      </c>
      <c r="E456" s="706">
        <v>14.583299999999999</v>
      </c>
      <c r="F456" s="706" t="s">
        <v>28</v>
      </c>
      <c r="G456" s="706">
        <v>404819</v>
      </c>
      <c r="H456" s="1191">
        <v>44655</v>
      </c>
      <c r="I456" s="706" t="s">
        <v>2106</v>
      </c>
      <c r="M456" s="706"/>
      <c r="N456" s="706"/>
      <c r="O456" s="706"/>
      <c r="P456" s="706"/>
    </row>
    <row r="457" spans="1:16">
      <c r="A457" s="706">
        <v>103645</v>
      </c>
      <c r="B457" s="706" t="s">
        <v>2256</v>
      </c>
      <c r="D457" s="706" t="s">
        <v>1841</v>
      </c>
      <c r="H457" s="1191"/>
      <c r="I457" s="706" t="s">
        <v>2106</v>
      </c>
      <c r="M457" s="706"/>
      <c r="N457" s="706"/>
      <c r="O457" s="706"/>
      <c r="P457" s="706"/>
    </row>
    <row r="458" spans="1:16">
      <c r="A458" s="706">
        <v>103646</v>
      </c>
      <c r="B458" s="706" t="s">
        <v>2257</v>
      </c>
      <c r="D458" s="706" t="s">
        <v>1841</v>
      </c>
      <c r="H458" s="1191"/>
      <c r="I458" s="706" t="s">
        <v>2106</v>
      </c>
      <c r="M458" s="706"/>
      <c r="N458" s="706"/>
      <c r="O458" s="706"/>
      <c r="P458" s="706"/>
    </row>
    <row r="459" spans="1:16">
      <c r="A459" s="706">
        <v>103647</v>
      </c>
      <c r="B459" s="706" t="s">
        <v>2258</v>
      </c>
      <c r="D459" s="706" t="s">
        <v>1841</v>
      </c>
      <c r="H459" s="1191"/>
      <c r="I459" s="706" t="s">
        <v>2106</v>
      </c>
      <c r="M459" s="706"/>
      <c r="N459" s="706"/>
      <c r="O459" s="706"/>
      <c r="P459" s="706"/>
    </row>
    <row r="460" spans="1:16">
      <c r="A460" s="706">
        <v>103648</v>
      </c>
      <c r="B460" s="706" t="s">
        <v>2259</v>
      </c>
      <c r="D460" s="706" t="s">
        <v>1841</v>
      </c>
      <c r="H460" s="1191"/>
      <c r="I460" s="706" t="s">
        <v>2106</v>
      </c>
      <c r="M460" s="706"/>
      <c r="N460" s="706"/>
      <c r="O460" s="706"/>
      <c r="P460" s="706"/>
    </row>
    <row r="461" spans="1:16">
      <c r="A461" s="706">
        <v>103649</v>
      </c>
      <c r="B461" s="706" t="s">
        <v>2260</v>
      </c>
      <c r="D461" s="706" t="s">
        <v>1841</v>
      </c>
      <c r="H461" s="1191"/>
      <c r="I461" s="706" t="s">
        <v>2106</v>
      </c>
      <c r="M461" s="706"/>
      <c r="N461" s="706"/>
      <c r="O461" s="706"/>
      <c r="P461" s="706"/>
    </row>
    <row r="462" spans="1:16">
      <c r="A462" s="706">
        <v>103650</v>
      </c>
      <c r="B462" s="706" t="s">
        <v>2261</v>
      </c>
      <c r="D462" s="706" t="s">
        <v>1841</v>
      </c>
      <c r="H462" s="1191"/>
      <c r="I462" s="706" t="s">
        <v>2106</v>
      </c>
      <c r="M462" s="706"/>
      <c r="N462" s="706"/>
      <c r="O462" s="706"/>
      <c r="P462" s="706"/>
    </row>
    <row r="463" spans="1:16">
      <c r="A463" s="706">
        <v>103651</v>
      </c>
      <c r="B463" s="706" t="s">
        <v>2262</v>
      </c>
      <c r="D463" s="706" t="s">
        <v>1841</v>
      </c>
      <c r="H463" s="1191"/>
      <c r="I463" s="706" t="s">
        <v>2106</v>
      </c>
      <c r="M463" s="706"/>
      <c r="N463" s="706"/>
      <c r="O463" s="706"/>
      <c r="P463" s="706"/>
    </row>
    <row r="464" spans="1:16">
      <c r="A464" s="706">
        <v>103652</v>
      </c>
      <c r="B464" s="706" t="s">
        <v>2263</v>
      </c>
      <c r="D464" s="706" t="s">
        <v>1841</v>
      </c>
      <c r="H464" s="1191"/>
      <c r="I464" s="706" t="s">
        <v>2106</v>
      </c>
      <c r="M464" s="706"/>
      <c r="N464" s="706"/>
      <c r="O464" s="706"/>
      <c r="P464" s="706"/>
    </row>
    <row r="465" spans="1:16">
      <c r="A465" s="706">
        <v>103653</v>
      </c>
      <c r="B465" s="706" t="s">
        <v>2264</v>
      </c>
      <c r="C465" s="706" t="s">
        <v>8189</v>
      </c>
      <c r="D465" s="706" t="s">
        <v>1841</v>
      </c>
      <c r="E465" s="706">
        <v>3.9</v>
      </c>
      <c r="F465" s="706" t="s">
        <v>28</v>
      </c>
      <c r="G465" s="706">
        <v>408655</v>
      </c>
      <c r="H465" s="1191">
        <v>45449</v>
      </c>
      <c r="I465" s="706" t="s">
        <v>2106</v>
      </c>
      <c r="M465" s="706"/>
      <c r="N465" s="706"/>
      <c r="O465" s="706"/>
      <c r="P465" s="706"/>
    </row>
    <row r="466" spans="1:16">
      <c r="A466" s="706">
        <v>103654</v>
      </c>
      <c r="B466" s="706" t="s">
        <v>2265</v>
      </c>
      <c r="D466" s="706" t="s">
        <v>1841</v>
      </c>
      <c r="H466" s="1191"/>
      <c r="I466" s="706" t="s">
        <v>2106</v>
      </c>
      <c r="M466" s="706"/>
      <c r="N466" s="706"/>
      <c r="O466" s="706"/>
      <c r="P466" s="706"/>
    </row>
    <row r="467" spans="1:16">
      <c r="A467" s="706">
        <v>103655</v>
      </c>
      <c r="B467" s="706" t="s">
        <v>2266</v>
      </c>
      <c r="C467" s="706" t="s">
        <v>8189</v>
      </c>
      <c r="D467" s="706" t="s">
        <v>1841</v>
      </c>
      <c r="E467" s="706">
        <v>2.1</v>
      </c>
      <c r="F467" s="706" t="s">
        <v>28</v>
      </c>
      <c r="G467" s="706">
        <v>409404</v>
      </c>
      <c r="H467" s="1191">
        <v>45604</v>
      </c>
      <c r="I467" s="706" t="s">
        <v>2106</v>
      </c>
      <c r="M467" s="706"/>
      <c r="N467" s="706"/>
      <c r="O467" s="706"/>
      <c r="P467" s="706"/>
    </row>
    <row r="468" spans="1:16">
      <c r="A468" s="706">
        <v>103656</v>
      </c>
      <c r="B468" s="706" t="s">
        <v>2267</v>
      </c>
      <c r="D468" s="706" t="s">
        <v>1841</v>
      </c>
      <c r="H468" s="1191"/>
      <c r="I468" s="706" t="s">
        <v>2106</v>
      </c>
      <c r="M468" s="706"/>
      <c r="N468" s="706"/>
      <c r="O468" s="706"/>
      <c r="P468" s="706"/>
    </row>
    <row r="469" spans="1:16">
      <c r="A469" s="706">
        <v>103657</v>
      </c>
      <c r="B469" s="706" t="s">
        <v>2268</v>
      </c>
      <c r="D469" s="706" t="s">
        <v>1841</v>
      </c>
      <c r="H469" s="1191"/>
      <c r="I469" s="706" t="s">
        <v>2106</v>
      </c>
      <c r="M469" s="706"/>
      <c r="N469" s="706"/>
      <c r="O469" s="706"/>
      <c r="P469" s="706"/>
    </row>
    <row r="470" spans="1:16">
      <c r="A470" s="706">
        <v>103658</v>
      </c>
      <c r="B470" s="706" t="s">
        <v>2269</v>
      </c>
      <c r="D470" s="706" t="s">
        <v>1841</v>
      </c>
      <c r="H470" s="1191"/>
      <c r="I470" s="706" t="s">
        <v>2106</v>
      </c>
      <c r="M470" s="706"/>
      <c r="N470" s="706"/>
      <c r="O470" s="706"/>
      <c r="P470" s="706"/>
    </row>
    <row r="471" spans="1:16">
      <c r="A471" s="706">
        <v>103659</v>
      </c>
      <c r="B471" s="706" t="s">
        <v>2270</v>
      </c>
      <c r="C471" s="706" t="s">
        <v>8189</v>
      </c>
      <c r="D471" s="706" t="s">
        <v>1841</v>
      </c>
      <c r="E471" s="706">
        <v>7.5</v>
      </c>
      <c r="F471" s="706" t="s">
        <v>28</v>
      </c>
      <c r="G471" s="706">
        <v>405546</v>
      </c>
      <c r="H471" s="1191">
        <v>44810</v>
      </c>
      <c r="I471" s="706" t="s">
        <v>2106</v>
      </c>
      <c r="M471" s="706"/>
      <c r="N471" s="706"/>
      <c r="O471" s="706"/>
      <c r="P471" s="706"/>
    </row>
    <row r="472" spans="1:16">
      <c r="A472" s="706">
        <v>103660</v>
      </c>
      <c r="B472" s="706" t="s">
        <v>2271</v>
      </c>
      <c r="D472" s="706" t="s">
        <v>1841</v>
      </c>
      <c r="H472" s="1191"/>
      <c r="I472" s="706" t="s">
        <v>2106</v>
      </c>
      <c r="M472" s="706"/>
      <c r="N472" s="706"/>
      <c r="O472" s="706"/>
      <c r="P472" s="706"/>
    </row>
    <row r="473" spans="1:16">
      <c r="A473" s="706">
        <v>103661</v>
      </c>
      <c r="B473" s="706" t="s">
        <v>2272</v>
      </c>
      <c r="C473" s="706" t="s">
        <v>8189</v>
      </c>
      <c r="D473" s="706" t="s">
        <v>1841</v>
      </c>
      <c r="E473" s="706">
        <v>2.2936999999999999</v>
      </c>
      <c r="F473" s="706" t="s">
        <v>28</v>
      </c>
      <c r="G473" s="706">
        <v>402931</v>
      </c>
      <c r="H473" s="1191">
        <v>44302</v>
      </c>
      <c r="I473" s="706" t="s">
        <v>2106</v>
      </c>
      <c r="M473" s="706"/>
      <c r="N473" s="706"/>
      <c r="O473" s="706"/>
      <c r="P473" s="706"/>
    </row>
    <row r="474" spans="1:16">
      <c r="A474" s="706">
        <v>103662</v>
      </c>
      <c r="B474" s="706" t="s">
        <v>2273</v>
      </c>
      <c r="C474" s="706" t="s">
        <v>8189</v>
      </c>
      <c r="D474" s="706" t="s">
        <v>1841</v>
      </c>
      <c r="E474" s="706">
        <v>3.82</v>
      </c>
      <c r="F474" s="706" t="s">
        <v>28</v>
      </c>
      <c r="G474" s="706">
        <v>403732</v>
      </c>
      <c r="H474" s="1191">
        <v>44439</v>
      </c>
      <c r="I474" s="706" t="s">
        <v>2106</v>
      </c>
      <c r="M474" s="706"/>
      <c r="N474" s="706"/>
      <c r="O474" s="706"/>
      <c r="P474" s="706"/>
    </row>
    <row r="475" spans="1:16">
      <c r="A475" s="706">
        <v>103663</v>
      </c>
      <c r="B475" s="706" t="s">
        <v>2274</v>
      </c>
      <c r="D475" s="706" t="s">
        <v>1841</v>
      </c>
      <c r="H475" s="1191"/>
      <c r="I475" s="706" t="s">
        <v>2106</v>
      </c>
      <c r="M475" s="706"/>
      <c r="N475" s="706"/>
      <c r="O475" s="706"/>
      <c r="P475" s="706"/>
    </row>
    <row r="476" spans="1:16">
      <c r="A476" s="706">
        <v>103664</v>
      </c>
      <c r="B476" s="706" t="s">
        <v>2275</v>
      </c>
      <c r="D476" s="706" t="s">
        <v>1841</v>
      </c>
      <c r="H476" s="1191"/>
      <c r="I476" s="706" t="s">
        <v>2106</v>
      </c>
      <c r="M476" s="706"/>
      <c r="N476" s="706"/>
      <c r="O476" s="706"/>
      <c r="P476" s="706"/>
    </row>
    <row r="477" spans="1:16">
      <c r="A477" s="706">
        <v>103665</v>
      </c>
      <c r="B477" s="706" t="s">
        <v>2276</v>
      </c>
      <c r="C477" s="706" t="s">
        <v>8189</v>
      </c>
      <c r="D477" s="706" t="s">
        <v>1841</v>
      </c>
      <c r="E477" s="706">
        <v>4.25</v>
      </c>
      <c r="F477" s="706" t="s">
        <v>28</v>
      </c>
      <c r="G477" s="706">
        <v>408087</v>
      </c>
      <c r="H477" s="1191">
        <v>45355</v>
      </c>
      <c r="I477" s="706" t="s">
        <v>2106</v>
      </c>
      <c r="M477" s="706"/>
      <c r="N477" s="706"/>
      <c r="O477" s="706"/>
      <c r="P477" s="706"/>
    </row>
    <row r="478" spans="1:16">
      <c r="A478" s="706">
        <v>103666</v>
      </c>
      <c r="B478" s="706" t="s">
        <v>2277</v>
      </c>
      <c r="D478" s="706" t="s">
        <v>1841</v>
      </c>
      <c r="H478" s="1191"/>
      <c r="I478" s="706" t="s">
        <v>2106</v>
      </c>
      <c r="M478" s="706"/>
      <c r="N478" s="706"/>
      <c r="O478" s="706"/>
      <c r="P478" s="706"/>
    </row>
    <row r="479" spans="1:16">
      <c r="A479" s="706">
        <v>103667</v>
      </c>
      <c r="B479" s="706" t="s">
        <v>2278</v>
      </c>
      <c r="D479" s="706" t="s">
        <v>1841</v>
      </c>
      <c r="H479" s="1191"/>
      <c r="I479" s="706" t="s">
        <v>2106</v>
      </c>
      <c r="M479" s="706"/>
      <c r="N479" s="706"/>
      <c r="O479" s="706"/>
      <c r="P479" s="706"/>
    </row>
    <row r="480" spans="1:16">
      <c r="A480" s="706">
        <v>103668</v>
      </c>
      <c r="B480" s="706" t="s">
        <v>2279</v>
      </c>
      <c r="D480" s="706" t="s">
        <v>1841</v>
      </c>
      <c r="H480" s="1191"/>
      <c r="I480" s="706" t="s">
        <v>2106</v>
      </c>
      <c r="M480" s="706"/>
      <c r="N480" s="706"/>
      <c r="O480" s="706"/>
      <c r="P480" s="706"/>
    </row>
    <row r="481" spans="1:16">
      <c r="A481" s="706">
        <v>103669</v>
      </c>
      <c r="B481" s="706" t="s">
        <v>2280</v>
      </c>
      <c r="D481" s="706" t="s">
        <v>1841</v>
      </c>
      <c r="H481" s="1191"/>
      <c r="I481" s="706" t="s">
        <v>2106</v>
      </c>
      <c r="M481" s="706"/>
      <c r="N481" s="706"/>
      <c r="O481" s="706"/>
      <c r="P481" s="706"/>
    </row>
    <row r="482" spans="1:16">
      <c r="A482" s="706">
        <v>103670</v>
      </c>
      <c r="B482" s="706" t="s">
        <v>2281</v>
      </c>
      <c r="D482" s="706" t="s">
        <v>1841</v>
      </c>
      <c r="H482" s="1191"/>
      <c r="I482" s="706" t="s">
        <v>2106</v>
      </c>
      <c r="M482" s="706"/>
      <c r="N482" s="706"/>
      <c r="O482" s="706"/>
      <c r="P482" s="706"/>
    </row>
    <row r="483" spans="1:16">
      <c r="A483" s="706">
        <v>103671</v>
      </c>
      <c r="B483" s="706" t="s">
        <v>2282</v>
      </c>
      <c r="D483" s="706" t="s">
        <v>1841</v>
      </c>
      <c r="H483" s="1191"/>
      <c r="I483" s="706" t="s">
        <v>2106</v>
      </c>
      <c r="M483" s="706"/>
      <c r="N483" s="706"/>
      <c r="O483" s="706"/>
      <c r="P483" s="706"/>
    </row>
    <row r="484" spans="1:16">
      <c r="A484" s="706">
        <v>103672</v>
      </c>
      <c r="B484" s="706" t="s">
        <v>2283</v>
      </c>
      <c r="D484" s="706" t="s">
        <v>1841</v>
      </c>
      <c r="H484" s="1191"/>
      <c r="I484" s="706" t="s">
        <v>2106</v>
      </c>
      <c r="M484" s="706"/>
      <c r="N484" s="706"/>
      <c r="O484" s="706"/>
      <c r="P484" s="706"/>
    </row>
    <row r="485" spans="1:16">
      <c r="A485" s="706">
        <v>103673</v>
      </c>
      <c r="B485" s="706" t="s">
        <v>2284</v>
      </c>
      <c r="D485" s="706" t="s">
        <v>1841</v>
      </c>
      <c r="H485" s="1191"/>
      <c r="I485" s="706" t="s">
        <v>2106</v>
      </c>
      <c r="M485" s="706"/>
      <c r="N485" s="706"/>
      <c r="O485" s="706"/>
      <c r="P485" s="706"/>
    </row>
    <row r="486" spans="1:16">
      <c r="A486" s="706">
        <v>103674</v>
      </c>
      <c r="B486" s="706" t="s">
        <v>2285</v>
      </c>
      <c r="D486" s="706" t="s">
        <v>1841</v>
      </c>
      <c r="H486" s="1191"/>
      <c r="I486" s="706" t="s">
        <v>2106</v>
      </c>
      <c r="M486" s="706"/>
      <c r="N486" s="706"/>
      <c r="O486" s="706"/>
      <c r="P486" s="706"/>
    </row>
    <row r="487" spans="1:16">
      <c r="A487" s="706">
        <v>103675</v>
      </c>
      <c r="B487" s="706" t="s">
        <v>2286</v>
      </c>
      <c r="D487" s="706" t="s">
        <v>1841</v>
      </c>
      <c r="H487" s="1191"/>
      <c r="I487" s="706" t="s">
        <v>2106</v>
      </c>
      <c r="M487" s="706"/>
      <c r="N487" s="706"/>
      <c r="O487" s="706"/>
      <c r="P487" s="706"/>
    </row>
    <row r="488" spans="1:16">
      <c r="A488" s="706">
        <v>103676</v>
      </c>
      <c r="B488" s="706" t="s">
        <v>2287</v>
      </c>
      <c r="D488" s="706" t="s">
        <v>1841</v>
      </c>
      <c r="H488" s="1191"/>
      <c r="I488" s="706" t="s">
        <v>2106</v>
      </c>
      <c r="M488" s="706"/>
      <c r="N488" s="706"/>
      <c r="O488" s="706"/>
      <c r="P488" s="706"/>
    </row>
    <row r="489" spans="1:16">
      <c r="A489" s="706">
        <v>103677</v>
      </c>
      <c r="B489" s="706" t="s">
        <v>2288</v>
      </c>
      <c r="D489" s="706" t="s">
        <v>1841</v>
      </c>
      <c r="H489" s="1191"/>
      <c r="I489" s="706" t="s">
        <v>2106</v>
      </c>
      <c r="M489" s="706"/>
      <c r="N489" s="706"/>
      <c r="O489" s="706"/>
      <c r="P489" s="706"/>
    </row>
    <row r="490" spans="1:16">
      <c r="A490" s="706">
        <v>103678</v>
      </c>
      <c r="B490" s="706" t="s">
        <v>2289</v>
      </c>
      <c r="D490" s="706" t="s">
        <v>1841</v>
      </c>
      <c r="H490" s="1191"/>
      <c r="I490" s="706" t="s">
        <v>2106</v>
      </c>
      <c r="M490" s="706"/>
      <c r="N490" s="706"/>
      <c r="O490" s="706"/>
      <c r="P490" s="706"/>
    </row>
    <row r="491" spans="1:16">
      <c r="A491" s="706">
        <v>103679</v>
      </c>
      <c r="B491" s="706" t="s">
        <v>2290</v>
      </c>
      <c r="D491" s="706" t="s">
        <v>1841</v>
      </c>
      <c r="H491" s="1191"/>
      <c r="I491" s="706" t="s">
        <v>2106</v>
      </c>
      <c r="M491" s="706"/>
      <c r="N491" s="706"/>
      <c r="O491" s="706"/>
      <c r="P491" s="706"/>
    </row>
    <row r="492" spans="1:16">
      <c r="A492" s="706">
        <v>103680</v>
      </c>
      <c r="B492" s="706" t="s">
        <v>2291</v>
      </c>
      <c r="D492" s="706" t="s">
        <v>1841</v>
      </c>
      <c r="H492" s="1191"/>
      <c r="I492" s="706" t="s">
        <v>2106</v>
      </c>
      <c r="M492" s="706"/>
      <c r="N492" s="706"/>
      <c r="O492" s="706"/>
      <c r="P492" s="706"/>
    </row>
    <row r="493" spans="1:16">
      <c r="A493" s="706">
        <v>103681</v>
      </c>
      <c r="B493" s="706" t="s">
        <v>2292</v>
      </c>
      <c r="C493" s="706" t="s">
        <v>8189</v>
      </c>
      <c r="D493" s="706" t="s">
        <v>1841</v>
      </c>
      <c r="E493" s="706">
        <v>25.2</v>
      </c>
      <c r="F493" s="706" t="s">
        <v>1014</v>
      </c>
      <c r="G493" s="706">
        <v>408081</v>
      </c>
      <c r="H493" s="1191">
        <v>45355</v>
      </c>
      <c r="I493" s="706" t="s">
        <v>2293</v>
      </c>
      <c r="M493" s="706"/>
      <c r="N493" s="706"/>
      <c r="O493" s="706"/>
      <c r="P493" s="706"/>
    </row>
    <row r="494" spans="1:16">
      <c r="A494" s="706">
        <v>103682</v>
      </c>
      <c r="B494" s="706" t="s">
        <v>8190</v>
      </c>
      <c r="D494" s="706" t="s">
        <v>1841</v>
      </c>
      <c r="H494" s="1191"/>
      <c r="I494" s="706" t="s">
        <v>2106</v>
      </c>
      <c r="M494" s="706"/>
      <c r="N494" s="706"/>
      <c r="O494" s="706"/>
      <c r="P494" s="706"/>
    </row>
    <row r="495" spans="1:16">
      <c r="A495" s="706">
        <v>103683</v>
      </c>
      <c r="B495" s="706" t="s">
        <v>8191</v>
      </c>
      <c r="C495" s="706" t="s">
        <v>8189</v>
      </c>
      <c r="D495" s="706" t="s">
        <v>1841</v>
      </c>
      <c r="E495" s="706">
        <v>9</v>
      </c>
      <c r="F495" s="706" t="s">
        <v>28</v>
      </c>
      <c r="G495" s="706">
        <v>411285</v>
      </c>
      <c r="H495" s="1191">
        <v>45979</v>
      </c>
      <c r="I495" s="706" t="s">
        <v>2106</v>
      </c>
      <c r="M495" s="706"/>
      <c r="N495" s="706"/>
      <c r="O495" s="706"/>
      <c r="P495" s="706"/>
    </row>
    <row r="496" spans="1:16">
      <c r="A496" s="706">
        <v>103701</v>
      </c>
      <c r="B496" s="706" t="s">
        <v>2294</v>
      </c>
      <c r="D496" s="706" t="s">
        <v>1841</v>
      </c>
      <c r="H496" s="1191"/>
      <c r="I496" s="706" t="s">
        <v>2106</v>
      </c>
      <c r="M496" s="706"/>
      <c r="N496" s="706"/>
      <c r="O496" s="706"/>
      <c r="P496" s="706"/>
    </row>
    <row r="497" spans="1:16">
      <c r="A497" s="706">
        <v>103702</v>
      </c>
      <c r="B497" s="706" t="s">
        <v>2295</v>
      </c>
      <c r="D497" s="706" t="s">
        <v>1841</v>
      </c>
      <c r="H497" s="1191"/>
      <c r="I497" s="706" t="s">
        <v>2106</v>
      </c>
      <c r="M497" s="706"/>
      <c r="N497" s="706"/>
      <c r="O497" s="706"/>
      <c r="P497" s="706"/>
    </row>
    <row r="498" spans="1:16">
      <c r="A498" s="706">
        <v>103703</v>
      </c>
      <c r="B498" s="706" t="s">
        <v>2296</v>
      </c>
      <c r="D498" s="706" t="s">
        <v>1841</v>
      </c>
      <c r="H498" s="1191"/>
      <c r="I498" s="706" t="s">
        <v>2106</v>
      </c>
      <c r="M498" s="706"/>
      <c r="N498" s="706"/>
      <c r="O498" s="706"/>
      <c r="P498" s="706"/>
    </row>
    <row r="499" spans="1:16">
      <c r="A499" s="706">
        <v>103704</v>
      </c>
      <c r="B499" s="706" t="s">
        <v>2297</v>
      </c>
      <c r="D499" s="706" t="s">
        <v>1841</v>
      </c>
      <c r="H499" s="1191"/>
      <c r="I499" s="706" t="s">
        <v>2106</v>
      </c>
      <c r="M499" s="706"/>
      <c r="N499" s="706"/>
      <c r="O499" s="706"/>
      <c r="P499" s="706"/>
    </row>
    <row r="500" spans="1:16">
      <c r="A500" s="706">
        <v>103705</v>
      </c>
      <c r="B500" s="706" t="s">
        <v>2298</v>
      </c>
      <c r="D500" s="706" t="s">
        <v>1841</v>
      </c>
      <c r="H500" s="1191"/>
      <c r="I500" s="706" t="s">
        <v>2106</v>
      </c>
      <c r="M500" s="706"/>
      <c r="N500" s="706"/>
      <c r="O500" s="706"/>
      <c r="P500" s="706"/>
    </row>
    <row r="501" spans="1:16">
      <c r="A501" s="706">
        <v>103706</v>
      </c>
      <c r="B501" s="706" t="s">
        <v>2299</v>
      </c>
      <c r="D501" s="706" t="s">
        <v>1841</v>
      </c>
      <c r="H501" s="1191"/>
      <c r="I501" s="706" t="s">
        <v>2106</v>
      </c>
      <c r="M501" s="706"/>
      <c r="N501" s="706"/>
      <c r="O501" s="706"/>
      <c r="P501" s="706"/>
    </row>
    <row r="502" spans="1:16">
      <c r="A502" s="706">
        <v>103707</v>
      </c>
      <c r="B502" s="706" t="s">
        <v>2300</v>
      </c>
      <c r="D502" s="706" t="s">
        <v>1841</v>
      </c>
      <c r="H502" s="1191"/>
      <c r="I502" s="706" t="s">
        <v>2106</v>
      </c>
      <c r="M502" s="706"/>
      <c r="N502" s="706"/>
      <c r="O502" s="706"/>
      <c r="P502" s="706"/>
    </row>
    <row r="503" spans="1:16">
      <c r="A503" s="706">
        <v>103708</v>
      </c>
      <c r="B503" s="706" t="s">
        <v>2301</v>
      </c>
      <c r="D503" s="706" t="s">
        <v>1841</v>
      </c>
      <c r="H503" s="1191"/>
      <c r="I503" s="706" t="s">
        <v>2106</v>
      </c>
      <c r="M503" s="706"/>
      <c r="N503" s="706"/>
      <c r="O503" s="706"/>
      <c r="P503" s="706"/>
    </row>
    <row r="504" spans="1:16">
      <c r="A504" s="706">
        <v>103709</v>
      </c>
      <c r="B504" s="706" t="s">
        <v>2302</v>
      </c>
      <c r="D504" s="706" t="s">
        <v>1841</v>
      </c>
      <c r="H504" s="1191"/>
      <c r="I504" s="706" t="s">
        <v>2106</v>
      </c>
      <c r="M504" s="706"/>
      <c r="N504" s="706"/>
      <c r="O504" s="706"/>
      <c r="P504" s="706"/>
    </row>
    <row r="505" spans="1:16">
      <c r="A505" s="706">
        <v>103710</v>
      </c>
      <c r="B505" s="706" t="s">
        <v>2303</v>
      </c>
      <c r="D505" s="706" t="s">
        <v>1841</v>
      </c>
      <c r="H505" s="1191"/>
      <c r="I505" s="706" t="s">
        <v>2106</v>
      </c>
      <c r="M505" s="706"/>
      <c r="N505" s="706"/>
      <c r="O505" s="706"/>
      <c r="P505" s="706"/>
    </row>
    <row r="506" spans="1:16">
      <c r="A506" s="706">
        <v>103711</v>
      </c>
      <c r="B506" s="706" t="s">
        <v>2304</v>
      </c>
      <c r="D506" s="706" t="s">
        <v>1841</v>
      </c>
      <c r="H506" s="1191"/>
      <c r="I506" s="706" t="s">
        <v>2106</v>
      </c>
      <c r="M506" s="706"/>
      <c r="N506" s="706"/>
      <c r="O506" s="706"/>
      <c r="P506" s="706"/>
    </row>
    <row r="507" spans="1:16">
      <c r="A507" s="706">
        <v>103712</v>
      </c>
      <c r="B507" s="706" t="s">
        <v>2305</v>
      </c>
      <c r="D507" s="706" t="s">
        <v>1841</v>
      </c>
      <c r="H507" s="1191"/>
      <c r="I507" s="706" t="s">
        <v>2106</v>
      </c>
      <c r="M507" s="706"/>
      <c r="N507" s="706"/>
      <c r="O507" s="706"/>
      <c r="P507" s="706"/>
    </row>
    <row r="508" spans="1:16">
      <c r="A508" s="706">
        <v>103713</v>
      </c>
      <c r="B508" s="706" t="s">
        <v>2306</v>
      </c>
      <c r="D508" s="706" t="s">
        <v>1841</v>
      </c>
      <c r="H508" s="1191"/>
      <c r="I508" s="706" t="s">
        <v>2106</v>
      </c>
      <c r="M508" s="706"/>
      <c r="N508" s="706"/>
      <c r="O508" s="706"/>
      <c r="P508" s="706"/>
    </row>
    <row r="509" spans="1:16">
      <c r="A509" s="706">
        <v>103714</v>
      </c>
      <c r="B509" s="706" t="s">
        <v>2307</v>
      </c>
      <c r="D509" s="706" t="s">
        <v>1841</v>
      </c>
      <c r="H509" s="1191"/>
      <c r="I509" s="706" t="s">
        <v>2106</v>
      </c>
      <c r="M509" s="706"/>
      <c r="N509" s="706"/>
      <c r="O509" s="706"/>
      <c r="P509" s="706"/>
    </row>
    <row r="510" spans="1:16">
      <c r="A510" s="706">
        <v>103715</v>
      </c>
      <c r="B510" s="706" t="s">
        <v>2308</v>
      </c>
      <c r="D510" s="706" t="s">
        <v>1841</v>
      </c>
      <c r="H510" s="1191"/>
      <c r="I510" s="706" t="s">
        <v>2106</v>
      </c>
      <c r="M510" s="706"/>
      <c r="N510" s="706"/>
      <c r="O510" s="706"/>
      <c r="P510" s="706"/>
    </row>
    <row r="511" spans="1:16">
      <c r="A511" s="706">
        <v>103716</v>
      </c>
      <c r="B511" s="706" t="s">
        <v>2309</v>
      </c>
      <c r="D511" s="706" t="s">
        <v>1841</v>
      </c>
      <c r="H511" s="1191"/>
      <c r="I511" s="706" t="s">
        <v>2106</v>
      </c>
      <c r="M511" s="706"/>
      <c r="N511" s="706"/>
      <c r="O511" s="706"/>
      <c r="P511" s="706"/>
    </row>
    <row r="512" spans="1:16">
      <c r="A512" s="706">
        <v>103717</v>
      </c>
      <c r="B512" s="706" t="s">
        <v>2310</v>
      </c>
      <c r="D512" s="706" t="s">
        <v>1841</v>
      </c>
      <c r="H512" s="1191"/>
      <c r="I512" s="706" t="s">
        <v>2106</v>
      </c>
      <c r="M512" s="706"/>
      <c r="N512" s="706"/>
      <c r="O512" s="706"/>
      <c r="P512" s="706"/>
    </row>
    <row r="513" spans="1:16">
      <c r="A513" s="706">
        <v>103718</v>
      </c>
      <c r="B513" s="706" t="s">
        <v>2311</v>
      </c>
      <c r="D513" s="706" t="s">
        <v>1841</v>
      </c>
      <c r="H513" s="1191"/>
      <c r="I513" s="706" t="s">
        <v>2106</v>
      </c>
      <c r="M513" s="706"/>
      <c r="N513" s="706"/>
      <c r="O513" s="706"/>
      <c r="P513" s="706"/>
    </row>
    <row r="514" spans="1:16">
      <c r="A514" s="706">
        <v>103719</v>
      </c>
      <c r="B514" s="706" t="s">
        <v>2312</v>
      </c>
      <c r="D514" s="706" t="s">
        <v>1841</v>
      </c>
      <c r="H514" s="1191"/>
      <c r="I514" s="706" t="s">
        <v>2106</v>
      </c>
      <c r="M514" s="706"/>
      <c r="N514" s="706"/>
      <c r="O514" s="706"/>
      <c r="P514" s="706"/>
    </row>
    <row r="515" spans="1:16">
      <c r="A515" s="706">
        <v>103720</v>
      </c>
      <c r="B515" s="706" t="s">
        <v>2313</v>
      </c>
      <c r="D515" s="706" t="s">
        <v>1841</v>
      </c>
      <c r="H515" s="1191"/>
      <c r="I515" s="706" t="s">
        <v>2106</v>
      </c>
      <c r="M515" s="706"/>
      <c r="N515" s="706"/>
      <c r="O515" s="706"/>
      <c r="P515" s="706"/>
    </row>
    <row r="516" spans="1:16">
      <c r="A516" s="706">
        <v>103721</v>
      </c>
      <c r="B516" s="706" t="s">
        <v>2314</v>
      </c>
      <c r="D516" s="706" t="s">
        <v>1841</v>
      </c>
      <c r="H516" s="1191"/>
      <c r="I516" s="706" t="s">
        <v>2106</v>
      </c>
      <c r="M516" s="706"/>
      <c r="N516" s="706"/>
      <c r="O516" s="706"/>
      <c r="P516" s="706"/>
    </row>
    <row r="517" spans="1:16">
      <c r="A517" s="706">
        <v>103722</v>
      </c>
      <c r="B517" s="706" t="s">
        <v>2315</v>
      </c>
      <c r="C517" s="706" t="s">
        <v>8189</v>
      </c>
      <c r="D517" s="706" t="s">
        <v>1841</v>
      </c>
      <c r="E517" s="706">
        <v>8.3332999999999995</v>
      </c>
      <c r="F517" s="706" t="s">
        <v>30</v>
      </c>
      <c r="G517" s="706">
        <v>407184</v>
      </c>
      <c r="H517" s="1191">
        <v>45189</v>
      </c>
      <c r="I517" s="706" t="s">
        <v>2106</v>
      </c>
      <c r="M517" s="706"/>
      <c r="N517" s="706"/>
      <c r="O517" s="706"/>
      <c r="P517" s="706"/>
    </row>
    <row r="518" spans="1:16">
      <c r="A518" s="706">
        <v>103723</v>
      </c>
      <c r="B518" s="706" t="s">
        <v>2316</v>
      </c>
      <c r="C518" s="706" t="s">
        <v>8189</v>
      </c>
      <c r="D518" s="706" t="s">
        <v>1841</v>
      </c>
      <c r="E518" s="706">
        <v>8.3332999999999995</v>
      </c>
      <c r="F518" s="706" t="s">
        <v>30</v>
      </c>
      <c r="G518" s="706">
        <v>407184</v>
      </c>
      <c r="H518" s="1191">
        <v>45189</v>
      </c>
      <c r="I518" s="706" t="s">
        <v>2106</v>
      </c>
      <c r="M518" s="706"/>
      <c r="N518" s="706"/>
      <c r="O518" s="706"/>
      <c r="P518" s="706"/>
    </row>
    <row r="519" spans="1:16">
      <c r="A519" s="706">
        <v>103724</v>
      </c>
      <c r="B519" s="706" t="s">
        <v>2317</v>
      </c>
      <c r="C519" s="706" t="s">
        <v>8189</v>
      </c>
      <c r="D519" s="706" t="s">
        <v>1841</v>
      </c>
      <c r="E519" s="706">
        <v>8.1667000000000005</v>
      </c>
      <c r="F519" s="706" t="s">
        <v>30</v>
      </c>
      <c r="G519" s="706">
        <v>410711</v>
      </c>
      <c r="H519" s="1191">
        <v>45875</v>
      </c>
      <c r="I519" s="706" t="s">
        <v>2106</v>
      </c>
      <c r="M519" s="706"/>
      <c r="N519" s="706"/>
      <c r="O519" s="706"/>
      <c r="P519" s="706"/>
    </row>
    <row r="520" spans="1:16">
      <c r="A520" s="706">
        <v>103760</v>
      </c>
      <c r="B520" s="706" t="s">
        <v>2318</v>
      </c>
      <c r="C520" s="706" t="s">
        <v>8189</v>
      </c>
      <c r="D520" s="706" t="s">
        <v>1841</v>
      </c>
      <c r="E520" s="706">
        <v>383.33330000000001</v>
      </c>
      <c r="F520" s="706" t="s">
        <v>28</v>
      </c>
      <c r="G520" s="706">
        <v>404189</v>
      </c>
      <c r="H520" s="1191">
        <v>44532</v>
      </c>
      <c r="I520" s="706" t="s">
        <v>2106</v>
      </c>
      <c r="M520" s="706"/>
      <c r="N520" s="706"/>
      <c r="O520" s="706"/>
      <c r="P520" s="706"/>
    </row>
    <row r="521" spans="1:16">
      <c r="A521" s="706">
        <v>103761</v>
      </c>
      <c r="B521" s="706" t="s">
        <v>770</v>
      </c>
      <c r="C521" s="706" t="s">
        <v>8189</v>
      </c>
      <c r="D521" s="706" t="s">
        <v>1841</v>
      </c>
      <c r="E521" s="706">
        <v>5</v>
      </c>
      <c r="F521" s="706" t="s">
        <v>30</v>
      </c>
      <c r="G521" s="706">
        <v>411519</v>
      </c>
      <c r="H521" s="1191">
        <v>46034</v>
      </c>
      <c r="I521" s="706" t="s">
        <v>2106</v>
      </c>
      <c r="M521" s="706"/>
      <c r="N521" s="706"/>
      <c r="O521" s="706"/>
      <c r="P521" s="706"/>
    </row>
    <row r="522" spans="1:16">
      <c r="A522" s="706">
        <v>103762</v>
      </c>
      <c r="B522" s="706" t="s">
        <v>2319</v>
      </c>
      <c r="D522" s="706" t="s">
        <v>1841</v>
      </c>
      <c r="H522" s="1191"/>
      <c r="I522" s="706" t="s">
        <v>2106</v>
      </c>
      <c r="M522" s="706"/>
      <c r="N522" s="706"/>
      <c r="O522" s="706"/>
      <c r="P522" s="706"/>
    </row>
    <row r="523" spans="1:16">
      <c r="A523" s="706">
        <v>103763</v>
      </c>
      <c r="B523" s="706" t="s">
        <v>2320</v>
      </c>
      <c r="D523" s="706" t="s">
        <v>1841</v>
      </c>
      <c r="H523" s="1191"/>
      <c r="I523" s="706" t="s">
        <v>2106</v>
      </c>
      <c r="M523" s="706"/>
      <c r="N523" s="706"/>
      <c r="O523" s="706"/>
      <c r="P523" s="706"/>
    </row>
    <row r="524" spans="1:16">
      <c r="A524" s="706">
        <v>103764</v>
      </c>
      <c r="B524" s="706" t="s">
        <v>2321</v>
      </c>
      <c r="D524" s="706" t="s">
        <v>1841</v>
      </c>
      <c r="H524" s="1191"/>
      <c r="I524" s="706" t="s">
        <v>2106</v>
      </c>
      <c r="M524" s="706"/>
      <c r="N524" s="706"/>
      <c r="O524" s="706"/>
      <c r="P524" s="706"/>
    </row>
    <row r="525" spans="1:16">
      <c r="A525" s="706">
        <v>103765</v>
      </c>
      <c r="B525" s="706" t="s">
        <v>2322</v>
      </c>
      <c r="D525" s="706" t="s">
        <v>1841</v>
      </c>
      <c r="H525" s="1191"/>
      <c r="I525" s="706" t="s">
        <v>2106</v>
      </c>
      <c r="M525" s="706"/>
      <c r="N525" s="706"/>
      <c r="O525" s="706"/>
      <c r="P525" s="706"/>
    </row>
    <row r="526" spans="1:16">
      <c r="A526" s="706">
        <v>103766</v>
      </c>
      <c r="B526" s="706" t="s">
        <v>2323</v>
      </c>
      <c r="D526" s="706" t="s">
        <v>1841</v>
      </c>
      <c r="H526" s="1191"/>
      <c r="I526" s="706" t="s">
        <v>2106</v>
      </c>
      <c r="M526" s="706"/>
      <c r="N526" s="706"/>
      <c r="O526" s="706"/>
      <c r="P526" s="706"/>
    </row>
    <row r="527" spans="1:16">
      <c r="A527" s="706">
        <v>103767</v>
      </c>
      <c r="B527" s="706" t="s">
        <v>2324</v>
      </c>
      <c r="C527" s="706" t="s">
        <v>8189</v>
      </c>
      <c r="D527" s="706" t="s">
        <v>1841</v>
      </c>
      <c r="E527" s="706">
        <v>5.8333000000000004</v>
      </c>
      <c r="F527" s="706" t="s">
        <v>28</v>
      </c>
      <c r="G527" s="706">
        <v>407516</v>
      </c>
      <c r="H527" s="1191">
        <v>45245</v>
      </c>
      <c r="I527" s="706" t="s">
        <v>2106</v>
      </c>
      <c r="M527" s="706"/>
      <c r="N527" s="706"/>
      <c r="O527" s="706"/>
      <c r="P527" s="706"/>
    </row>
    <row r="528" spans="1:16">
      <c r="A528" s="706">
        <v>103768</v>
      </c>
      <c r="B528" s="706" t="s">
        <v>2325</v>
      </c>
      <c r="D528" s="706" t="s">
        <v>1841</v>
      </c>
      <c r="H528" s="1191"/>
      <c r="I528" s="706" t="s">
        <v>2106</v>
      </c>
      <c r="M528" s="706"/>
      <c r="N528" s="706"/>
      <c r="O528" s="706"/>
      <c r="P528" s="706"/>
    </row>
    <row r="529" spans="1:16">
      <c r="A529" s="706">
        <v>103769</v>
      </c>
      <c r="B529" s="706" t="s">
        <v>2326</v>
      </c>
      <c r="D529" s="706" t="s">
        <v>1841</v>
      </c>
      <c r="H529" s="1191"/>
      <c r="I529" s="706" t="s">
        <v>2106</v>
      </c>
      <c r="M529" s="706"/>
      <c r="N529" s="706"/>
      <c r="O529" s="706"/>
      <c r="P529" s="706"/>
    </row>
    <row r="530" spans="1:16">
      <c r="A530" s="706">
        <v>103770</v>
      </c>
      <c r="B530" s="706" t="s">
        <v>2327</v>
      </c>
      <c r="D530" s="706" t="s">
        <v>1841</v>
      </c>
      <c r="H530" s="1191"/>
      <c r="I530" s="706" t="s">
        <v>2106</v>
      </c>
      <c r="M530" s="706"/>
      <c r="N530" s="706"/>
      <c r="O530" s="706"/>
      <c r="P530" s="706"/>
    </row>
    <row r="531" spans="1:16">
      <c r="A531" s="706">
        <v>103771</v>
      </c>
      <c r="B531" s="706" t="s">
        <v>2328</v>
      </c>
      <c r="C531" s="706" t="s">
        <v>8189</v>
      </c>
      <c r="D531" s="706" t="s">
        <v>1841</v>
      </c>
      <c r="E531" s="706">
        <v>1.4833000000000001</v>
      </c>
      <c r="F531" s="706" t="s">
        <v>30</v>
      </c>
      <c r="G531" s="706">
        <v>401161</v>
      </c>
      <c r="H531" s="1191">
        <v>44047</v>
      </c>
      <c r="I531" s="706" t="s">
        <v>2106</v>
      </c>
      <c r="M531" s="706"/>
      <c r="N531" s="706"/>
      <c r="O531" s="706"/>
      <c r="P531" s="706"/>
    </row>
    <row r="532" spans="1:16">
      <c r="A532" s="706">
        <v>103772</v>
      </c>
      <c r="B532" s="706" t="s">
        <v>2329</v>
      </c>
      <c r="C532" s="706" t="s">
        <v>8189</v>
      </c>
      <c r="D532" s="706" t="s">
        <v>1841</v>
      </c>
      <c r="E532" s="706">
        <v>1.1666000000000001</v>
      </c>
      <c r="F532" s="706" t="s">
        <v>30</v>
      </c>
      <c r="G532" s="706">
        <v>402659</v>
      </c>
      <c r="H532" s="1191">
        <v>44256</v>
      </c>
      <c r="I532" s="706" t="s">
        <v>2106</v>
      </c>
      <c r="M532" s="706"/>
      <c r="N532" s="706"/>
      <c r="O532" s="706"/>
      <c r="P532" s="706"/>
    </row>
    <row r="533" spans="1:16">
      <c r="A533" s="706">
        <v>103773</v>
      </c>
      <c r="B533" s="706" t="s">
        <v>2330</v>
      </c>
      <c r="C533" s="706" t="s">
        <v>8189</v>
      </c>
      <c r="D533" s="706" t="s">
        <v>1841</v>
      </c>
      <c r="E533" s="706">
        <v>0.76</v>
      </c>
      <c r="F533" s="706" t="s">
        <v>30</v>
      </c>
      <c r="G533" s="706">
        <v>401183</v>
      </c>
      <c r="H533" s="1191">
        <v>44048</v>
      </c>
      <c r="I533" s="706" t="s">
        <v>2106</v>
      </c>
      <c r="M533" s="706"/>
      <c r="N533" s="706"/>
      <c r="O533" s="706"/>
      <c r="P533" s="706"/>
    </row>
    <row r="534" spans="1:16">
      <c r="A534" s="706">
        <v>103774</v>
      </c>
      <c r="B534" s="706" t="s">
        <v>2331</v>
      </c>
      <c r="C534" s="706" t="s">
        <v>8189</v>
      </c>
      <c r="D534" s="706" t="s">
        <v>1841</v>
      </c>
      <c r="E534" s="706">
        <v>0.55830000000000002</v>
      </c>
      <c r="F534" s="706" t="s">
        <v>30</v>
      </c>
      <c r="G534" s="706">
        <v>401183</v>
      </c>
      <c r="H534" s="1191">
        <v>44048</v>
      </c>
      <c r="I534" s="706" t="s">
        <v>2106</v>
      </c>
      <c r="M534" s="706"/>
      <c r="N534" s="706"/>
      <c r="O534" s="706"/>
      <c r="P534" s="706"/>
    </row>
    <row r="535" spans="1:16">
      <c r="A535" s="706">
        <v>103775</v>
      </c>
      <c r="B535" s="706" t="s">
        <v>2332</v>
      </c>
      <c r="C535" s="706" t="s">
        <v>8189</v>
      </c>
      <c r="D535" s="706" t="s">
        <v>1841</v>
      </c>
      <c r="E535" s="706">
        <v>0.41660000000000003</v>
      </c>
      <c r="F535" s="706" t="s">
        <v>30</v>
      </c>
      <c r="G535" s="706">
        <v>401183</v>
      </c>
      <c r="H535" s="1191">
        <v>44048</v>
      </c>
      <c r="I535" s="706" t="s">
        <v>2106</v>
      </c>
      <c r="M535" s="706"/>
      <c r="N535" s="706"/>
      <c r="O535" s="706"/>
      <c r="P535" s="706"/>
    </row>
    <row r="536" spans="1:16">
      <c r="A536" s="706">
        <v>103776</v>
      </c>
      <c r="B536" s="706" t="s">
        <v>2333</v>
      </c>
      <c r="C536" s="706" t="s">
        <v>8189</v>
      </c>
      <c r="D536" s="706" t="s">
        <v>1841</v>
      </c>
      <c r="E536" s="706">
        <v>0.27750000000000002</v>
      </c>
      <c r="F536" s="706" t="s">
        <v>30</v>
      </c>
      <c r="G536" s="706">
        <v>401183</v>
      </c>
      <c r="H536" s="1191">
        <v>44048</v>
      </c>
      <c r="I536" s="706" t="s">
        <v>2106</v>
      </c>
      <c r="M536" s="706"/>
      <c r="N536" s="706"/>
      <c r="O536" s="706"/>
      <c r="P536" s="706"/>
    </row>
    <row r="537" spans="1:16">
      <c r="A537" s="706">
        <v>103777</v>
      </c>
      <c r="B537" s="706" t="s">
        <v>2334</v>
      </c>
      <c r="D537" s="706" t="s">
        <v>1841</v>
      </c>
      <c r="H537" s="1191"/>
      <c r="I537" s="706" t="s">
        <v>2106</v>
      </c>
      <c r="M537" s="706"/>
      <c r="N537" s="706"/>
      <c r="O537" s="706"/>
      <c r="P537" s="706"/>
    </row>
    <row r="538" spans="1:16">
      <c r="A538" s="706">
        <v>103778</v>
      </c>
      <c r="B538" s="706" t="s">
        <v>2335</v>
      </c>
      <c r="D538" s="706" t="s">
        <v>1841</v>
      </c>
      <c r="H538" s="1191"/>
      <c r="I538" s="706" t="s">
        <v>2106</v>
      </c>
      <c r="M538" s="706"/>
      <c r="N538" s="706"/>
      <c r="O538" s="706"/>
      <c r="P538" s="706"/>
    </row>
    <row r="539" spans="1:16">
      <c r="A539" s="706">
        <v>103779</v>
      </c>
      <c r="B539" s="706" t="s">
        <v>2336</v>
      </c>
      <c r="C539" s="706" t="s">
        <v>8189</v>
      </c>
      <c r="D539" s="706" t="s">
        <v>1841</v>
      </c>
      <c r="E539" s="706">
        <v>0.1042</v>
      </c>
      <c r="F539" s="706" t="s">
        <v>30</v>
      </c>
      <c r="G539" s="706">
        <v>40140</v>
      </c>
      <c r="H539" s="1191">
        <v>43888</v>
      </c>
      <c r="I539" s="706" t="s">
        <v>2106</v>
      </c>
      <c r="M539" s="706"/>
      <c r="N539" s="706"/>
      <c r="O539" s="706"/>
      <c r="P539" s="706"/>
    </row>
    <row r="540" spans="1:16">
      <c r="A540" s="706">
        <v>103780</v>
      </c>
      <c r="B540" s="706" t="s">
        <v>2337</v>
      </c>
      <c r="D540" s="706" t="s">
        <v>1841</v>
      </c>
      <c r="H540" s="1191"/>
      <c r="I540" s="706" t="s">
        <v>2106</v>
      </c>
      <c r="M540" s="706"/>
      <c r="N540" s="706"/>
      <c r="O540" s="706"/>
      <c r="P540" s="706"/>
    </row>
    <row r="541" spans="1:16">
      <c r="A541" s="706">
        <v>103781</v>
      </c>
      <c r="B541" s="706" t="s">
        <v>2338</v>
      </c>
      <c r="D541" s="706" t="s">
        <v>1841</v>
      </c>
      <c r="H541" s="1191"/>
      <c r="I541" s="706" t="s">
        <v>2106</v>
      </c>
      <c r="M541" s="706"/>
      <c r="N541" s="706"/>
      <c r="O541" s="706"/>
      <c r="P541" s="706"/>
    </row>
    <row r="542" spans="1:16">
      <c r="A542" s="706">
        <v>103782</v>
      </c>
      <c r="B542" s="706" t="s">
        <v>2339</v>
      </c>
      <c r="D542" s="706" t="s">
        <v>1841</v>
      </c>
      <c r="H542" s="1191"/>
      <c r="I542" s="706" t="s">
        <v>2106</v>
      </c>
      <c r="M542" s="706"/>
      <c r="N542" s="706"/>
      <c r="O542" s="706"/>
      <c r="P542" s="706"/>
    </row>
    <row r="543" spans="1:16">
      <c r="A543" s="706">
        <v>103783</v>
      </c>
      <c r="B543" s="706" t="s">
        <v>2340</v>
      </c>
      <c r="D543" s="706" t="s">
        <v>1841</v>
      </c>
      <c r="H543" s="1191"/>
      <c r="I543" s="706" t="s">
        <v>2106</v>
      </c>
      <c r="M543" s="706"/>
      <c r="N543" s="706"/>
      <c r="O543" s="706"/>
      <c r="P543" s="706"/>
    </row>
    <row r="544" spans="1:16">
      <c r="A544" s="706">
        <v>103784</v>
      </c>
      <c r="B544" s="706" t="s">
        <v>2341</v>
      </c>
      <c r="D544" s="706" t="s">
        <v>1841</v>
      </c>
      <c r="H544" s="1191"/>
      <c r="I544" s="706" t="s">
        <v>2106</v>
      </c>
      <c r="M544" s="706"/>
      <c r="N544" s="706"/>
      <c r="O544" s="706"/>
      <c r="P544" s="706"/>
    </row>
    <row r="545" spans="1:16">
      <c r="A545" s="706">
        <v>103785</v>
      </c>
      <c r="B545" s="706" t="s">
        <v>2342</v>
      </c>
      <c r="C545" s="706" t="s">
        <v>8189</v>
      </c>
      <c r="D545" s="706" t="s">
        <v>1841</v>
      </c>
      <c r="E545" s="706">
        <v>0.52080000000000004</v>
      </c>
      <c r="F545" s="706" t="s">
        <v>30</v>
      </c>
      <c r="G545" s="706">
        <v>408126</v>
      </c>
      <c r="H545" s="1191">
        <v>45362</v>
      </c>
      <c r="I545" s="706" t="s">
        <v>2106</v>
      </c>
      <c r="M545" s="706"/>
      <c r="N545" s="706"/>
      <c r="O545" s="706"/>
      <c r="P545" s="706"/>
    </row>
    <row r="546" spans="1:16">
      <c r="A546" s="706">
        <v>103786</v>
      </c>
      <c r="B546" s="706" t="s">
        <v>2343</v>
      </c>
      <c r="D546" s="706" t="s">
        <v>1841</v>
      </c>
      <c r="H546" s="1191"/>
      <c r="I546" s="706" t="s">
        <v>2106</v>
      </c>
      <c r="M546" s="706"/>
      <c r="N546" s="706"/>
      <c r="O546" s="706"/>
      <c r="P546" s="706"/>
    </row>
    <row r="547" spans="1:16">
      <c r="A547" s="706">
        <v>103787</v>
      </c>
      <c r="B547" s="706" t="s">
        <v>2344</v>
      </c>
      <c r="D547" s="706" t="s">
        <v>1841</v>
      </c>
      <c r="H547" s="1191"/>
      <c r="I547" s="706" t="s">
        <v>2106</v>
      </c>
      <c r="M547" s="706"/>
      <c r="N547" s="706"/>
      <c r="O547" s="706"/>
      <c r="P547" s="706"/>
    </row>
    <row r="548" spans="1:16">
      <c r="A548" s="706">
        <v>103788</v>
      </c>
      <c r="B548" s="706" t="s">
        <v>2345</v>
      </c>
      <c r="D548" s="706" t="s">
        <v>1841</v>
      </c>
      <c r="H548" s="1191"/>
      <c r="I548" s="706" t="s">
        <v>2106</v>
      </c>
      <c r="M548" s="706"/>
      <c r="N548" s="706"/>
      <c r="O548" s="706"/>
      <c r="P548" s="706"/>
    </row>
    <row r="549" spans="1:16">
      <c r="A549" s="706">
        <v>103789</v>
      </c>
      <c r="B549" s="706" t="s">
        <v>2346</v>
      </c>
      <c r="D549" s="706" t="s">
        <v>1841</v>
      </c>
      <c r="H549" s="1191"/>
      <c r="I549" s="706" t="s">
        <v>2106</v>
      </c>
      <c r="M549" s="706"/>
      <c r="N549" s="706"/>
      <c r="O549" s="706"/>
      <c r="P549" s="706"/>
    </row>
    <row r="550" spans="1:16">
      <c r="A550" s="706">
        <v>103790</v>
      </c>
      <c r="B550" s="706" t="s">
        <v>2347</v>
      </c>
      <c r="D550" s="706" t="s">
        <v>1841</v>
      </c>
      <c r="H550" s="1191"/>
      <c r="I550" s="706" t="s">
        <v>2106</v>
      </c>
      <c r="M550" s="706"/>
      <c r="N550" s="706"/>
      <c r="O550" s="706"/>
      <c r="P550" s="706"/>
    </row>
    <row r="551" spans="1:16">
      <c r="A551" s="706">
        <v>103791</v>
      </c>
      <c r="B551" s="706" t="s">
        <v>2348</v>
      </c>
      <c r="C551" s="706" t="s">
        <v>8189</v>
      </c>
      <c r="D551" s="706" t="s">
        <v>1841</v>
      </c>
      <c r="E551" s="706">
        <v>13.333</v>
      </c>
      <c r="F551" s="706" t="s">
        <v>28</v>
      </c>
      <c r="G551" s="706">
        <v>40169</v>
      </c>
      <c r="H551" s="1191">
        <v>43894</v>
      </c>
      <c r="I551" s="706" t="s">
        <v>2106</v>
      </c>
      <c r="M551" s="706"/>
      <c r="N551" s="706"/>
      <c r="O551" s="706"/>
      <c r="P551" s="706"/>
    </row>
    <row r="552" spans="1:16">
      <c r="A552" s="706">
        <v>103792</v>
      </c>
      <c r="B552" s="706" t="s">
        <v>2349</v>
      </c>
      <c r="C552" s="706" t="s">
        <v>8189</v>
      </c>
      <c r="D552" s="706" t="s">
        <v>1841</v>
      </c>
      <c r="E552" s="706">
        <v>0.58330000000000004</v>
      </c>
      <c r="F552" s="706" t="s">
        <v>30</v>
      </c>
      <c r="G552" s="706">
        <v>400299</v>
      </c>
      <c r="H552" s="1191">
        <v>43945</v>
      </c>
      <c r="I552" s="706" t="s">
        <v>2106</v>
      </c>
      <c r="M552" s="706"/>
      <c r="N552" s="706"/>
      <c r="O552" s="706"/>
      <c r="P552" s="706"/>
    </row>
    <row r="553" spans="1:16">
      <c r="A553" s="706">
        <v>103793</v>
      </c>
      <c r="B553" s="706" t="s">
        <v>2350</v>
      </c>
      <c r="D553" s="706" t="s">
        <v>1841</v>
      </c>
      <c r="H553" s="1191"/>
      <c r="I553" s="706" t="s">
        <v>2106</v>
      </c>
      <c r="M553" s="706"/>
      <c r="N553" s="706"/>
      <c r="O553" s="706"/>
      <c r="P553" s="706"/>
    </row>
    <row r="554" spans="1:16">
      <c r="A554" s="706">
        <v>103794</v>
      </c>
      <c r="B554" s="706" t="s">
        <v>2351</v>
      </c>
      <c r="D554" s="706" t="s">
        <v>1841</v>
      </c>
      <c r="H554" s="1191"/>
      <c r="I554" s="706" t="s">
        <v>2106</v>
      </c>
      <c r="M554" s="706"/>
      <c r="N554" s="706"/>
      <c r="O554" s="706"/>
      <c r="P554" s="706"/>
    </row>
    <row r="555" spans="1:16">
      <c r="A555" s="706">
        <v>103795</v>
      </c>
      <c r="B555" s="706" t="s">
        <v>2352</v>
      </c>
      <c r="C555" s="706" t="s">
        <v>8189</v>
      </c>
      <c r="D555" s="706" t="s">
        <v>1841</v>
      </c>
      <c r="E555" s="706">
        <v>0.38190000000000002</v>
      </c>
      <c r="F555" s="706" t="s">
        <v>30</v>
      </c>
      <c r="G555" s="706">
        <v>400463</v>
      </c>
      <c r="H555" s="1191">
        <v>43964</v>
      </c>
      <c r="I555" s="706" t="s">
        <v>2106</v>
      </c>
      <c r="M555" s="706"/>
      <c r="N555" s="706"/>
      <c r="O555" s="706"/>
      <c r="P555" s="706"/>
    </row>
    <row r="556" spans="1:16">
      <c r="A556" s="706">
        <v>103796</v>
      </c>
      <c r="B556" s="706" t="s">
        <v>2353</v>
      </c>
      <c r="D556" s="706" t="s">
        <v>1841</v>
      </c>
      <c r="H556" s="1191"/>
      <c r="I556" s="706" t="s">
        <v>2106</v>
      </c>
      <c r="M556" s="706"/>
      <c r="N556" s="706"/>
      <c r="O556" s="706"/>
      <c r="P556" s="706"/>
    </row>
    <row r="557" spans="1:16">
      <c r="A557" s="706">
        <v>103797</v>
      </c>
      <c r="B557" s="706" t="s">
        <v>2354</v>
      </c>
      <c r="C557" s="706" t="s">
        <v>8189</v>
      </c>
      <c r="D557" s="706" t="s">
        <v>1841</v>
      </c>
      <c r="E557" s="706">
        <v>0.13880000000000001</v>
      </c>
      <c r="F557" s="706" t="s">
        <v>30</v>
      </c>
      <c r="G557" s="706">
        <v>400283</v>
      </c>
      <c r="H557" s="1191">
        <v>43944</v>
      </c>
      <c r="I557" s="706" t="s">
        <v>2106</v>
      </c>
      <c r="M557" s="706"/>
      <c r="N557" s="706"/>
      <c r="O557" s="706"/>
      <c r="P557" s="706"/>
    </row>
    <row r="558" spans="1:16">
      <c r="A558" s="706">
        <v>103798</v>
      </c>
      <c r="B558" s="706" t="s">
        <v>2355</v>
      </c>
      <c r="D558" s="706" t="s">
        <v>1841</v>
      </c>
      <c r="H558" s="1191"/>
      <c r="I558" s="706" t="s">
        <v>2106</v>
      </c>
      <c r="M558" s="706"/>
      <c r="N558" s="706"/>
      <c r="O558" s="706"/>
      <c r="P558" s="706"/>
    </row>
    <row r="559" spans="1:16">
      <c r="A559" s="706">
        <v>103799</v>
      </c>
      <c r="B559" s="706" t="s">
        <v>2356</v>
      </c>
      <c r="D559" s="706" t="s">
        <v>1841</v>
      </c>
      <c r="H559" s="1191"/>
      <c r="I559" s="706" t="s">
        <v>2106</v>
      </c>
      <c r="M559" s="706"/>
      <c r="N559" s="706"/>
      <c r="O559" s="706"/>
      <c r="P559" s="706"/>
    </row>
    <row r="560" spans="1:16">
      <c r="A560" s="706">
        <v>103800</v>
      </c>
      <c r="B560" s="706" t="s">
        <v>2357</v>
      </c>
      <c r="D560" s="706" t="s">
        <v>1841</v>
      </c>
      <c r="H560" s="1191"/>
      <c r="I560" s="706" t="s">
        <v>2106</v>
      </c>
      <c r="M560" s="706"/>
      <c r="N560" s="706"/>
      <c r="O560" s="706"/>
      <c r="P560" s="706"/>
    </row>
    <row r="561" spans="1:16">
      <c r="A561" s="706">
        <v>104258</v>
      </c>
      <c r="B561" s="706" t="s">
        <v>2358</v>
      </c>
      <c r="D561" s="706" t="s">
        <v>1841</v>
      </c>
      <c r="H561" s="1191"/>
      <c r="I561" s="706" t="s">
        <v>2359</v>
      </c>
      <c r="M561" s="706"/>
      <c r="N561" s="706"/>
      <c r="O561" s="706"/>
      <c r="P561" s="706"/>
    </row>
    <row r="562" spans="1:16">
      <c r="A562" s="706">
        <v>104259</v>
      </c>
      <c r="B562" s="706" t="s">
        <v>2360</v>
      </c>
      <c r="D562" s="706" t="s">
        <v>1841</v>
      </c>
      <c r="H562" s="1191"/>
      <c r="I562" s="706" t="s">
        <v>2361</v>
      </c>
      <c r="M562" s="706"/>
      <c r="N562" s="706"/>
      <c r="O562" s="706"/>
      <c r="P562" s="706"/>
    </row>
    <row r="563" spans="1:16">
      <c r="A563" s="706">
        <v>104260</v>
      </c>
      <c r="B563" s="706" t="s">
        <v>2362</v>
      </c>
      <c r="D563" s="706" t="s">
        <v>1841</v>
      </c>
      <c r="H563" s="1191"/>
      <c r="I563" s="706" t="s">
        <v>2361</v>
      </c>
      <c r="M563" s="706"/>
      <c r="N563" s="706"/>
      <c r="O563" s="706"/>
      <c r="P563" s="706"/>
    </row>
    <row r="564" spans="1:16">
      <c r="A564" s="706">
        <v>104261</v>
      </c>
      <c r="B564" s="706" t="s">
        <v>2363</v>
      </c>
      <c r="D564" s="706" t="s">
        <v>1841</v>
      </c>
      <c r="H564" s="1191"/>
      <c r="I564" s="706" t="s">
        <v>2361</v>
      </c>
      <c r="M564" s="706"/>
      <c r="N564" s="706"/>
      <c r="O564" s="706"/>
      <c r="P564" s="706"/>
    </row>
    <row r="565" spans="1:16">
      <c r="A565" s="706">
        <v>104262</v>
      </c>
      <c r="B565" s="706" t="s">
        <v>2364</v>
      </c>
      <c r="C565" s="706" t="s">
        <v>8189</v>
      </c>
      <c r="D565" s="706" t="s">
        <v>1841</v>
      </c>
      <c r="E565" s="706">
        <v>1207.8774000000001</v>
      </c>
      <c r="F565" s="706" t="s">
        <v>28</v>
      </c>
      <c r="G565" s="706">
        <v>40136</v>
      </c>
      <c r="H565" s="1191">
        <v>43888</v>
      </c>
      <c r="I565" s="706" t="s">
        <v>2361</v>
      </c>
      <c r="M565" s="706"/>
      <c r="N565" s="706"/>
      <c r="O565" s="706"/>
      <c r="P565" s="706"/>
    </row>
    <row r="566" spans="1:16">
      <c r="A566" s="706">
        <v>104263</v>
      </c>
      <c r="B566" s="706" t="s">
        <v>2365</v>
      </c>
      <c r="D566" s="706" t="s">
        <v>1841</v>
      </c>
      <c r="H566" s="1191"/>
      <c r="I566" s="706" t="s">
        <v>2359</v>
      </c>
      <c r="M566" s="706"/>
      <c r="N566" s="706"/>
      <c r="O566" s="706"/>
      <c r="P566" s="706"/>
    </row>
    <row r="567" spans="1:16">
      <c r="A567" s="706">
        <v>104264</v>
      </c>
      <c r="B567" s="706" t="s">
        <v>2366</v>
      </c>
      <c r="D567" s="706" t="s">
        <v>1841</v>
      </c>
      <c r="H567" s="1191"/>
      <c r="I567" s="706" t="s">
        <v>2361</v>
      </c>
      <c r="M567" s="706"/>
      <c r="N567" s="706"/>
      <c r="O567" s="706"/>
      <c r="P567" s="706"/>
    </row>
    <row r="568" spans="1:16">
      <c r="A568" s="706">
        <v>104265</v>
      </c>
      <c r="B568" s="706" t="s">
        <v>2367</v>
      </c>
      <c r="D568" s="706" t="s">
        <v>1841</v>
      </c>
      <c r="H568" s="1191"/>
      <c r="I568" s="706" t="s">
        <v>2361</v>
      </c>
      <c r="M568" s="706"/>
      <c r="N568" s="706"/>
      <c r="O568" s="706"/>
      <c r="P568" s="706"/>
    </row>
    <row r="569" spans="1:16">
      <c r="A569" s="706">
        <v>104266</v>
      </c>
      <c r="B569" s="706" t="s">
        <v>2368</v>
      </c>
      <c r="C569" s="706" t="s">
        <v>8189</v>
      </c>
      <c r="D569" s="706" t="s">
        <v>1841</v>
      </c>
      <c r="E569" s="706">
        <v>912</v>
      </c>
      <c r="F569" s="706" t="s">
        <v>28</v>
      </c>
      <c r="G569" s="706">
        <v>400262</v>
      </c>
      <c r="H569" s="1191">
        <v>43943</v>
      </c>
      <c r="I569" s="706" t="s">
        <v>2361</v>
      </c>
      <c r="M569" s="706"/>
      <c r="N569" s="706"/>
      <c r="O569" s="706"/>
      <c r="P569" s="706"/>
    </row>
    <row r="570" spans="1:16">
      <c r="A570" s="706">
        <v>104267</v>
      </c>
      <c r="B570" s="706" t="s">
        <v>2369</v>
      </c>
      <c r="D570" s="706" t="s">
        <v>1841</v>
      </c>
      <c r="H570" s="1191"/>
      <c r="I570" s="706" t="s">
        <v>2361</v>
      </c>
      <c r="M570" s="706"/>
      <c r="N570" s="706"/>
      <c r="O570" s="706"/>
      <c r="P570" s="706"/>
    </row>
    <row r="571" spans="1:16">
      <c r="A571" s="706">
        <v>104268</v>
      </c>
      <c r="B571" s="706" t="s">
        <v>2370</v>
      </c>
      <c r="D571" s="706" t="s">
        <v>1841</v>
      </c>
      <c r="H571" s="1191"/>
      <c r="I571" s="706" t="s">
        <v>2371</v>
      </c>
      <c r="M571" s="706"/>
      <c r="N571" s="706"/>
      <c r="O571" s="706"/>
      <c r="P571" s="706"/>
    </row>
    <row r="572" spans="1:16">
      <c r="A572" s="706">
        <v>104269</v>
      </c>
      <c r="B572" s="706" t="s">
        <v>2372</v>
      </c>
      <c r="D572" s="706" t="s">
        <v>1841</v>
      </c>
      <c r="H572" s="1191"/>
      <c r="I572" s="706" t="s">
        <v>2371</v>
      </c>
      <c r="M572" s="706"/>
      <c r="N572" s="706"/>
      <c r="O572" s="706"/>
      <c r="P572" s="706"/>
    </row>
    <row r="573" spans="1:16">
      <c r="A573" s="706">
        <v>104270</v>
      </c>
      <c r="B573" s="706" t="s">
        <v>2370</v>
      </c>
      <c r="D573" s="706" t="s">
        <v>1841</v>
      </c>
      <c r="H573" s="1191"/>
      <c r="I573" s="706" t="s">
        <v>2373</v>
      </c>
      <c r="M573" s="706"/>
      <c r="N573" s="706"/>
      <c r="O573" s="706"/>
      <c r="P573" s="706"/>
    </row>
    <row r="574" spans="1:16">
      <c r="A574" s="706">
        <v>104271</v>
      </c>
      <c r="B574" s="706" t="s">
        <v>2372</v>
      </c>
      <c r="D574" s="706" t="s">
        <v>1841</v>
      </c>
      <c r="H574" s="1191"/>
      <c r="I574" s="706" t="s">
        <v>2373</v>
      </c>
      <c r="M574" s="706"/>
      <c r="N574" s="706"/>
      <c r="O574" s="706"/>
      <c r="P574" s="706"/>
    </row>
    <row r="575" spans="1:16">
      <c r="A575" s="706">
        <v>104272</v>
      </c>
      <c r="B575" s="706" t="s">
        <v>2370</v>
      </c>
      <c r="D575" s="706" t="s">
        <v>1841</v>
      </c>
      <c r="H575" s="1191"/>
      <c r="I575" s="706" t="s">
        <v>2374</v>
      </c>
      <c r="M575" s="706"/>
      <c r="N575" s="706"/>
      <c r="O575" s="706"/>
      <c r="P575" s="706"/>
    </row>
    <row r="576" spans="1:16">
      <c r="A576" s="706">
        <v>104273</v>
      </c>
      <c r="B576" s="706" t="s">
        <v>2372</v>
      </c>
      <c r="D576" s="706" t="s">
        <v>1841</v>
      </c>
      <c r="H576" s="1191"/>
      <c r="I576" s="706" t="s">
        <v>2374</v>
      </c>
      <c r="M576" s="706"/>
      <c r="N576" s="706"/>
      <c r="O576" s="706"/>
      <c r="P576" s="706"/>
    </row>
    <row r="577" spans="1:16">
      <c r="A577" s="706">
        <v>104274</v>
      </c>
      <c r="B577" s="706" t="s">
        <v>2375</v>
      </c>
      <c r="D577" s="706" t="s">
        <v>1841</v>
      </c>
      <c r="H577" s="1191"/>
      <c r="I577" s="706" t="s">
        <v>2371</v>
      </c>
      <c r="M577" s="706"/>
      <c r="N577" s="706"/>
      <c r="O577" s="706"/>
      <c r="P577" s="706"/>
    </row>
    <row r="578" spans="1:16">
      <c r="A578" s="706">
        <v>104275</v>
      </c>
      <c r="B578" s="706" t="s">
        <v>2376</v>
      </c>
      <c r="D578" s="706" t="s">
        <v>1841</v>
      </c>
      <c r="H578" s="1191"/>
      <c r="I578" s="706" t="s">
        <v>2371</v>
      </c>
      <c r="M578" s="706"/>
      <c r="N578" s="706"/>
      <c r="O578" s="706"/>
      <c r="P578" s="706"/>
    </row>
    <row r="579" spans="1:16">
      <c r="A579" s="706">
        <v>104276</v>
      </c>
      <c r="B579" s="706" t="s">
        <v>2375</v>
      </c>
      <c r="D579" s="706" t="s">
        <v>1841</v>
      </c>
      <c r="H579" s="1191"/>
      <c r="I579" s="706" t="s">
        <v>2373</v>
      </c>
      <c r="M579" s="706"/>
      <c r="N579" s="706"/>
      <c r="O579" s="706"/>
      <c r="P579" s="706"/>
    </row>
    <row r="580" spans="1:16">
      <c r="A580" s="706">
        <v>104277</v>
      </c>
      <c r="B580" s="706" t="s">
        <v>2376</v>
      </c>
      <c r="D580" s="706" t="s">
        <v>1841</v>
      </c>
      <c r="H580" s="1191"/>
      <c r="I580" s="706" t="s">
        <v>2373</v>
      </c>
      <c r="M580" s="706"/>
      <c r="N580" s="706"/>
      <c r="O580" s="706"/>
      <c r="P580" s="706"/>
    </row>
    <row r="581" spans="1:16">
      <c r="A581" s="706">
        <v>104278</v>
      </c>
      <c r="B581" s="706" t="s">
        <v>2375</v>
      </c>
      <c r="D581" s="706" t="s">
        <v>1841</v>
      </c>
      <c r="H581" s="1191"/>
      <c r="I581" s="706" t="s">
        <v>2374</v>
      </c>
      <c r="M581" s="706"/>
      <c r="N581" s="706"/>
      <c r="O581" s="706"/>
      <c r="P581" s="706"/>
    </row>
    <row r="582" spans="1:16">
      <c r="A582" s="706">
        <v>104279</v>
      </c>
      <c r="B582" s="706" t="s">
        <v>2376</v>
      </c>
      <c r="D582" s="706" t="s">
        <v>1841</v>
      </c>
      <c r="H582" s="1191"/>
      <c r="I582" s="706" t="s">
        <v>2374</v>
      </c>
      <c r="M582" s="706"/>
      <c r="N582" s="706"/>
      <c r="O582" s="706"/>
      <c r="P582" s="706"/>
    </row>
    <row r="583" spans="1:16">
      <c r="A583" s="706">
        <v>104280</v>
      </c>
      <c r="B583" s="706" t="s">
        <v>2377</v>
      </c>
      <c r="D583" s="706" t="s">
        <v>1841</v>
      </c>
      <c r="H583" s="1191"/>
      <c r="I583" s="706" t="s">
        <v>2371</v>
      </c>
      <c r="M583" s="706"/>
      <c r="N583" s="706"/>
      <c r="O583" s="706"/>
      <c r="P583" s="706"/>
    </row>
    <row r="584" spans="1:16">
      <c r="A584" s="706">
        <v>104281</v>
      </c>
      <c r="B584" s="706" t="s">
        <v>2378</v>
      </c>
      <c r="D584" s="706" t="s">
        <v>1841</v>
      </c>
      <c r="H584" s="1191"/>
      <c r="I584" s="706" t="s">
        <v>2371</v>
      </c>
      <c r="M584" s="706"/>
      <c r="N584" s="706"/>
      <c r="O584" s="706"/>
      <c r="P584" s="706"/>
    </row>
    <row r="585" spans="1:16">
      <c r="A585" s="706">
        <v>104282</v>
      </c>
      <c r="B585" s="706" t="s">
        <v>2377</v>
      </c>
      <c r="D585" s="706" t="s">
        <v>1841</v>
      </c>
      <c r="H585" s="1191"/>
      <c r="I585" s="706" t="s">
        <v>2373</v>
      </c>
      <c r="M585" s="706"/>
      <c r="N585" s="706"/>
      <c r="O585" s="706"/>
      <c r="P585" s="706"/>
    </row>
    <row r="586" spans="1:16">
      <c r="A586" s="706">
        <v>104283</v>
      </c>
      <c r="B586" s="706" t="s">
        <v>2378</v>
      </c>
      <c r="D586" s="706" t="s">
        <v>1841</v>
      </c>
      <c r="H586" s="1191"/>
      <c r="I586" s="706" t="s">
        <v>2373</v>
      </c>
      <c r="M586" s="706"/>
      <c r="N586" s="706"/>
      <c r="O586" s="706"/>
      <c r="P586" s="706"/>
    </row>
    <row r="587" spans="1:16">
      <c r="A587" s="706">
        <v>104284</v>
      </c>
      <c r="B587" s="706" t="s">
        <v>2377</v>
      </c>
      <c r="D587" s="706" t="s">
        <v>1841</v>
      </c>
      <c r="H587" s="1191"/>
      <c r="I587" s="706" t="s">
        <v>2374</v>
      </c>
      <c r="M587" s="706"/>
      <c r="N587" s="706"/>
      <c r="O587" s="706"/>
      <c r="P587" s="706"/>
    </row>
    <row r="588" spans="1:16">
      <c r="A588" s="706">
        <v>104285</v>
      </c>
      <c r="B588" s="706" t="s">
        <v>2378</v>
      </c>
      <c r="D588" s="706" t="s">
        <v>1841</v>
      </c>
      <c r="H588" s="1191"/>
      <c r="I588" s="706" t="s">
        <v>2374</v>
      </c>
      <c r="M588" s="706"/>
      <c r="N588" s="706"/>
      <c r="O588" s="706"/>
      <c r="P588" s="706"/>
    </row>
    <row r="589" spans="1:16">
      <c r="A589" s="706">
        <v>104286</v>
      </c>
      <c r="B589" s="706" t="s">
        <v>2379</v>
      </c>
      <c r="D589" s="706" t="s">
        <v>1841</v>
      </c>
      <c r="H589" s="1191"/>
      <c r="I589" s="706" t="s">
        <v>2371</v>
      </c>
      <c r="M589" s="706"/>
      <c r="N589" s="706"/>
      <c r="O589" s="706"/>
      <c r="P589" s="706"/>
    </row>
    <row r="590" spans="1:16">
      <c r="A590" s="706">
        <v>104287</v>
      </c>
      <c r="B590" s="706" t="s">
        <v>2380</v>
      </c>
      <c r="C590" s="706" t="s">
        <v>2381</v>
      </c>
      <c r="D590" s="706" t="s">
        <v>1841</v>
      </c>
      <c r="E590" s="706">
        <v>117.883</v>
      </c>
      <c r="F590" s="706" t="s">
        <v>28</v>
      </c>
      <c r="G590" s="706">
        <v>409509</v>
      </c>
      <c r="H590" s="1191">
        <v>45618</v>
      </c>
      <c r="I590" s="706" t="s">
        <v>2371</v>
      </c>
      <c r="M590" s="706"/>
      <c r="N590" s="706"/>
      <c r="O590" s="706"/>
      <c r="P590" s="706"/>
    </row>
    <row r="591" spans="1:16">
      <c r="A591" s="706">
        <v>104288</v>
      </c>
      <c r="B591" s="706" t="s">
        <v>2379</v>
      </c>
      <c r="D591" s="706" t="s">
        <v>1841</v>
      </c>
      <c r="H591" s="1191"/>
      <c r="I591" s="706" t="s">
        <v>2373</v>
      </c>
      <c r="M591" s="706"/>
      <c r="N591" s="706"/>
      <c r="O591" s="706"/>
      <c r="P591" s="706"/>
    </row>
    <row r="592" spans="1:16">
      <c r="A592" s="706">
        <v>104289</v>
      </c>
      <c r="B592" s="706" t="s">
        <v>2380</v>
      </c>
      <c r="D592" s="706" t="s">
        <v>1841</v>
      </c>
      <c r="H592" s="1191"/>
      <c r="I592" s="706" t="s">
        <v>2373</v>
      </c>
      <c r="M592" s="706"/>
      <c r="N592" s="706"/>
      <c r="O592" s="706"/>
      <c r="P592" s="706"/>
    </row>
    <row r="593" spans="1:16">
      <c r="A593" s="706">
        <v>104290</v>
      </c>
      <c r="B593" s="706" t="s">
        <v>2379</v>
      </c>
      <c r="D593" s="706" t="s">
        <v>1841</v>
      </c>
      <c r="H593" s="1191"/>
      <c r="I593" s="706" t="s">
        <v>2374</v>
      </c>
      <c r="M593" s="706"/>
      <c r="N593" s="706"/>
      <c r="O593" s="706"/>
      <c r="P593" s="706"/>
    </row>
    <row r="594" spans="1:16">
      <c r="A594" s="706">
        <v>104291</v>
      </c>
      <c r="B594" s="706" t="s">
        <v>2380</v>
      </c>
      <c r="D594" s="706" t="s">
        <v>1841</v>
      </c>
      <c r="H594" s="1191"/>
      <c r="I594" s="706" t="s">
        <v>2374</v>
      </c>
      <c r="M594" s="706"/>
      <c r="N594" s="706"/>
      <c r="O594" s="706"/>
      <c r="P594" s="706"/>
    </row>
    <row r="595" spans="1:16">
      <c r="A595" s="706">
        <v>104292</v>
      </c>
      <c r="B595" s="706" t="s">
        <v>2382</v>
      </c>
      <c r="D595" s="706" t="s">
        <v>1841</v>
      </c>
      <c r="H595" s="1191"/>
      <c r="I595" s="706" t="s">
        <v>2371</v>
      </c>
      <c r="M595" s="706"/>
      <c r="N595" s="706"/>
      <c r="O595" s="706"/>
      <c r="P595" s="706"/>
    </row>
    <row r="596" spans="1:16">
      <c r="A596" s="706">
        <v>104293</v>
      </c>
      <c r="B596" s="706" t="s">
        <v>2383</v>
      </c>
      <c r="D596" s="706" t="s">
        <v>1841</v>
      </c>
      <c r="H596" s="1191"/>
      <c r="I596" s="706" t="s">
        <v>2371</v>
      </c>
      <c r="M596" s="706"/>
      <c r="N596" s="706"/>
      <c r="O596" s="706"/>
      <c r="P596" s="706"/>
    </row>
    <row r="597" spans="1:16">
      <c r="A597" s="706">
        <v>104294</v>
      </c>
      <c r="B597" s="706" t="s">
        <v>2382</v>
      </c>
      <c r="D597" s="706" t="s">
        <v>1841</v>
      </c>
      <c r="H597" s="1191"/>
      <c r="I597" s="706" t="s">
        <v>2373</v>
      </c>
      <c r="M597" s="706"/>
      <c r="N597" s="706"/>
      <c r="O597" s="706"/>
      <c r="P597" s="706"/>
    </row>
    <row r="598" spans="1:16">
      <c r="A598" s="706">
        <v>104295</v>
      </c>
      <c r="B598" s="706" t="s">
        <v>2383</v>
      </c>
      <c r="D598" s="706" t="s">
        <v>1841</v>
      </c>
      <c r="H598" s="1191"/>
      <c r="I598" s="706" t="s">
        <v>2373</v>
      </c>
      <c r="M598" s="706"/>
      <c r="N598" s="706"/>
      <c r="O598" s="706"/>
      <c r="P598" s="706"/>
    </row>
    <row r="599" spans="1:16">
      <c r="A599" s="706">
        <v>104296</v>
      </c>
      <c r="B599" s="706" t="s">
        <v>2382</v>
      </c>
      <c r="D599" s="706" t="s">
        <v>1841</v>
      </c>
      <c r="H599" s="1191"/>
      <c r="I599" s="706" t="s">
        <v>2374</v>
      </c>
      <c r="M599" s="706"/>
      <c r="N599" s="706"/>
      <c r="O599" s="706"/>
      <c r="P599" s="706"/>
    </row>
    <row r="600" spans="1:16">
      <c r="A600" s="706">
        <v>104297</v>
      </c>
      <c r="B600" s="706" t="s">
        <v>2383</v>
      </c>
      <c r="D600" s="706" t="s">
        <v>1841</v>
      </c>
      <c r="H600" s="1191"/>
      <c r="I600" s="706" t="s">
        <v>2374</v>
      </c>
      <c r="M600" s="706"/>
      <c r="N600" s="706"/>
      <c r="O600" s="706"/>
      <c r="P600" s="706"/>
    </row>
    <row r="601" spans="1:16">
      <c r="A601" s="706">
        <v>104298</v>
      </c>
      <c r="B601" s="706" t="s">
        <v>2384</v>
      </c>
      <c r="D601" s="706" t="s">
        <v>1841</v>
      </c>
      <c r="H601" s="1191"/>
      <c r="I601" s="706" t="s">
        <v>2371</v>
      </c>
      <c r="M601" s="706"/>
      <c r="N601" s="706"/>
      <c r="O601" s="706"/>
      <c r="P601" s="706"/>
    </row>
    <row r="602" spans="1:16">
      <c r="A602" s="706">
        <v>104299</v>
      </c>
      <c r="B602" s="706" t="s">
        <v>2385</v>
      </c>
      <c r="D602" s="706" t="s">
        <v>1841</v>
      </c>
      <c r="H602" s="1191"/>
      <c r="I602" s="706" t="s">
        <v>2371</v>
      </c>
      <c r="M602" s="706"/>
      <c r="N602" s="706"/>
      <c r="O602" s="706"/>
      <c r="P602" s="706"/>
    </row>
    <row r="603" spans="1:16">
      <c r="A603" s="706">
        <v>104300</v>
      </c>
      <c r="B603" s="706" t="s">
        <v>2384</v>
      </c>
      <c r="D603" s="706" t="s">
        <v>1841</v>
      </c>
      <c r="H603" s="1191"/>
      <c r="I603" s="706" t="s">
        <v>2373</v>
      </c>
      <c r="M603" s="706"/>
      <c r="N603" s="706"/>
      <c r="O603" s="706"/>
      <c r="P603" s="706"/>
    </row>
    <row r="604" spans="1:16">
      <c r="A604" s="706">
        <v>104301</v>
      </c>
      <c r="B604" s="706" t="s">
        <v>2385</v>
      </c>
      <c r="D604" s="706" t="s">
        <v>1841</v>
      </c>
      <c r="H604" s="1191"/>
      <c r="I604" s="706" t="s">
        <v>2373</v>
      </c>
      <c r="M604" s="706"/>
      <c r="N604" s="706"/>
      <c r="O604" s="706"/>
      <c r="P604" s="706"/>
    </row>
    <row r="605" spans="1:16">
      <c r="A605" s="706">
        <v>104302</v>
      </c>
      <c r="B605" s="706" t="s">
        <v>2384</v>
      </c>
      <c r="D605" s="706" t="s">
        <v>1841</v>
      </c>
      <c r="H605" s="1191"/>
      <c r="I605" s="706" t="s">
        <v>2374</v>
      </c>
      <c r="M605" s="706"/>
      <c r="N605" s="706"/>
      <c r="O605" s="706"/>
      <c r="P605" s="706"/>
    </row>
    <row r="606" spans="1:16">
      <c r="A606" s="706">
        <v>104303</v>
      </c>
      <c r="B606" s="706" t="s">
        <v>2385</v>
      </c>
      <c r="D606" s="706" t="s">
        <v>1841</v>
      </c>
      <c r="H606" s="1191"/>
      <c r="I606" s="706" t="s">
        <v>2374</v>
      </c>
      <c r="M606" s="706"/>
      <c r="N606" s="706"/>
      <c r="O606" s="706"/>
      <c r="P606" s="706"/>
    </row>
    <row r="607" spans="1:16">
      <c r="A607" s="706">
        <v>104304</v>
      </c>
      <c r="B607" s="706" t="s">
        <v>2386</v>
      </c>
      <c r="D607" s="706" t="s">
        <v>1841</v>
      </c>
      <c r="H607" s="1191"/>
      <c r="I607" s="706" t="s">
        <v>2371</v>
      </c>
      <c r="M607" s="706"/>
      <c r="N607" s="706"/>
      <c r="O607" s="706"/>
      <c r="P607" s="706"/>
    </row>
    <row r="608" spans="1:16">
      <c r="A608" s="706">
        <v>104305</v>
      </c>
      <c r="B608" s="706" t="s">
        <v>2387</v>
      </c>
      <c r="D608" s="706" t="s">
        <v>1841</v>
      </c>
      <c r="H608" s="1191"/>
      <c r="I608" s="706" t="s">
        <v>2371</v>
      </c>
      <c r="M608" s="706"/>
      <c r="N608" s="706"/>
      <c r="O608" s="706"/>
      <c r="P608" s="706"/>
    </row>
    <row r="609" spans="1:16">
      <c r="A609" s="706">
        <v>104306</v>
      </c>
      <c r="B609" s="706" t="s">
        <v>2386</v>
      </c>
      <c r="D609" s="706" t="s">
        <v>1841</v>
      </c>
      <c r="H609" s="1191"/>
      <c r="I609" s="706" t="s">
        <v>2373</v>
      </c>
      <c r="M609" s="706"/>
      <c r="N609" s="706"/>
      <c r="O609" s="706"/>
      <c r="P609" s="706"/>
    </row>
    <row r="610" spans="1:16">
      <c r="A610" s="706">
        <v>104307</v>
      </c>
      <c r="B610" s="706" t="s">
        <v>2387</v>
      </c>
      <c r="D610" s="706" t="s">
        <v>1841</v>
      </c>
      <c r="H610" s="1191"/>
      <c r="I610" s="706" t="s">
        <v>2373</v>
      </c>
      <c r="M610" s="706"/>
      <c r="N610" s="706"/>
      <c r="O610" s="706"/>
      <c r="P610" s="706"/>
    </row>
    <row r="611" spans="1:16">
      <c r="A611" s="706">
        <v>104308</v>
      </c>
      <c r="B611" s="706" t="s">
        <v>2386</v>
      </c>
      <c r="D611" s="706" t="s">
        <v>1841</v>
      </c>
      <c r="H611" s="1191"/>
      <c r="I611" s="706" t="s">
        <v>2374</v>
      </c>
      <c r="M611" s="706"/>
      <c r="N611" s="706"/>
      <c r="O611" s="706"/>
      <c r="P611" s="706"/>
    </row>
    <row r="612" spans="1:16">
      <c r="A612" s="706">
        <v>104309</v>
      </c>
      <c r="B612" s="706" t="s">
        <v>2387</v>
      </c>
      <c r="D612" s="706" t="s">
        <v>1841</v>
      </c>
      <c r="H612" s="1191"/>
      <c r="I612" s="706" t="s">
        <v>2374</v>
      </c>
      <c r="M612" s="706"/>
      <c r="N612" s="706"/>
      <c r="O612" s="706"/>
      <c r="P612" s="706"/>
    </row>
    <row r="613" spans="1:16">
      <c r="A613" s="706">
        <v>104310</v>
      </c>
      <c r="B613" s="706" t="s">
        <v>2388</v>
      </c>
      <c r="D613" s="706" t="s">
        <v>1841</v>
      </c>
      <c r="H613" s="1191"/>
      <c r="I613" s="706" t="s">
        <v>2371</v>
      </c>
      <c r="M613" s="706"/>
      <c r="N613" s="706"/>
      <c r="O613" s="706"/>
      <c r="P613" s="706"/>
    </row>
    <row r="614" spans="1:16">
      <c r="A614" s="706">
        <v>104311</v>
      </c>
      <c r="B614" s="706" t="s">
        <v>2389</v>
      </c>
      <c r="D614" s="706" t="s">
        <v>1841</v>
      </c>
      <c r="H614" s="1191"/>
      <c r="I614" s="706" t="s">
        <v>2371</v>
      </c>
      <c r="M614" s="706"/>
      <c r="N614" s="706"/>
      <c r="O614" s="706"/>
      <c r="P614" s="706"/>
    </row>
    <row r="615" spans="1:16">
      <c r="A615" s="706">
        <v>104312</v>
      </c>
      <c r="B615" s="706" t="s">
        <v>2388</v>
      </c>
      <c r="D615" s="706" t="s">
        <v>1841</v>
      </c>
      <c r="H615" s="1191"/>
      <c r="I615" s="706" t="s">
        <v>2373</v>
      </c>
      <c r="M615" s="706"/>
      <c r="N615" s="706"/>
      <c r="O615" s="706"/>
      <c r="P615" s="706"/>
    </row>
    <row r="616" spans="1:16">
      <c r="A616" s="706">
        <v>104313</v>
      </c>
      <c r="B616" s="706" t="s">
        <v>2389</v>
      </c>
      <c r="D616" s="706" t="s">
        <v>1841</v>
      </c>
      <c r="H616" s="1191"/>
      <c r="I616" s="706" t="s">
        <v>2373</v>
      </c>
      <c r="M616" s="706"/>
      <c r="N616" s="706"/>
      <c r="O616" s="706"/>
      <c r="P616" s="706"/>
    </row>
    <row r="617" spans="1:16">
      <c r="A617" s="706">
        <v>104314</v>
      </c>
      <c r="B617" s="706" t="s">
        <v>2388</v>
      </c>
      <c r="D617" s="706" t="s">
        <v>1841</v>
      </c>
      <c r="H617" s="1191"/>
      <c r="I617" s="706" t="s">
        <v>2374</v>
      </c>
      <c r="M617" s="706"/>
      <c r="N617" s="706"/>
      <c r="O617" s="706"/>
      <c r="P617" s="706"/>
    </row>
    <row r="618" spans="1:16">
      <c r="A618" s="706">
        <v>104315</v>
      </c>
      <c r="B618" s="706" t="s">
        <v>2389</v>
      </c>
      <c r="D618" s="706" t="s">
        <v>1841</v>
      </c>
      <c r="H618" s="1191"/>
      <c r="I618" s="706" t="s">
        <v>2374</v>
      </c>
      <c r="M618" s="706"/>
      <c r="N618" s="706"/>
      <c r="O618" s="706"/>
      <c r="P618" s="706"/>
    </row>
    <row r="619" spans="1:16">
      <c r="A619" s="706">
        <v>104316</v>
      </c>
      <c r="B619" s="706" t="s">
        <v>2390</v>
      </c>
      <c r="D619" s="706" t="s">
        <v>1841</v>
      </c>
      <c r="H619" s="1191"/>
      <c r="I619" s="706" t="s">
        <v>2371</v>
      </c>
      <c r="M619" s="706"/>
      <c r="N619" s="706"/>
      <c r="O619" s="706"/>
      <c r="P619" s="706"/>
    </row>
    <row r="620" spans="1:16">
      <c r="A620" s="706">
        <v>104317</v>
      </c>
      <c r="B620" s="706" t="s">
        <v>2391</v>
      </c>
      <c r="D620" s="706" t="s">
        <v>1841</v>
      </c>
      <c r="H620" s="1191"/>
      <c r="I620" s="706" t="s">
        <v>2371</v>
      </c>
      <c r="M620" s="706"/>
      <c r="N620" s="706"/>
      <c r="O620" s="706"/>
      <c r="P620" s="706"/>
    </row>
    <row r="621" spans="1:16">
      <c r="A621" s="706">
        <v>104318</v>
      </c>
      <c r="B621" s="706" t="s">
        <v>2390</v>
      </c>
      <c r="D621" s="706" t="s">
        <v>1841</v>
      </c>
      <c r="H621" s="1191"/>
      <c r="I621" s="706" t="s">
        <v>2373</v>
      </c>
      <c r="M621" s="706"/>
      <c r="N621" s="706"/>
      <c r="O621" s="706"/>
      <c r="P621" s="706"/>
    </row>
    <row r="622" spans="1:16">
      <c r="A622" s="706">
        <v>104319</v>
      </c>
      <c r="B622" s="706" t="s">
        <v>2391</v>
      </c>
      <c r="D622" s="706" t="s">
        <v>1841</v>
      </c>
      <c r="H622" s="1191"/>
      <c r="I622" s="706" t="s">
        <v>2373</v>
      </c>
      <c r="M622" s="706"/>
      <c r="N622" s="706"/>
      <c r="O622" s="706"/>
      <c r="P622" s="706"/>
    </row>
    <row r="623" spans="1:16">
      <c r="A623" s="706">
        <v>104320</v>
      </c>
      <c r="B623" s="706" t="s">
        <v>2390</v>
      </c>
      <c r="D623" s="706" t="s">
        <v>1841</v>
      </c>
      <c r="H623" s="1191"/>
      <c r="I623" s="706" t="s">
        <v>2374</v>
      </c>
      <c r="M623" s="706"/>
      <c r="N623" s="706"/>
      <c r="O623" s="706"/>
      <c r="P623" s="706"/>
    </row>
    <row r="624" spans="1:16">
      <c r="A624" s="706">
        <v>104321</v>
      </c>
      <c r="B624" s="706" t="s">
        <v>2391</v>
      </c>
      <c r="D624" s="706" t="s">
        <v>1841</v>
      </c>
      <c r="H624" s="1191"/>
      <c r="I624" s="706" t="s">
        <v>2374</v>
      </c>
      <c r="M624" s="706"/>
      <c r="N624" s="706"/>
      <c r="O624" s="706"/>
      <c r="P624" s="706"/>
    </row>
    <row r="625" spans="1:16">
      <c r="A625" s="706">
        <v>104322</v>
      </c>
      <c r="B625" s="706" t="s">
        <v>2392</v>
      </c>
      <c r="D625" s="706" t="s">
        <v>1841</v>
      </c>
      <c r="H625" s="1191"/>
      <c r="I625" s="706" t="s">
        <v>2371</v>
      </c>
      <c r="M625" s="706"/>
      <c r="N625" s="706"/>
      <c r="O625" s="706"/>
      <c r="P625" s="706"/>
    </row>
    <row r="626" spans="1:16">
      <c r="A626" s="706">
        <v>104323</v>
      </c>
      <c r="B626" s="706" t="s">
        <v>2393</v>
      </c>
      <c r="D626" s="706" t="s">
        <v>1841</v>
      </c>
      <c r="H626" s="1191"/>
      <c r="I626" s="706" t="s">
        <v>2371</v>
      </c>
      <c r="M626" s="706"/>
      <c r="N626" s="706"/>
      <c r="O626" s="706"/>
      <c r="P626" s="706"/>
    </row>
    <row r="627" spans="1:16">
      <c r="A627" s="706">
        <v>104324</v>
      </c>
      <c r="B627" s="706" t="s">
        <v>2392</v>
      </c>
      <c r="D627" s="706" t="s">
        <v>1841</v>
      </c>
      <c r="H627" s="1191"/>
      <c r="I627" s="706" t="s">
        <v>2373</v>
      </c>
      <c r="M627" s="706"/>
      <c r="N627" s="706"/>
      <c r="O627" s="706"/>
      <c r="P627" s="706"/>
    </row>
    <row r="628" spans="1:16">
      <c r="A628" s="706">
        <v>104325</v>
      </c>
      <c r="B628" s="706" t="s">
        <v>2393</v>
      </c>
      <c r="D628" s="706" t="s">
        <v>1841</v>
      </c>
      <c r="H628" s="1191"/>
      <c r="I628" s="706" t="s">
        <v>2373</v>
      </c>
      <c r="M628" s="706"/>
      <c r="N628" s="706"/>
      <c r="O628" s="706"/>
      <c r="P628" s="706"/>
    </row>
    <row r="629" spans="1:16">
      <c r="A629" s="706">
        <v>104326</v>
      </c>
      <c r="B629" s="706" t="s">
        <v>2392</v>
      </c>
      <c r="D629" s="706" t="s">
        <v>1841</v>
      </c>
      <c r="H629" s="1191"/>
      <c r="I629" s="706" t="s">
        <v>2374</v>
      </c>
      <c r="M629" s="706"/>
      <c r="N629" s="706"/>
      <c r="O629" s="706"/>
      <c r="P629" s="706"/>
    </row>
    <row r="630" spans="1:16">
      <c r="A630" s="706">
        <v>104327</v>
      </c>
      <c r="B630" s="706" t="s">
        <v>2393</v>
      </c>
      <c r="D630" s="706" t="s">
        <v>1841</v>
      </c>
      <c r="H630" s="1191"/>
      <c r="I630" s="706" t="s">
        <v>2374</v>
      </c>
      <c r="M630" s="706"/>
      <c r="N630" s="706"/>
      <c r="O630" s="706"/>
      <c r="P630" s="706"/>
    </row>
    <row r="631" spans="1:16">
      <c r="A631" s="706">
        <v>104328</v>
      </c>
      <c r="B631" s="706" t="s">
        <v>2394</v>
      </c>
      <c r="D631" s="706" t="s">
        <v>1841</v>
      </c>
      <c r="H631" s="1191"/>
      <c r="I631" s="706" t="s">
        <v>2371</v>
      </c>
      <c r="M631" s="706"/>
      <c r="N631" s="706"/>
      <c r="O631" s="706"/>
      <c r="P631" s="706"/>
    </row>
    <row r="632" spans="1:16">
      <c r="A632" s="706">
        <v>104329</v>
      </c>
      <c r="B632" s="706" t="s">
        <v>2395</v>
      </c>
      <c r="D632" s="706" t="s">
        <v>1841</v>
      </c>
      <c r="H632" s="1191"/>
      <c r="I632" s="706" t="s">
        <v>2371</v>
      </c>
      <c r="M632" s="706"/>
      <c r="N632" s="706"/>
      <c r="O632" s="706"/>
      <c r="P632" s="706"/>
    </row>
    <row r="633" spans="1:16">
      <c r="A633" s="706">
        <v>104330</v>
      </c>
      <c r="B633" s="706" t="s">
        <v>2394</v>
      </c>
      <c r="D633" s="706" t="s">
        <v>1841</v>
      </c>
      <c r="H633" s="1191"/>
      <c r="I633" s="706" t="s">
        <v>2373</v>
      </c>
      <c r="M633" s="706"/>
      <c r="N633" s="706"/>
      <c r="O633" s="706"/>
      <c r="P633" s="706"/>
    </row>
    <row r="634" spans="1:16">
      <c r="A634" s="706">
        <v>104331</v>
      </c>
      <c r="B634" s="706" t="s">
        <v>2395</v>
      </c>
      <c r="D634" s="706" t="s">
        <v>1841</v>
      </c>
      <c r="H634" s="1191"/>
      <c r="I634" s="706" t="s">
        <v>2373</v>
      </c>
      <c r="M634" s="706"/>
      <c r="N634" s="706"/>
      <c r="O634" s="706"/>
      <c r="P634" s="706"/>
    </row>
    <row r="635" spans="1:16">
      <c r="A635" s="706">
        <v>104332</v>
      </c>
      <c r="B635" s="706" t="s">
        <v>2394</v>
      </c>
      <c r="D635" s="706" t="s">
        <v>1841</v>
      </c>
      <c r="H635" s="1191"/>
      <c r="I635" s="706" t="s">
        <v>2374</v>
      </c>
      <c r="M635" s="706"/>
      <c r="N635" s="706"/>
      <c r="O635" s="706"/>
      <c r="P635" s="706"/>
    </row>
    <row r="636" spans="1:16">
      <c r="A636" s="706">
        <v>104333</v>
      </c>
      <c r="B636" s="706" t="s">
        <v>2395</v>
      </c>
      <c r="D636" s="706" t="s">
        <v>1841</v>
      </c>
      <c r="H636" s="1191"/>
      <c r="I636" s="706" t="s">
        <v>2374</v>
      </c>
      <c r="M636" s="706"/>
      <c r="N636" s="706"/>
      <c r="O636" s="706"/>
      <c r="P636" s="706"/>
    </row>
    <row r="637" spans="1:16">
      <c r="A637" s="706">
        <v>104334</v>
      </c>
      <c r="B637" s="706" t="s">
        <v>2396</v>
      </c>
      <c r="D637" s="706" t="s">
        <v>1841</v>
      </c>
      <c r="H637" s="1191"/>
      <c r="I637" s="706" t="s">
        <v>2371</v>
      </c>
      <c r="M637" s="706"/>
      <c r="N637" s="706"/>
      <c r="O637" s="706"/>
      <c r="P637" s="706"/>
    </row>
    <row r="638" spans="1:16">
      <c r="A638" s="706">
        <v>104335</v>
      </c>
      <c r="B638" s="706" t="s">
        <v>2397</v>
      </c>
      <c r="D638" s="706" t="s">
        <v>1841</v>
      </c>
      <c r="H638" s="1191"/>
      <c r="I638" s="706" t="s">
        <v>2371</v>
      </c>
      <c r="M638" s="706"/>
      <c r="N638" s="706"/>
      <c r="O638" s="706"/>
      <c r="P638" s="706"/>
    </row>
    <row r="639" spans="1:16">
      <c r="A639" s="706">
        <v>104336</v>
      </c>
      <c r="B639" s="706" t="s">
        <v>2396</v>
      </c>
      <c r="D639" s="706" t="s">
        <v>1841</v>
      </c>
      <c r="H639" s="1191"/>
      <c r="I639" s="706" t="s">
        <v>2373</v>
      </c>
      <c r="M639" s="706"/>
      <c r="N639" s="706"/>
      <c r="O639" s="706"/>
      <c r="P639" s="706"/>
    </row>
    <row r="640" spans="1:16">
      <c r="A640" s="706">
        <v>104337</v>
      </c>
      <c r="B640" s="706" t="s">
        <v>2397</v>
      </c>
      <c r="D640" s="706" t="s">
        <v>1841</v>
      </c>
      <c r="H640" s="1191"/>
      <c r="I640" s="706" t="s">
        <v>2373</v>
      </c>
      <c r="M640" s="706"/>
      <c r="N640" s="706"/>
      <c r="O640" s="706"/>
      <c r="P640" s="706"/>
    </row>
    <row r="641" spans="1:16">
      <c r="A641" s="706">
        <v>104338</v>
      </c>
      <c r="B641" s="706" t="s">
        <v>2396</v>
      </c>
      <c r="D641" s="706" t="s">
        <v>1841</v>
      </c>
      <c r="H641" s="1191"/>
      <c r="I641" s="706" t="s">
        <v>2374</v>
      </c>
      <c r="M641" s="706"/>
      <c r="N641" s="706"/>
      <c r="O641" s="706"/>
      <c r="P641" s="706"/>
    </row>
    <row r="642" spans="1:16">
      <c r="A642" s="706">
        <v>104339</v>
      </c>
      <c r="B642" s="706" t="s">
        <v>2397</v>
      </c>
      <c r="D642" s="706" t="s">
        <v>1841</v>
      </c>
      <c r="H642" s="1191"/>
      <c r="I642" s="706" t="s">
        <v>2374</v>
      </c>
      <c r="M642" s="706"/>
      <c r="N642" s="706"/>
      <c r="O642" s="706"/>
      <c r="P642" s="706"/>
    </row>
    <row r="643" spans="1:16">
      <c r="A643" s="706">
        <v>104340</v>
      </c>
      <c r="B643" s="706" t="s">
        <v>2398</v>
      </c>
      <c r="D643" s="706" t="s">
        <v>1841</v>
      </c>
      <c r="H643" s="1191"/>
      <c r="I643" s="706" t="s">
        <v>2361</v>
      </c>
      <c r="M643" s="706"/>
      <c r="N643" s="706"/>
      <c r="O643" s="706"/>
      <c r="P643" s="706"/>
    </row>
    <row r="644" spans="1:16">
      <c r="A644" s="706">
        <v>104341</v>
      </c>
      <c r="B644" s="706" t="s">
        <v>2399</v>
      </c>
      <c r="D644" s="706" t="s">
        <v>1841</v>
      </c>
      <c r="H644" s="1191"/>
      <c r="I644" s="706" t="s">
        <v>2361</v>
      </c>
      <c r="M644" s="706"/>
      <c r="N644" s="706"/>
      <c r="O644" s="706"/>
      <c r="P644" s="706"/>
    </row>
    <row r="645" spans="1:16">
      <c r="A645" s="706">
        <v>104342</v>
      </c>
      <c r="B645" s="706" t="s">
        <v>2400</v>
      </c>
      <c r="D645" s="706" t="s">
        <v>1841</v>
      </c>
      <c r="H645" s="1191"/>
      <c r="I645" s="706" t="s">
        <v>2361</v>
      </c>
      <c r="M645" s="706"/>
      <c r="N645" s="706"/>
      <c r="O645" s="706"/>
      <c r="P645" s="706"/>
    </row>
    <row r="646" spans="1:16">
      <c r="A646" s="706">
        <v>104343</v>
      </c>
      <c r="B646" s="706" t="s">
        <v>2401</v>
      </c>
      <c r="D646" s="706" t="s">
        <v>1841</v>
      </c>
      <c r="H646" s="1191"/>
      <c r="I646" s="706" t="s">
        <v>2361</v>
      </c>
      <c r="M646" s="706"/>
      <c r="N646" s="706"/>
      <c r="O646" s="706"/>
      <c r="P646" s="706"/>
    </row>
    <row r="647" spans="1:16">
      <c r="A647" s="706">
        <v>104344</v>
      </c>
      <c r="B647" s="706" t="s">
        <v>2402</v>
      </c>
      <c r="C647" s="706" t="s">
        <v>8189</v>
      </c>
      <c r="D647" s="706" t="s">
        <v>1841</v>
      </c>
      <c r="E647" s="706">
        <v>20</v>
      </c>
      <c r="F647" s="706" t="s">
        <v>28</v>
      </c>
      <c r="G647" s="706">
        <v>411523</v>
      </c>
      <c r="H647" s="1191">
        <v>46034</v>
      </c>
      <c r="I647" s="706" t="s">
        <v>2361</v>
      </c>
      <c r="M647" s="706"/>
      <c r="N647" s="706"/>
      <c r="O647" s="706"/>
      <c r="P647" s="706"/>
    </row>
    <row r="648" spans="1:16">
      <c r="A648" s="706">
        <v>104345</v>
      </c>
      <c r="B648" s="706" t="s">
        <v>2403</v>
      </c>
      <c r="C648" s="706" t="s">
        <v>8187</v>
      </c>
      <c r="D648" s="706" t="s">
        <v>1841</v>
      </c>
      <c r="E648" s="706">
        <v>19.739999999999998</v>
      </c>
      <c r="F648" s="706" t="s">
        <v>28</v>
      </c>
      <c r="G648" s="706">
        <v>409621</v>
      </c>
      <c r="H648" s="1191">
        <v>45663</v>
      </c>
      <c r="I648" s="706" t="s">
        <v>2361</v>
      </c>
      <c r="M648" s="706"/>
      <c r="N648" s="706"/>
      <c r="O648" s="706"/>
      <c r="P648" s="706"/>
    </row>
    <row r="649" spans="1:16">
      <c r="A649" s="706">
        <v>104346</v>
      </c>
      <c r="B649" s="706" t="s">
        <v>2404</v>
      </c>
      <c r="C649" s="706" t="s">
        <v>8189</v>
      </c>
      <c r="D649" s="706" t="s">
        <v>1841</v>
      </c>
      <c r="E649" s="706">
        <v>4.1665999999999999</v>
      </c>
      <c r="F649" s="706" t="s">
        <v>28</v>
      </c>
      <c r="G649" s="706">
        <v>407568</v>
      </c>
      <c r="H649" s="1191">
        <v>45260</v>
      </c>
      <c r="I649" s="706" t="s">
        <v>2361</v>
      </c>
      <c r="M649" s="706"/>
      <c r="N649" s="706"/>
      <c r="O649" s="706"/>
      <c r="P649" s="706"/>
    </row>
    <row r="650" spans="1:16">
      <c r="A650" s="706">
        <v>104347</v>
      </c>
      <c r="B650" s="706" t="s">
        <v>2405</v>
      </c>
      <c r="D650" s="706" t="s">
        <v>1841</v>
      </c>
      <c r="H650" s="1191"/>
      <c r="I650" s="706" t="s">
        <v>2361</v>
      </c>
      <c r="M650" s="706"/>
      <c r="N650" s="706"/>
      <c r="O650" s="706"/>
      <c r="P650" s="706"/>
    </row>
    <row r="651" spans="1:16">
      <c r="A651" s="706">
        <v>104348</v>
      </c>
      <c r="B651" s="706" t="s">
        <v>2406</v>
      </c>
      <c r="D651" s="706" t="s">
        <v>1841</v>
      </c>
      <c r="H651" s="1191"/>
      <c r="I651" s="706" t="s">
        <v>2407</v>
      </c>
      <c r="M651" s="706"/>
      <c r="N651" s="706"/>
      <c r="O651" s="706"/>
      <c r="P651" s="706"/>
    </row>
    <row r="652" spans="1:16">
      <c r="A652" s="706">
        <v>104349</v>
      </c>
      <c r="B652" s="706" t="s">
        <v>2408</v>
      </c>
      <c r="D652" s="706" t="s">
        <v>1841</v>
      </c>
      <c r="H652" s="1191"/>
      <c r="I652" s="706" t="s">
        <v>2407</v>
      </c>
      <c r="M652" s="706"/>
      <c r="N652" s="706"/>
      <c r="O652" s="706"/>
      <c r="P652" s="706"/>
    </row>
    <row r="653" spans="1:16">
      <c r="A653" s="706">
        <v>104350</v>
      </c>
      <c r="B653" s="706" t="s">
        <v>2406</v>
      </c>
      <c r="D653" s="706" t="s">
        <v>1841</v>
      </c>
      <c r="H653" s="1191"/>
      <c r="I653" s="706" t="s">
        <v>2409</v>
      </c>
      <c r="M653" s="706"/>
      <c r="N653" s="706"/>
      <c r="O653" s="706"/>
      <c r="P653" s="706"/>
    </row>
    <row r="654" spans="1:16">
      <c r="A654" s="706">
        <v>104351</v>
      </c>
      <c r="B654" s="706" t="s">
        <v>2408</v>
      </c>
      <c r="D654" s="706" t="s">
        <v>1841</v>
      </c>
      <c r="H654" s="1191"/>
      <c r="I654" s="706" t="s">
        <v>2409</v>
      </c>
      <c r="M654" s="706"/>
      <c r="N654" s="706"/>
      <c r="O654" s="706"/>
      <c r="P654" s="706"/>
    </row>
    <row r="655" spans="1:16">
      <c r="A655" s="706">
        <v>104352</v>
      </c>
      <c r="B655" s="706" t="s">
        <v>2406</v>
      </c>
      <c r="D655" s="706" t="s">
        <v>1841</v>
      </c>
      <c r="H655" s="1191"/>
      <c r="I655" s="706" t="s">
        <v>2410</v>
      </c>
      <c r="M655" s="706"/>
      <c r="N655" s="706"/>
      <c r="O655" s="706"/>
      <c r="P655" s="706"/>
    </row>
    <row r="656" spans="1:16">
      <c r="A656" s="706">
        <v>104353</v>
      </c>
      <c r="B656" s="706" t="s">
        <v>2408</v>
      </c>
      <c r="D656" s="706" t="s">
        <v>1841</v>
      </c>
      <c r="H656" s="1191"/>
      <c r="I656" s="706" t="s">
        <v>2410</v>
      </c>
      <c r="M656" s="706"/>
      <c r="N656" s="706"/>
      <c r="O656" s="706"/>
      <c r="P656" s="706"/>
    </row>
    <row r="657" spans="1:16">
      <c r="A657" s="706">
        <v>104354</v>
      </c>
      <c r="B657" s="706" t="s">
        <v>2411</v>
      </c>
      <c r="D657" s="706" t="s">
        <v>1841</v>
      </c>
      <c r="H657" s="1191"/>
      <c r="I657" s="706" t="s">
        <v>2407</v>
      </c>
      <c r="M657" s="706"/>
      <c r="N657" s="706"/>
      <c r="O657" s="706"/>
      <c r="P657" s="706"/>
    </row>
    <row r="658" spans="1:16">
      <c r="A658" s="706">
        <v>104355</v>
      </c>
      <c r="B658" s="706" t="s">
        <v>2412</v>
      </c>
      <c r="D658" s="706" t="s">
        <v>1841</v>
      </c>
      <c r="H658" s="1191"/>
      <c r="I658" s="706" t="s">
        <v>2407</v>
      </c>
      <c r="M658" s="706"/>
      <c r="N658" s="706"/>
      <c r="O658" s="706"/>
      <c r="P658" s="706"/>
    </row>
    <row r="659" spans="1:16">
      <c r="A659" s="706">
        <v>104356</v>
      </c>
      <c r="B659" s="706" t="s">
        <v>2411</v>
      </c>
      <c r="D659" s="706" t="s">
        <v>1841</v>
      </c>
      <c r="H659" s="1191"/>
      <c r="I659" s="706" t="s">
        <v>2409</v>
      </c>
      <c r="M659" s="706"/>
      <c r="N659" s="706"/>
      <c r="O659" s="706"/>
      <c r="P659" s="706"/>
    </row>
    <row r="660" spans="1:16">
      <c r="A660" s="706">
        <v>104357</v>
      </c>
      <c r="B660" s="706" t="s">
        <v>2412</v>
      </c>
      <c r="D660" s="706" t="s">
        <v>1841</v>
      </c>
      <c r="H660" s="1191"/>
      <c r="I660" s="706" t="s">
        <v>2409</v>
      </c>
      <c r="M660" s="706"/>
      <c r="N660" s="706"/>
      <c r="O660" s="706"/>
      <c r="P660" s="706"/>
    </row>
    <row r="661" spans="1:16">
      <c r="A661" s="706">
        <v>104358</v>
      </c>
      <c r="B661" s="706" t="s">
        <v>2411</v>
      </c>
      <c r="D661" s="706" t="s">
        <v>1841</v>
      </c>
      <c r="H661" s="1191"/>
      <c r="I661" s="706" t="s">
        <v>2410</v>
      </c>
      <c r="M661" s="706"/>
      <c r="N661" s="706"/>
      <c r="O661" s="706"/>
      <c r="P661" s="706"/>
    </row>
    <row r="662" spans="1:16">
      <c r="A662" s="706">
        <v>104359</v>
      </c>
      <c r="B662" s="706" t="s">
        <v>2412</v>
      </c>
      <c r="D662" s="706" t="s">
        <v>1841</v>
      </c>
      <c r="H662" s="1191"/>
      <c r="I662" s="706" t="s">
        <v>2410</v>
      </c>
      <c r="M662" s="706"/>
      <c r="N662" s="706"/>
      <c r="O662" s="706"/>
      <c r="P662" s="706"/>
    </row>
    <row r="663" spans="1:16">
      <c r="A663" s="706">
        <v>104360</v>
      </c>
      <c r="B663" s="706" t="s">
        <v>2413</v>
      </c>
      <c r="D663" s="706" t="s">
        <v>1841</v>
      </c>
      <c r="H663" s="1191"/>
      <c r="I663" s="706" t="s">
        <v>2407</v>
      </c>
      <c r="M663" s="706"/>
      <c r="N663" s="706"/>
      <c r="O663" s="706"/>
      <c r="P663" s="706"/>
    </row>
    <row r="664" spans="1:16">
      <c r="A664" s="706">
        <v>104361</v>
      </c>
      <c r="B664" s="706" t="s">
        <v>2414</v>
      </c>
      <c r="D664" s="706" t="s">
        <v>1841</v>
      </c>
      <c r="H664" s="1191"/>
      <c r="I664" s="706" t="s">
        <v>2407</v>
      </c>
      <c r="M664" s="706"/>
      <c r="N664" s="706"/>
      <c r="O664" s="706"/>
      <c r="P664" s="706"/>
    </row>
    <row r="665" spans="1:16">
      <c r="A665" s="706">
        <v>104362</v>
      </c>
      <c r="B665" s="706" t="s">
        <v>2413</v>
      </c>
      <c r="D665" s="706" t="s">
        <v>1841</v>
      </c>
      <c r="H665" s="1191"/>
      <c r="I665" s="706" t="s">
        <v>2409</v>
      </c>
      <c r="M665" s="706"/>
      <c r="N665" s="706"/>
      <c r="O665" s="706"/>
      <c r="P665" s="706"/>
    </row>
    <row r="666" spans="1:16">
      <c r="A666" s="706">
        <v>104363</v>
      </c>
      <c r="B666" s="706" t="s">
        <v>2414</v>
      </c>
      <c r="D666" s="706" t="s">
        <v>1841</v>
      </c>
      <c r="H666" s="1191"/>
      <c r="I666" s="706" t="s">
        <v>2409</v>
      </c>
      <c r="M666" s="706"/>
      <c r="N666" s="706"/>
      <c r="O666" s="706"/>
      <c r="P666" s="706"/>
    </row>
    <row r="667" spans="1:16">
      <c r="A667" s="706">
        <v>104364</v>
      </c>
      <c r="B667" s="706" t="s">
        <v>2413</v>
      </c>
      <c r="D667" s="706" t="s">
        <v>1841</v>
      </c>
      <c r="H667" s="1191"/>
      <c r="I667" s="706" t="s">
        <v>2410</v>
      </c>
      <c r="M667" s="706"/>
      <c r="N667" s="706"/>
      <c r="O667" s="706"/>
      <c r="P667" s="706"/>
    </row>
    <row r="668" spans="1:16">
      <c r="A668" s="706">
        <v>104365</v>
      </c>
      <c r="B668" s="706" t="s">
        <v>2414</v>
      </c>
      <c r="D668" s="706" t="s">
        <v>1841</v>
      </c>
      <c r="H668" s="1191"/>
      <c r="I668" s="706" t="s">
        <v>2410</v>
      </c>
      <c r="M668" s="706"/>
      <c r="N668" s="706"/>
      <c r="O668" s="706"/>
      <c r="P668" s="706"/>
    </row>
    <row r="669" spans="1:16">
      <c r="A669" s="706">
        <v>104366</v>
      </c>
      <c r="B669" s="706" t="s">
        <v>2415</v>
      </c>
      <c r="D669" s="706" t="s">
        <v>1841</v>
      </c>
      <c r="H669" s="1191"/>
      <c r="I669" s="706" t="s">
        <v>2407</v>
      </c>
      <c r="M669" s="706"/>
      <c r="N669" s="706"/>
      <c r="O669" s="706"/>
      <c r="P669" s="706"/>
    </row>
    <row r="670" spans="1:16">
      <c r="A670" s="706">
        <v>104367</v>
      </c>
      <c r="B670" s="706" t="s">
        <v>2416</v>
      </c>
      <c r="D670" s="706" t="s">
        <v>1841</v>
      </c>
      <c r="H670" s="1191"/>
      <c r="I670" s="706" t="s">
        <v>2407</v>
      </c>
      <c r="M670" s="706"/>
      <c r="N670" s="706"/>
      <c r="O670" s="706"/>
      <c r="P670" s="706"/>
    </row>
    <row r="671" spans="1:16">
      <c r="A671" s="706">
        <v>104368</v>
      </c>
      <c r="B671" s="706" t="s">
        <v>2415</v>
      </c>
      <c r="D671" s="706" t="s">
        <v>1841</v>
      </c>
      <c r="H671" s="1191"/>
      <c r="I671" s="706" t="s">
        <v>2409</v>
      </c>
      <c r="M671" s="706"/>
      <c r="N671" s="706"/>
      <c r="O671" s="706"/>
      <c r="P671" s="706"/>
    </row>
    <row r="672" spans="1:16">
      <c r="A672" s="706">
        <v>104369</v>
      </c>
      <c r="B672" s="706" t="s">
        <v>2416</v>
      </c>
      <c r="D672" s="706" t="s">
        <v>1841</v>
      </c>
      <c r="H672" s="1191"/>
      <c r="I672" s="706" t="s">
        <v>2409</v>
      </c>
      <c r="M672" s="706"/>
      <c r="N672" s="706"/>
      <c r="O672" s="706"/>
      <c r="P672" s="706"/>
    </row>
    <row r="673" spans="1:16">
      <c r="A673" s="706">
        <v>104370</v>
      </c>
      <c r="B673" s="706" t="s">
        <v>2415</v>
      </c>
      <c r="D673" s="706" t="s">
        <v>1841</v>
      </c>
      <c r="H673" s="1191"/>
      <c r="I673" s="706" t="s">
        <v>2410</v>
      </c>
      <c r="M673" s="706"/>
      <c r="N673" s="706"/>
      <c r="O673" s="706"/>
      <c r="P673" s="706"/>
    </row>
    <row r="674" spans="1:16">
      <c r="A674" s="706">
        <v>104371</v>
      </c>
      <c r="B674" s="706" t="s">
        <v>2416</v>
      </c>
      <c r="D674" s="706" t="s">
        <v>1841</v>
      </c>
      <c r="H674" s="1191"/>
      <c r="I674" s="706" t="s">
        <v>2410</v>
      </c>
      <c r="M674" s="706"/>
      <c r="N674" s="706"/>
      <c r="O674" s="706"/>
      <c r="P674" s="706"/>
    </row>
    <row r="675" spans="1:16">
      <c r="A675" s="706">
        <v>104372</v>
      </c>
      <c r="B675" s="706" t="s">
        <v>2417</v>
      </c>
      <c r="D675" s="706" t="s">
        <v>1841</v>
      </c>
      <c r="H675" s="1191"/>
      <c r="I675" s="706" t="s">
        <v>2407</v>
      </c>
      <c r="M675" s="706"/>
      <c r="N675" s="706"/>
      <c r="O675" s="706"/>
      <c r="P675" s="706"/>
    </row>
    <row r="676" spans="1:16">
      <c r="A676" s="706">
        <v>104373</v>
      </c>
      <c r="B676" s="706" t="s">
        <v>2418</v>
      </c>
      <c r="D676" s="706" t="s">
        <v>1841</v>
      </c>
      <c r="H676" s="1191"/>
      <c r="I676" s="706" t="s">
        <v>2407</v>
      </c>
      <c r="M676" s="706"/>
      <c r="N676" s="706"/>
      <c r="O676" s="706"/>
      <c r="P676" s="706"/>
    </row>
    <row r="677" spans="1:16">
      <c r="A677" s="706">
        <v>104374</v>
      </c>
      <c r="B677" s="706" t="s">
        <v>2417</v>
      </c>
      <c r="D677" s="706" t="s">
        <v>1841</v>
      </c>
      <c r="H677" s="1191"/>
      <c r="I677" s="706" t="s">
        <v>2409</v>
      </c>
      <c r="M677" s="706"/>
      <c r="N677" s="706"/>
      <c r="O677" s="706"/>
      <c r="P677" s="706"/>
    </row>
    <row r="678" spans="1:16">
      <c r="A678" s="706">
        <v>104375</v>
      </c>
      <c r="B678" s="706" t="s">
        <v>2418</v>
      </c>
      <c r="D678" s="706" t="s">
        <v>1841</v>
      </c>
      <c r="H678" s="1191"/>
      <c r="I678" s="706" t="s">
        <v>2409</v>
      </c>
      <c r="M678" s="706"/>
      <c r="N678" s="706"/>
      <c r="O678" s="706"/>
      <c r="P678" s="706"/>
    </row>
    <row r="679" spans="1:16">
      <c r="A679" s="706">
        <v>104376</v>
      </c>
      <c r="B679" s="706" t="s">
        <v>2417</v>
      </c>
      <c r="D679" s="706" t="s">
        <v>1841</v>
      </c>
      <c r="H679" s="1191"/>
      <c r="I679" s="706" t="s">
        <v>2410</v>
      </c>
      <c r="M679" s="706"/>
      <c r="N679" s="706"/>
      <c r="O679" s="706"/>
      <c r="P679" s="706"/>
    </row>
    <row r="680" spans="1:16">
      <c r="A680" s="706">
        <v>104377</v>
      </c>
      <c r="B680" s="706" t="s">
        <v>2418</v>
      </c>
      <c r="D680" s="706" t="s">
        <v>1841</v>
      </c>
      <c r="H680" s="1191"/>
      <c r="I680" s="706" t="s">
        <v>2410</v>
      </c>
      <c r="M680" s="706"/>
      <c r="N680" s="706"/>
      <c r="O680" s="706"/>
      <c r="P680" s="706"/>
    </row>
    <row r="681" spans="1:16">
      <c r="A681" s="706">
        <v>104378</v>
      </c>
      <c r="B681" s="706" t="s">
        <v>2419</v>
      </c>
      <c r="D681" s="706" t="s">
        <v>1841</v>
      </c>
      <c r="H681" s="1191"/>
      <c r="I681" s="706" t="s">
        <v>2407</v>
      </c>
      <c r="M681" s="706"/>
      <c r="N681" s="706"/>
      <c r="O681" s="706"/>
      <c r="P681" s="706"/>
    </row>
    <row r="682" spans="1:16">
      <c r="A682" s="706">
        <v>104379</v>
      </c>
      <c r="B682" s="706" t="s">
        <v>2420</v>
      </c>
      <c r="D682" s="706" t="s">
        <v>1841</v>
      </c>
      <c r="H682" s="1191"/>
      <c r="I682" s="706" t="s">
        <v>2407</v>
      </c>
      <c r="M682" s="706"/>
      <c r="N682" s="706"/>
      <c r="O682" s="706"/>
      <c r="P682" s="706"/>
    </row>
    <row r="683" spans="1:16">
      <c r="A683" s="706">
        <v>104380</v>
      </c>
      <c r="B683" s="706" t="s">
        <v>2419</v>
      </c>
      <c r="D683" s="706" t="s">
        <v>1841</v>
      </c>
      <c r="H683" s="1191"/>
      <c r="I683" s="706" t="s">
        <v>2409</v>
      </c>
      <c r="M683" s="706"/>
      <c r="N683" s="706"/>
      <c r="O683" s="706"/>
      <c r="P683" s="706"/>
    </row>
    <row r="684" spans="1:16">
      <c r="A684" s="706">
        <v>104381</v>
      </c>
      <c r="B684" s="706" t="s">
        <v>2420</v>
      </c>
      <c r="D684" s="706" t="s">
        <v>1841</v>
      </c>
      <c r="H684" s="1191"/>
      <c r="I684" s="706" t="s">
        <v>2409</v>
      </c>
      <c r="M684" s="706"/>
      <c r="N684" s="706"/>
      <c r="O684" s="706"/>
      <c r="P684" s="706"/>
    </row>
    <row r="685" spans="1:16">
      <c r="A685" s="706">
        <v>104382</v>
      </c>
      <c r="B685" s="706" t="s">
        <v>2419</v>
      </c>
      <c r="D685" s="706" t="s">
        <v>1841</v>
      </c>
      <c r="H685" s="1191"/>
      <c r="I685" s="706" t="s">
        <v>2410</v>
      </c>
      <c r="M685" s="706"/>
      <c r="N685" s="706"/>
      <c r="O685" s="706"/>
      <c r="P685" s="706"/>
    </row>
    <row r="686" spans="1:16">
      <c r="A686" s="706">
        <v>104383</v>
      </c>
      <c r="B686" s="706" t="s">
        <v>2420</v>
      </c>
      <c r="D686" s="706" t="s">
        <v>1841</v>
      </c>
      <c r="H686" s="1191"/>
      <c r="I686" s="706" t="s">
        <v>2410</v>
      </c>
      <c r="M686" s="706"/>
      <c r="N686" s="706"/>
      <c r="O686" s="706"/>
      <c r="P686" s="706"/>
    </row>
    <row r="687" spans="1:16">
      <c r="A687" s="706">
        <v>104384</v>
      </c>
      <c r="B687" s="706" t="s">
        <v>2421</v>
      </c>
      <c r="D687" s="706" t="s">
        <v>1841</v>
      </c>
      <c r="H687" s="1191"/>
      <c r="I687" s="706" t="s">
        <v>2359</v>
      </c>
      <c r="M687" s="706"/>
      <c r="N687" s="706"/>
      <c r="O687" s="706"/>
      <c r="P687" s="706"/>
    </row>
    <row r="688" spans="1:16">
      <c r="A688" s="706">
        <v>104385</v>
      </c>
      <c r="B688" s="706" t="s">
        <v>2422</v>
      </c>
      <c r="C688" s="706" t="s">
        <v>8189</v>
      </c>
      <c r="D688" s="706" t="s">
        <v>1841</v>
      </c>
      <c r="E688" s="706">
        <v>2120</v>
      </c>
      <c r="F688" s="706" t="s">
        <v>28</v>
      </c>
      <c r="G688" s="706">
        <v>406272</v>
      </c>
      <c r="H688" s="1191">
        <v>44985</v>
      </c>
      <c r="I688" s="706" t="s">
        <v>2361</v>
      </c>
      <c r="M688" s="706"/>
      <c r="N688" s="706"/>
      <c r="O688" s="706"/>
      <c r="P688" s="706"/>
    </row>
    <row r="689" spans="1:16">
      <c r="A689" s="706">
        <v>104386</v>
      </c>
      <c r="B689" s="706" t="s">
        <v>2423</v>
      </c>
      <c r="D689" s="706" t="s">
        <v>1841</v>
      </c>
      <c r="H689" s="1191"/>
      <c r="I689" s="706" t="s">
        <v>2361</v>
      </c>
      <c r="M689" s="706"/>
      <c r="N689" s="706"/>
      <c r="O689" s="706"/>
      <c r="P689" s="706"/>
    </row>
    <row r="690" spans="1:16">
      <c r="A690" s="706">
        <v>104387</v>
      </c>
      <c r="B690" s="706" t="s">
        <v>2424</v>
      </c>
      <c r="C690" s="706" t="s">
        <v>8189</v>
      </c>
      <c r="D690" s="706" t="s">
        <v>1841</v>
      </c>
      <c r="E690" s="706">
        <v>1750</v>
      </c>
      <c r="F690" s="706" t="s">
        <v>28</v>
      </c>
      <c r="G690" s="706">
        <v>403973</v>
      </c>
      <c r="H690" s="1191">
        <v>44489</v>
      </c>
      <c r="I690" s="706" t="s">
        <v>2361</v>
      </c>
      <c r="M690" s="706"/>
      <c r="N690" s="706"/>
      <c r="O690" s="706"/>
      <c r="P690" s="706"/>
    </row>
    <row r="691" spans="1:16">
      <c r="A691" s="706">
        <v>104388</v>
      </c>
      <c r="B691" s="706" t="s">
        <v>2425</v>
      </c>
      <c r="D691" s="706" t="s">
        <v>1841</v>
      </c>
      <c r="H691" s="1191"/>
      <c r="I691" s="706" t="s">
        <v>2361</v>
      </c>
      <c r="M691" s="706"/>
      <c r="N691" s="706"/>
      <c r="O691" s="706"/>
      <c r="P691" s="706"/>
    </row>
    <row r="692" spans="1:16">
      <c r="A692" s="706">
        <v>104389</v>
      </c>
      <c r="B692" s="706" t="s">
        <v>2426</v>
      </c>
      <c r="D692" s="706" t="s">
        <v>1841</v>
      </c>
      <c r="H692" s="1191"/>
      <c r="I692" s="706" t="s">
        <v>2427</v>
      </c>
      <c r="M692" s="706"/>
      <c r="N692" s="706"/>
      <c r="O692" s="706"/>
      <c r="P692" s="706"/>
    </row>
    <row r="693" spans="1:16">
      <c r="A693" s="706">
        <v>104390</v>
      </c>
      <c r="B693" s="706" t="s">
        <v>2428</v>
      </c>
      <c r="D693" s="706" t="s">
        <v>1841</v>
      </c>
      <c r="H693" s="1191"/>
      <c r="I693" s="706" t="s">
        <v>2427</v>
      </c>
      <c r="M693" s="706"/>
      <c r="N693" s="706"/>
      <c r="O693" s="706"/>
      <c r="P693" s="706"/>
    </row>
    <row r="694" spans="1:16">
      <c r="A694" s="706">
        <v>104391</v>
      </c>
      <c r="B694" s="706" t="s">
        <v>2429</v>
      </c>
      <c r="D694" s="706" t="s">
        <v>1841</v>
      </c>
      <c r="H694" s="1191"/>
      <c r="I694" s="706" t="s">
        <v>2427</v>
      </c>
      <c r="M694" s="706"/>
      <c r="N694" s="706"/>
      <c r="O694" s="706"/>
      <c r="P694" s="706"/>
    </row>
    <row r="695" spans="1:16">
      <c r="A695" s="706">
        <v>104392</v>
      </c>
      <c r="B695" s="706" t="s">
        <v>2430</v>
      </c>
      <c r="D695" s="706" t="s">
        <v>1841</v>
      </c>
      <c r="H695" s="1191"/>
      <c r="I695" s="706" t="s">
        <v>2427</v>
      </c>
      <c r="M695" s="706"/>
      <c r="N695" s="706"/>
      <c r="O695" s="706"/>
      <c r="P695" s="706"/>
    </row>
    <row r="696" spans="1:16">
      <c r="A696" s="706">
        <v>104393</v>
      </c>
      <c r="B696" s="706" t="s">
        <v>2431</v>
      </c>
      <c r="D696" s="706" t="s">
        <v>1841</v>
      </c>
      <c r="H696" s="1191"/>
      <c r="I696" s="706" t="s">
        <v>2427</v>
      </c>
      <c r="M696" s="706"/>
      <c r="N696" s="706"/>
      <c r="O696" s="706"/>
      <c r="P696" s="706"/>
    </row>
    <row r="697" spans="1:16">
      <c r="A697" s="706">
        <v>104394</v>
      </c>
      <c r="B697" s="706" t="s">
        <v>2432</v>
      </c>
      <c r="D697" s="706" t="s">
        <v>1841</v>
      </c>
      <c r="H697" s="1191"/>
      <c r="I697" s="706" t="s">
        <v>2427</v>
      </c>
      <c r="M697" s="706"/>
      <c r="N697" s="706"/>
      <c r="O697" s="706"/>
      <c r="P697" s="706"/>
    </row>
    <row r="698" spans="1:16">
      <c r="A698" s="706">
        <v>104395</v>
      </c>
      <c r="B698" s="706" t="s">
        <v>2433</v>
      </c>
      <c r="D698" s="706" t="s">
        <v>1841</v>
      </c>
      <c r="H698" s="1191"/>
      <c r="I698" s="706" t="s">
        <v>2427</v>
      </c>
      <c r="M698" s="706"/>
      <c r="N698" s="706"/>
      <c r="O698" s="706"/>
      <c r="P698" s="706"/>
    </row>
    <row r="699" spans="1:16">
      <c r="A699" s="706">
        <v>104396</v>
      </c>
      <c r="B699" s="706" t="s">
        <v>2434</v>
      </c>
      <c r="D699" s="706" t="s">
        <v>1841</v>
      </c>
      <c r="H699" s="1191"/>
      <c r="I699" s="706" t="s">
        <v>2427</v>
      </c>
      <c r="M699" s="706"/>
      <c r="N699" s="706"/>
      <c r="O699" s="706"/>
      <c r="P699" s="706"/>
    </row>
    <row r="700" spans="1:16">
      <c r="A700" s="706">
        <v>104397</v>
      </c>
      <c r="B700" s="706" t="s">
        <v>2435</v>
      </c>
      <c r="D700" s="706" t="s">
        <v>1841</v>
      </c>
      <c r="H700" s="1191"/>
      <c r="I700" s="706" t="s">
        <v>2427</v>
      </c>
      <c r="M700" s="706"/>
      <c r="N700" s="706"/>
      <c r="O700" s="706"/>
      <c r="P700" s="706"/>
    </row>
    <row r="701" spans="1:16">
      <c r="A701" s="706">
        <v>104398</v>
      </c>
      <c r="B701" s="706" t="s">
        <v>2436</v>
      </c>
      <c r="D701" s="706" t="s">
        <v>1841</v>
      </c>
      <c r="H701" s="1191"/>
      <c r="I701" s="706" t="s">
        <v>2427</v>
      </c>
      <c r="M701" s="706"/>
      <c r="N701" s="706"/>
      <c r="O701" s="706"/>
      <c r="P701" s="706"/>
    </row>
    <row r="702" spans="1:16">
      <c r="A702" s="706">
        <v>104399</v>
      </c>
      <c r="B702" s="706" t="s">
        <v>2437</v>
      </c>
      <c r="D702" s="706" t="s">
        <v>1841</v>
      </c>
      <c r="H702" s="1191"/>
      <c r="I702" s="706" t="s">
        <v>2427</v>
      </c>
      <c r="M702" s="706"/>
      <c r="N702" s="706"/>
      <c r="O702" s="706"/>
      <c r="P702" s="706"/>
    </row>
    <row r="703" spans="1:16">
      <c r="A703" s="706">
        <v>104400</v>
      </c>
      <c r="B703" s="706" t="s">
        <v>2438</v>
      </c>
      <c r="D703" s="706" t="s">
        <v>1841</v>
      </c>
      <c r="H703" s="1191"/>
      <c r="I703" s="706" t="s">
        <v>2427</v>
      </c>
      <c r="M703" s="706"/>
      <c r="N703" s="706"/>
      <c r="O703" s="706"/>
      <c r="P703" s="706"/>
    </row>
    <row r="704" spans="1:16">
      <c r="A704" s="706">
        <v>104401</v>
      </c>
      <c r="B704" s="706" t="s">
        <v>2439</v>
      </c>
      <c r="D704" s="706" t="s">
        <v>1841</v>
      </c>
      <c r="H704" s="1191"/>
      <c r="I704" s="706" t="s">
        <v>2427</v>
      </c>
      <c r="M704" s="706"/>
      <c r="N704" s="706"/>
      <c r="O704" s="706"/>
      <c r="P704" s="706"/>
    </row>
    <row r="705" spans="1:16">
      <c r="A705" s="706">
        <v>104402</v>
      </c>
      <c r="B705" s="706" t="s">
        <v>2440</v>
      </c>
      <c r="D705" s="706" t="s">
        <v>1841</v>
      </c>
      <c r="H705" s="1191"/>
      <c r="I705" s="706" t="s">
        <v>2427</v>
      </c>
      <c r="M705" s="706"/>
      <c r="N705" s="706"/>
      <c r="O705" s="706"/>
      <c r="P705" s="706"/>
    </row>
    <row r="706" spans="1:16">
      <c r="A706" s="706">
        <v>104403</v>
      </c>
      <c r="B706" s="706" t="s">
        <v>2441</v>
      </c>
      <c r="D706" s="706" t="s">
        <v>1841</v>
      </c>
      <c r="H706" s="1191"/>
      <c r="I706" s="706" t="s">
        <v>2427</v>
      </c>
      <c r="M706" s="706"/>
      <c r="N706" s="706"/>
      <c r="O706" s="706"/>
      <c r="P706" s="706"/>
    </row>
    <row r="707" spans="1:16">
      <c r="A707" s="706">
        <v>104404</v>
      </c>
      <c r="B707" s="706" t="s">
        <v>2442</v>
      </c>
      <c r="D707" s="706" t="s">
        <v>1841</v>
      </c>
      <c r="H707" s="1191"/>
      <c r="I707" s="706" t="s">
        <v>2427</v>
      </c>
      <c r="M707" s="706"/>
      <c r="N707" s="706"/>
      <c r="O707" s="706"/>
      <c r="P707" s="706"/>
    </row>
    <row r="708" spans="1:16">
      <c r="A708" s="706">
        <v>104405</v>
      </c>
      <c r="B708" s="706" t="s">
        <v>2443</v>
      </c>
      <c r="D708" s="706" t="s">
        <v>1841</v>
      </c>
      <c r="H708" s="1191"/>
      <c r="I708" s="706" t="s">
        <v>2427</v>
      </c>
      <c r="M708" s="706"/>
      <c r="N708" s="706"/>
      <c r="O708" s="706"/>
      <c r="P708" s="706"/>
    </row>
    <row r="709" spans="1:16">
      <c r="A709" s="706">
        <v>104406</v>
      </c>
      <c r="B709" s="706" t="s">
        <v>2444</v>
      </c>
      <c r="D709" s="706" t="s">
        <v>1841</v>
      </c>
      <c r="H709" s="1191"/>
      <c r="I709" s="706" t="s">
        <v>2427</v>
      </c>
      <c r="M709" s="706"/>
      <c r="N709" s="706"/>
      <c r="O709" s="706"/>
      <c r="P709" s="706"/>
    </row>
    <row r="710" spans="1:16">
      <c r="A710" s="706">
        <v>104407</v>
      </c>
      <c r="B710" s="706" t="s">
        <v>2445</v>
      </c>
      <c r="D710" s="706" t="s">
        <v>1841</v>
      </c>
      <c r="H710" s="1191"/>
      <c r="I710" s="706" t="s">
        <v>2427</v>
      </c>
      <c r="M710" s="706"/>
      <c r="N710" s="706"/>
      <c r="O710" s="706"/>
      <c r="P710" s="706"/>
    </row>
    <row r="711" spans="1:16">
      <c r="A711" s="706">
        <v>104408</v>
      </c>
      <c r="B711" s="706" t="s">
        <v>2446</v>
      </c>
      <c r="D711" s="706" t="s">
        <v>1841</v>
      </c>
      <c r="H711" s="1191"/>
      <c r="I711" s="706" t="s">
        <v>2427</v>
      </c>
      <c r="M711" s="706"/>
      <c r="N711" s="706"/>
      <c r="O711" s="706"/>
      <c r="P711" s="706"/>
    </row>
    <row r="712" spans="1:16">
      <c r="A712" s="706">
        <v>104409</v>
      </c>
      <c r="B712" s="706" t="s">
        <v>2447</v>
      </c>
      <c r="D712" s="706" t="s">
        <v>1841</v>
      </c>
      <c r="H712" s="1191"/>
      <c r="I712" s="706" t="s">
        <v>2427</v>
      </c>
      <c r="M712" s="706"/>
      <c r="N712" s="706"/>
      <c r="O712" s="706"/>
      <c r="P712" s="706"/>
    </row>
    <row r="713" spans="1:16">
      <c r="A713" s="706">
        <v>104410</v>
      </c>
      <c r="B713" s="706" t="s">
        <v>2448</v>
      </c>
      <c r="D713" s="706" t="s">
        <v>1841</v>
      </c>
      <c r="H713" s="1191"/>
      <c r="I713" s="706" t="s">
        <v>2427</v>
      </c>
      <c r="M713" s="706"/>
      <c r="N713" s="706"/>
      <c r="O713" s="706"/>
      <c r="P713" s="706"/>
    </row>
    <row r="714" spans="1:16">
      <c r="A714" s="706">
        <v>104411</v>
      </c>
      <c r="B714" s="706" t="s">
        <v>2449</v>
      </c>
      <c r="D714" s="706" t="s">
        <v>1841</v>
      </c>
      <c r="H714" s="1191"/>
      <c r="I714" s="706" t="s">
        <v>2427</v>
      </c>
      <c r="M714" s="706"/>
      <c r="N714" s="706"/>
      <c r="O714" s="706"/>
      <c r="P714" s="706"/>
    </row>
    <row r="715" spans="1:16">
      <c r="A715" s="706">
        <v>104412</v>
      </c>
      <c r="B715" s="706" t="s">
        <v>2450</v>
      </c>
      <c r="D715" s="706" t="s">
        <v>1841</v>
      </c>
      <c r="H715" s="1191"/>
      <c r="I715" s="706" t="s">
        <v>2427</v>
      </c>
      <c r="M715" s="706"/>
      <c r="N715" s="706"/>
      <c r="O715" s="706"/>
      <c r="P715" s="706"/>
    </row>
    <row r="716" spans="1:16">
      <c r="A716" s="706">
        <v>104413</v>
      </c>
      <c r="B716" s="706" t="s">
        <v>2451</v>
      </c>
      <c r="D716" s="706" t="s">
        <v>1841</v>
      </c>
      <c r="H716" s="1191"/>
      <c r="I716" s="706" t="s">
        <v>2427</v>
      </c>
      <c r="M716" s="706"/>
      <c r="N716" s="706"/>
      <c r="O716" s="706"/>
      <c r="P716" s="706"/>
    </row>
    <row r="717" spans="1:16">
      <c r="A717" s="706">
        <v>104414</v>
      </c>
      <c r="B717" s="706" t="s">
        <v>2452</v>
      </c>
      <c r="D717" s="706" t="s">
        <v>1841</v>
      </c>
      <c r="H717" s="1191"/>
      <c r="I717" s="706" t="s">
        <v>2427</v>
      </c>
      <c r="M717" s="706"/>
      <c r="N717" s="706"/>
      <c r="O717" s="706"/>
      <c r="P717" s="706"/>
    </row>
    <row r="718" spans="1:16">
      <c r="A718" s="706">
        <v>104415</v>
      </c>
      <c r="B718" s="706" t="s">
        <v>2453</v>
      </c>
      <c r="D718" s="706" t="s">
        <v>1841</v>
      </c>
      <c r="H718" s="1191"/>
      <c r="I718" s="706" t="s">
        <v>2427</v>
      </c>
      <c r="M718" s="706"/>
      <c r="N718" s="706"/>
      <c r="O718" s="706"/>
      <c r="P718" s="706"/>
    </row>
    <row r="719" spans="1:16">
      <c r="A719" s="706">
        <v>104416</v>
      </c>
      <c r="B719" s="706" t="s">
        <v>2454</v>
      </c>
      <c r="D719" s="706" t="s">
        <v>1841</v>
      </c>
      <c r="H719" s="1191"/>
      <c r="I719" s="706" t="s">
        <v>2427</v>
      </c>
      <c r="M719" s="706"/>
      <c r="N719" s="706"/>
      <c r="O719" s="706"/>
      <c r="P719" s="706"/>
    </row>
    <row r="720" spans="1:16">
      <c r="A720" s="706">
        <v>104417</v>
      </c>
      <c r="B720" s="706" t="s">
        <v>2455</v>
      </c>
      <c r="C720" s="706" t="s">
        <v>8185</v>
      </c>
      <c r="D720" s="706" t="s">
        <v>1841</v>
      </c>
      <c r="E720" s="706">
        <v>2.4300000000000002</v>
      </c>
      <c r="F720" s="706" t="s">
        <v>28</v>
      </c>
      <c r="G720" s="706">
        <v>401090</v>
      </c>
      <c r="H720" s="1191">
        <v>44035</v>
      </c>
      <c r="I720" s="706" t="s">
        <v>2427</v>
      </c>
      <c r="M720" s="706"/>
      <c r="N720" s="706"/>
      <c r="O720" s="706"/>
      <c r="P720" s="706"/>
    </row>
    <row r="721" spans="1:16">
      <c r="A721" s="706">
        <v>104418</v>
      </c>
      <c r="B721" s="706" t="s">
        <v>2456</v>
      </c>
      <c r="D721" s="706" t="s">
        <v>1841</v>
      </c>
      <c r="H721" s="1191"/>
      <c r="I721" s="706" t="s">
        <v>2427</v>
      </c>
      <c r="M721" s="706"/>
      <c r="N721" s="706"/>
      <c r="O721" s="706"/>
      <c r="P721" s="706"/>
    </row>
    <row r="722" spans="1:16">
      <c r="A722" s="706">
        <v>104419</v>
      </c>
      <c r="B722" s="706" t="s">
        <v>2457</v>
      </c>
      <c r="D722" s="706" t="s">
        <v>1841</v>
      </c>
      <c r="H722" s="1191"/>
      <c r="I722" s="706" t="s">
        <v>2427</v>
      </c>
      <c r="M722" s="706"/>
      <c r="N722" s="706"/>
      <c r="O722" s="706"/>
      <c r="P722" s="706"/>
    </row>
    <row r="723" spans="1:16">
      <c r="A723" s="706">
        <v>104420</v>
      </c>
      <c r="B723" s="706" t="s">
        <v>2458</v>
      </c>
      <c r="D723" s="706" t="s">
        <v>1841</v>
      </c>
      <c r="H723" s="1191"/>
      <c r="I723" s="706" t="s">
        <v>2427</v>
      </c>
      <c r="M723" s="706"/>
      <c r="N723" s="706"/>
      <c r="O723" s="706"/>
      <c r="P723" s="706"/>
    </row>
    <row r="724" spans="1:16">
      <c r="A724" s="706">
        <v>104421</v>
      </c>
      <c r="B724" s="706" t="s">
        <v>2459</v>
      </c>
      <c r="C724" s="706" t="s">
        <v>8192</v>
      </c>
      <c r="D724" s="706" t="s">
        <v>1841</v>
      </c>
      <c r="E724" s="706">
        <v>1.8441000000000001</v>
      </c>
      <c r="F724" s="706" t="s">
        <v>28</v>
      </c>
      <c r="G724" s="706">
        <v>402358</v>
      </c>
      <c r="H724" s="1191">
        <v>44216</v>
      </c>
      <c r="I724" s="706" t="s">
        <v>2427</v>
      </c>
      <c r="M724" s="706"/>
      <c r="N724" s="706"/>
      <c r="O724" s="706"/>
      <c r="P724" s="706"/>
    </row>
    <row r="725" spans="1:16">
      <c r="A725" s="706">
        <v>104422</v>
      </c>
      <c r="B725" s="706" t="s">
        <v>2461</v>
      </c>
      <c r="C725" s="706" t="s">
        <v>8192</v>
      </c>
      <c r="D725" s="706" t="s">
        <v>1841</v>
      </c>
      <c r="E725" s="706">
        <v>1.4016</v>
      </c>
      <c r="F725" s="706" t="s">
        <v>28</v>
      </c>
      <c r="G725" s="706">
        <v>400969</v>
      </c>
      <c r="H725" s="1191">
        <v>44025</v>
      </c>
      <c r="I725" s="706" t="s">
        <v>2427</v>
      </c>
      <c r="M725" s="706"/>
      <c r="N725" s="706"/>
      <c r="O725" s="706"/>
      <c r="P725" s="706"/>
    </row>
    <row r="726" spans="1:16">
      <c r="A726" s="706">
        <v>104423</v>
      </c>
      <c r="B726" s="706" t="s">
        <v>2462</v>
      </c>
      <c r="D726" s="706" t="s">
        <v>1841</v>
      </c>
      <c r="H726" s="1191"/>
      <c r="I726" s="706" t="s">
        <v>2427</v>
      </c>
      <c r="M726" s="706"/>
      <c r="N726" s="706"/>
      <c r="O726" s="706"/>
      <c r="P726" s="706"/>
    </row>
    <row r="727" spans="1:16">
      <c r="A727" s="706">
        <v>104424</v>
      </c>
      <c r="B727" s="706" t="s">
        <v>2463</v>
      </c>
      <c r="D727" s="706" t="s">
        <v>1841</v>
      </c>
      <c r="H727" s="1191"/>
      <c r="I727" s="706" t="s">
        <v>2427</v>
      </c>
      <c r="M727" s="706"/>
      <c r="N727" s="706"/>
      <c r="O727" s="706"/>
      <c r="P727" s="706"/>
    </row>
    <row r="728" spans="1:16">
      <c r="A728" s="706">
        <v>104425</v>
      </c>
      <c r="B728" s="706" t="s">
        <v>2464</v>
      </c>
      <c r="C728" s="706" t="s">
        <v>8185</v>
      </c>
      <c r="D728" s="706" t="s">
        <v>1841</v>
      </c>
      <c r="E728" s="706">
        <v>0.94</v>
      </c>
      <c r="F728" s="706" t="s">
        <v>28</v>
      </c>
      <c r="G728" s="706">
        <v>401090</v>
      </c>
      <c r="H728" s="1191">
        <v>44035</v>
      </c>
      <c r="I728" s="706" t="s">
        <v>2427</v>
      </c>
      <c r="M728" s="706"/>
      <c r="N728" s="706"/>
      <c r="O728" s="706"/>
      <c r="P728" s="706"/>
    </row>
    <row r="729" spans="1:16">
      <c r="A729" s="706">
        <v>104426</v>
      </c>
      <c r="B729" s="706" t="s">
        <v>2465</v>
      </c>
      <c r="D729" s="706" t="s">
        <v>1841</v>
      </c>
      <c r="H729" s="1191"/>
      <c r="I729" s="706" t="s">
        <v>2427</v>
      </c>
      <c r="M729" s="706"/>
      <c r="N729" s="706"/>
      <c r="O729" s="706"/>
      <c r="P729" s="706"/>
    </row>
    <row r="730" spans="1:16">
      <c r="A730" s="706">
        <v>104427</v>
      </c>
      <c r="B730" s="706" t="s">
        <v>2466</v>
      </c>
      <c r="D730" s="706" t="s">
        <v>1841</v>
      </c>
      <c r="H730" s="1191"/>
      <c r="I730" s="706" t="s">
        <v>2427</v>
      </c>
      <c r="M730" s="706"/>
      <c r="N730" s="706"/>
      <c r="O730" s="706"/>
      <c r="P730" s="706"/>
    </row>
    <row r="731" spans="1:16">
      <c r="A731" s="706">
        <v>104428</v>
      </c>
      <c r="B731" s="706" t="s">
        <v>2467</v>
      </c>
      <c r="D731" s="706" t="s">
        <v>1841</v>
      </c>
      <c r="H731" s="1191"/>
      <c r="I731" s="706" t="s">
        <v>2427</v>
      </c>
      <c r="M731" s="706"/>
      <c r="N731" s="706"/>
      <c r="O731" s="706"/>
      <c r="P731" s="706"/>
    </row>
    <row r="732" spans="1:16">
      <c r="A732" s="706">
        <v>104429</v>
      </c>
      <c r="B732" s="706" t="s">
        <v>2468</v>
      </c>
      <c r="D732" s="706" t="s">
        <v>1841</v>
      </c>
      <c r="H732" s="1191"/>
      <c r="I732" s="706" t="s">
        <v>2427</v>
      </c>
      <c r="M732" s="706"/>
      <c r="N732" s="706"/>
      <c r="O732" s="706"/>
      <c r="P732" s="706"/>
    </row>
    <row r="733" spans="1:16">
      <c r="A733" s="706">
        <v>104430</v>
      </c>
      <c r="B733" s="706" t="s">
        <v>2469</v>
      </c>
      <c r="D733" s="706" t="s">
        <v>1841</v>
      </c>
      <c r="H733" s="1191"/>
      <c r="I733" s="706" t="s">
        <v>2427</v>
      </c>
      <c r="M733" s="706"/>
      <c r="N733" s="706"/>
      <c r="O733" s="706"/>
      <c r="P733" s="706"/>
    </row>
    <row r="734" spans="1:16">
      <c r="A734" s="706">
        <v>104431</v>
      </c>
      <c r="B734" s="706" t="s">
        <v>2470</v>
      </c>
      <c r="D734" s="706" t="s">
        <v>1841</v>
      </c>
      <c r="H734" s="1191"/>
      <c r="I734" s="706" t="s">
        <v>2371</v>
      </c>
      <c r="M734" s="706"/>
      <c r="N734" s="706"/>
      <c r="O734" s="706"/>
      <c r="P734" s="706"/>
    </row>
    <row r="735" spans="1:16">
      <c r="A735" s="706">
        <v>104432</v>
      </c>
      <c r="B735" s="706" t="s">
        <v>2471</v>
      </c>
      <c r="D735" s="706" t="s">
        <v>1841</v>
      </c>
      <c r="H735" s="1191"/>
      <c r="I735" s="706" t="s">
        <v>2371</v>
      </c>
      <c r="M735" s="706"/>
      <c r="N735" s="706"/>
      <c r="O735" s="706"/>
      <c r="P735" s="706"/>
    </row>
    <row r="736" spans="1:16">
      <c r="A736" s="706">
        <v>104433</v>
      </c>
      <c r="B736" s="706" t="s">
        <v>2470</v>
      </c>
      <c r="D736" s="706" t="s">
        <v>1841</v>
      </c>
      <c r="H736" s="1191"/>
      <c r="I736" s="706" t="s">
        <v>2373</v>
      </c>
      <c r="M736" s="706"/>
      <c r="N736" s="706"/>
      <c r="O736" s="706"/>
      <c r="P736" s="706"/>
    </row>
    <row r="737" spans="1:16">
      <c r="A737" s="706">
        <v>104434</v>
      </c>
      <c r="B737" s="706" t="s">
        <v>2471</v>
      </c>
      <c r="D737" s="706" t="s">
        <v>1841</v>
      </c>
      <c r="H737" s="1191"/>
      <c r="I737" s="706" t="s">
        <v>2373</v>
      </c>
      <c r="M737" s="706"/>
      <c r="N737" s="706"/>
      <c r="O737" s="706"/>
      <c r="P737" s="706"/>
    </row>
    <row r="738" spans="1:16">
      <c r="A738" s="706">
        <v>104435</v>
      </c>
      <c r="B738" s="706" t="s">
        <v>2470</v>
      </c>
      <c r="D738" s="706" t="s">
        <v>1841</v>
      </c>
      <c r="H738" s="1191"/>
      <c r="I738" s="706" t="s">
        <v>2374</v>
      </c>
      <c r="M738" s="706"/>
      <c r="N738" s="706"/>
      <c r="O738" s="706"/>
      <c r="P738" s="706"/>
    </row>
    <row r="739" spans="1:16">
      <c r="A739" s="706">
        <v>104436</v>
      </c>
      <c r="B739" s="706" t="s">
        <v>2471</v>
      </c>
      <c r="D739" s="706" t="s">
        <v>1841</v>
      </c>
      <c r="H739" s="1191"/>
      <c r="I739" s="706" t="s">
        <v>2374</v>
      </c>
      <c r="M739" s="706"/>
      <c r="N739" s="706"/>
      <c r="O739" s="706"/>
      <c r="P739" s="706"/>
    </row>
    <row r="740" spans="1:16">
      <c r="A740" s="706">
        <v>104437</v>
      </c>
      <c r="B740" s="706" t="s">
        <v>2472</v>
      </c>
      <c r="D740" s="706" t="s">
        <v>1841</v>
      </c>
      <c r="H740" s="1191"/>
      <c r="I740" s="706" t="s">
        <v>2371</v>
      </c>
      <c r="M740" s="706"/>
      <c r="N740" s="706"/>
      <c r="O740" s="706"/>
      <c r="P740" s="706"/>
    </row>
    <row r="741" spans="1:16">
      <c r="A741" s="706">
        <v>104438</v>
      </c>
      <c r="B741" s="706" t="s">
        <v>2473</v>
      </c>
      <c r="D741" s="706" t="s">
        <v>1841</v>
      </c>
      <c r="H741" s="1191"/>
      <c r="I741" s="706" t="s">
        <v>2371</v>
      </c>
      <c r="M741" s="706"/>
      <c r="N741" s="706"/>
      <c r="O741" s="706"/>
      <c r="P741" s="706"/>
    </row>
    <row r="742" spans="1:16">
      <c r="A742" s="706">
        <v>104439</v>
      </c>
      <c r="B742" s="706" t="s">
        <v>2472</v>
      </c>
      <c r="D742" s="706" t="s">
        <v>1841</v>
      </c>
      <c r="H742" s="1191"/>
      <c r="I742" s="706" t="s">
        <v>2373</v>
      </c>
      <c r="M742" s="706"/>
      <c r="N742" s="706"/>
      <c r="O742" s="706"/>
      <c r="P742" s="706"/>
    </row>
    <row r="743" spans="1:16">
      <c r="A743" s="706">
        <v>104440</v>
      </c>
      <c r="B743" s="706" t="s">
        <v>2473</v>
      </c>
      <c r="D743" s="706" t="s">
        <v>1841</v>
      </c>
      <c r="H743" s="1191"/>
      <c r="I743" s="706" t="s">
        <v>2373</v>
      </c>
      <c r="M743" s="706"/>
      <c r="N743" s="706"/>
      <c r="O743" s="706"/>
      <c r="P743" s="706"/>
    </row>
    <row r="744" spans="1:16">
      <c r="A744" s="706">
        <v>104441</v>
      </c>
      <c r="B744" s="706" t="s">
        <v>2472</v>
      </c>
      <c r="D744" s="706" t="s">
        <v>1841</v>
      </c>
      <c r="H744" s="1191"/>
      <c r="I744" s="706" t="s">
        <v>2374</v>
      </c>
      <c r="M744" s="706"/>
      <c r="N744" s="706"/>
      <c r="O744" s="706"/>
      <c r="P744" s="706"/>
    </row>
    <row r="745" spans="1:16">
      <c r="A745" s="706">
        <v>104442</v>
      </c>
      <c r="B745" s="706" t="s">
        <v>2473</v>
      </c>
      <c r="D745" s="706" t="s">
        <v>1841</v>
      </c>
      <c r="H745" s="1191"/>
      <c r="I745" s="706" t="s">
        <v>2374</v>
      </c>
      <c r="M745" s="706"/>
      <c r="N745" s="706"/>
      <c r="O745" s="706"/>
      <c r="P745" s="706"/>
    </row>
    <row r="746" spans="1:16">
      <c r="A746" s="706">
        <v>104443</v>
      </c>
      <c r="B746" s="706" t="s">
        <v>2474</v>
      </c>
      <c r="D746" s="706" t="s">
        <v>1841</v>
      </c>
      <c r="H746" s="1191"/>
      <c r="I746" s="706" t="s">
        <v>2371</v>
      </c>
      <c r="M746" s="706"/>
      <c r="N746" s="706"/>
      <c r="O746" s="706"/>
      <c r="P746" s="706"/>
    </row>
    <row r="747" spans="1:16">
      <c r="A747" s="706">
        <v>104444</v>
      </c>
      <c r="B747" s="706" t="s">
        <v>2475</v>
      </c>
      <c r="D747" s="706" t="s">
        <v>1841</v>
      </c>
      <c r="H747" s="1191"/>
      <c r="I747" s="706" t="s">
        <v>2371</v>
      </c>
      <c r="M747" s="706"/>
      <c r="N747" s="706"/>
      <c r="O747" s="706"/>
      <c r="P747" s="706"/>
    </row>
    <row r="748" spans="1:16">
      <c r="A748" s="706">
        <v>104445</v>
      </c>
      <c r="B748" s="706" t="s">
        <v>2474</v>
      </c>
      <c r="D748" s="706" t="s">
        <v>1841</v>
      </c>
      <c r="H748" s="1191"/>
      <c r="I748" s="706" t="s">
        <v>2373</v>
      </c>
      <c r="M748" s="706"/>
      <c r="N748" s="706"/>
      <c r="O748" s="706"/>
      <c r="P748" s="706"/>
    </row>
    <row r="749" spans="1:16">
      <c r="A749" s="706">
        <v>104446</v>
      </c>
      <c r="B749" s="706" t="s">
        <v>2475</v>
      </c>
      <c r="D749" s="706" t="s">
        <v>1841</v>
      </c>
      <c r="H749" s="1191"/>
      <c r="I749" s="706" t="s">
        <v>2373</v>
      </c>
      <c r="M749" s="706"/>
      <c r="N749" s="706"/>
      <c r="O749" s="706"/>
      <c r="P749" s="706"/>
    </row>
    <row r="750" spans="1:16">
      <c r="A750" s="706">
        <v>104447</v>
      </c>
      <c r="B750" s="706" t="s">
        <v>2474</v>
      </c>
      <c r="D750" s="706" t="s">
        <v>1841</v>
      </c>
      <c r="H750" s="1191"/>
      <c r="I750" s="706" t="s">
        <v>2374</v>
      </c>
      <c r="M750" s="706"/>
      <c r="N750" s="706"/>
      <c r="O750" s="706"/>
      <c r="P750" s="706"/>
    </row>
    <row r="751" spans="1:16">
      <c r="A751" s="706">
        <v>104448</v>
      </c>
      <c r="B751" s="706" t="s">
        <v>2475</v>
      </c>
      <c r="D751" s="706" t="s">
        <v>1841</v>
      </c>
      <c r="H751" s="1191"/>
      <c r="I751" s="706" t="s">
        <v>2374</v>
      </c>
      <c r="M751" s="706"/>
      <c r="N751" s="706"/>
      <c r="O751" s="706"/>
      <c r="P751" s="706"/>
    </row>
    <row r="752" spans="1:16">
      <c r="A752" s="706">
        <v>104449</v>
      </c>
      <c r="B752" s="706" t="s">
        <v>2476</v>
      </c>
      <c r="D752" s="706" t="s">
        <v>1841</v>
      </c>
      <c r="H752" s="1191"/>
      <c r="I752" s="706" t="s">
        <v>2371</v>
      </c>
      <c r="M752" s="706"/>
      <c r="N752" s="706"/>
      <c r="O752" s="706"/>
      <c r="P752" s="706"/>
    </row>
    <row r="753" spans="1:16">
      <c r="A753" s="706">
        <v>104450</v>
      </c>
      <c r="B753" s="706" t="s">
        <v>2477</v>
      </c>
      <c r="D753" s="706" t="s">
        <v>1841</v>
      </c>
      <c r="H753" s="1191"/>
      <c r="I753" s="706" t="s">
        <v>2371</v>
      </c>
      <c r="M753" s="706"/>
      <c r="N753" s="706"/>
      <c r="O753" s="706"/>
      <c r="P753" s="706"/>
    </row>
    <row r="754" spans="1:16">
      <c r="A754" s="706">
        <v>104451</v>
      </c>
      <c r="B754" s="706" t="s">
        <v>2476</v>
      </c>
      <c r="D754" s="706" t="s">
        <v>1841</v>
      </c>
      <c r="H754" s="1191"/>
      <c r="I754" s="706" t="s">
        <v>2373</v>
      </c>
      <c r="M754" s="706"/>
      <c r="N754" s="706"/>
      <c r="O754" s="706"/>
      <c r="P754" s="706"/>
    </row>
    <row r="755" spans="1:16">
      <c r="A755" s="706">
        <v>104452</v>
      </c>
      <c r="B755" s="706" t="s">
        <v>2477</v>
      </c>
      <c r="D755" s="706" t="s">
        <v>1841</v>
      </c>
      <c r="H755" s="1191"/>
      <c r="I755" s="706" t="s">
        <v>2373</v>
      </c>
      <c r="M755" s="706"/>
      <c r="N755" s="706"/>
      <c r="O755" s="706"/>
      <c r="P755" s="706"/>
    </row>
    <row r="756" spans="1:16">
      <c r="A756" s="706">
        <v>104453</v>
      </c>
      <c r="B756" s="706" t="s">
        <v>2476</v>
      </c>
      <c r="D756" s="706" t="s">
        <v>1841</v>
      </c>
      <c r="H756" s="1191"/>
      <c r="I756" s="706" t="s">
        <v>2374</v>
      </c>
      <c r="M756" s="706"/>
      <c r="N756" s="706"/>
      <c r="O756" s="706"/>
      <c r="P756" s="706"/>
    </row>
    <row r="757" spans="1:16">
      <c r="A757" s="706">
        <v>104454</v>
      </c>
      <c r="B757" s="706" t="s">
        <v>2477</v>
      </c>
      <c r="D757" s="706" t="s">
        <v>1841</v>
      </c>
      <c r="H757" s="1191"/>
      <c r="I757" s="706" t="s">
        <v>2374</v>
      </c>
      <c r="M757" s="706"/>
      <c r="N757" s="706"/>
      <c r="O757" s="706"/>
      <c r="P757" s="706"/>
    </row>
    <row r="758" spans="1:16">
      <c r="A758" s="706">
        <v>104455</v>
      </c>
      <c r="B758" s="706" t="s">
        <v>2478</v>
      </c>
      <c r="D758" s="706" t="s">
        <v>1841</v>
      </c>
      <c r="H758" s="1191"/>
      <c r="I758" s="706" t="s">
        <v>2371</v>
      </c>
      <c r="M758" s="706"/>
      <c r="N758" s="706"/>
      <c r="O758" s="706"/>
      <c r="P758" s="706"/>
    </row>
    <row r="759" spans="1:16">
      <c r="A759" s="706">
        <v>104456</v>
      </c>
      <c r="B759" s="706" t="s">
        <v>2479</v>
      </c>
      <c r="D759" s="706" t="s">
        <v>1841</v>
      </c>
      <c r="H759" s="1191"/>
      <c r="I759" s="706" t="s">
        <v>2371</v>
      </c>
      <c r="M759" s="706"/>
      <c r="N759" s="706"/>
      <c r="O759" s="706"/>
      <c r="P759" s="706"/>
    </row>
    <row r="760" spans="1:16">
      <c r="A760" s="706">
        <v>104457</v>
      </c>
      <c r="B760" s="706" t="s">
        <v>2478</v>
      </c>
      <c r="D760" s="706" t="s">
        <v>1841</v>
      </c>
      <c r="H760" s="1191"/>
      <c r="I760" s="706" t="s">
        <v>2373</v>
      </c>
      <c r="M760" s="706"/>
      <c r="N760" s="706"/>
      <c r="O760" s="706"/>
      <c r="P760" s="706"/>
    </row>
    <row r="761" spans="1:16">
      <c r="A761" s="706">
        <v>104458</v>
      </c>
      <c r="B761" s="706" t="s">
        <v>2479</v>
      </c>
      <c r="D761" s="706" t="s">
        <v>1841</v>
      </c>
      <c r="H761" s="1191"/>
      <c r="I761" s="706" t="s">
        <v>2373</v>
      </c>
      <c r="M761" s="706"/>
      <c r="N761" s="706"/>
      <c r="O761" s="706"/>
      <c r="P761" s="706"/>
    </row>
    <row r="762" spans="1:16">
      <c r="A762" s="706">
        <v>104459</v>
      </c>
      <c r="B762" s="706" t="s">
        <v>2478</v>
      </c>
      <c r="D762" s="706" t="s">
        <v>1841</v>
      </c>
      <c r="H762" s="1191"/>
      <c r="I762" s="706" t="s">
        <v>2374</v>
      </c>
      <c r="M762" s="706"/>
      <c r="N762" s="706"/>
      <c r="O762" s="706"/>
      <c r="P762" s="706"/>
    </row>
    <row r="763" spans="1:16">
      <c r="A763" s="706">
        <v>104460</v>
      </c>
      <c r="B763" s="706" t="s">
        <v>2479</v>
      </c>
      <c r="D763" s="706" t="s">
        <v>1841</v>
      </c>
      <c r="H763" s="1191"/>
      <c r="I763" s="706" t="s">
        <v>2374</v>
      </c>
      <c r="M763" s="706"/>
      <c r="N763" s="706"/>
      <c r="O763" s="706"/>
      <c r="P763" s="706"/>
    </row>
    <row r="764" spans="1:16">
      <c r="A764" s="706">
        <v>104461</v>
      </c>
      <c r="B764" s="706" t="s">
        <v>2480</v>
      </c>
      <c r="D764" s="706" t="s">
        <v>1841</v>
      </c>
      <c r="H764" s="1191"/>
      <c r="I764" s="706" t="s">
        <v>2371</v>
      </c>
      <c r="M764" s="706"/>
      <c r="N764" s="706"/>
      <c r="O764" s="706"/>
      <c r="P764" s="706"/>
    </row>
    <row r="765" spans="1:16">
      <c r="A765" s="706">
        <v>104462</v>
      </c>
      <c r="B765" s="706" t="s">
        <v>2481</v>
      </c>
      <c r="D765" s="706" t="s">
        <v>1841</v>
      </c>
      <c r="H765" s="1191"/>
      <c r="I765" s="706" t="s">
        <v>2371</v>
      </c>
      <c r="M765" s="706"/>
      <c r="N765" s="706"/>
      <c r="O765" s="706"/>
      <c r="P765" s="706"/>
    </row>
    <row r="766" spans="1:16">
      <c r="A766" s="706">
        <v>104463</v>
      </c>
      <c r="B766" s="706" t="s">
        <v>2480</v>
      </c>
      <c r="D766" s="706" t="s">
        <v>1841</v>
      </c>
      <c r="H766" s="1191"/>
      <c r="I766" s="706" t="s">
        <v>2373</v>
      </c>
      <c r="M766" s="706"/>
      <c r="N766" s="706"/>
      <c r="O766" s="706"/>
      <c r="P766" s="706"/>
    </row>
    <row r="767" spans="1:16">
      <c r="A767" s="706">
        <v>104464</v>
      </c>
      <c r="B767" s="706" t="s">
        <v>2481</v>
      </c>
      <c r="D767" s="706" t="s">
        <v>1841</v>
      </c>
      <c r="H767" s="1191"/>
      <c r="I767" s="706" t="s">
        <v>2373</v>
      </c>
      <c r="M767" s="706"/>
      <c r="N767" s="706"/>
      <c r="O767" s="706"/>
      <c r="P767" s="706"/>
    </row>
    <row r="768" spans="1:16">
      <c r="A768" s="706">
        <v>104465</v>
      </c>
      <c r="B768" s="706" t="s">
        <v>2480</v>
      </c>
      <c r="D768" s="706" t="s">
        <v>1841</v>
      </c>
      <c r="H768" s="1191"/>
      <c r="I768" s="706" t="s">
        <v>2374</v>
      </c>
      <c r="M768" s="706"/>
      <c r="N768" s="706"/>
      <c r="O768" s="706"/>
      <c r="P768" s="706"/>
    </row>
    <row r="769" spans="1:16">
      <c r="A769" s="706">
        <v>104466</v>
      </c>
      <c r="B769" s="706" t="s">
        <v>2481</v>
      </c>
      <c r="D769" s="706" t="s">
        <v>1841</v>
      </c>
      <c r="H769" s="1191"/>
      <c r="I769" s="706" t="s">
        <v>2374</v>
      </c>
      <c r="M769" s="706"/>
      <c r="N769" s="706"/>
      <c r="O769" s="706"/>
      <c r="P769" s="706"/>
    </row>
    <row r="770" spans="1:16">
      <c r="A770" s="706">
        <v>104467</v>
      </c>
      <c r="B770" s="706" t="s">
        <v>2482</v>
      </c>
      <c r="D770" s="706" t="s">
        <v>1841</v>
      </c>
      <c r="H770" s="1191"/>
      <c r="I770" s="706" t="s">
        <v>2371</v>
      </c>
      <c r="M770" s="706"/>
      <c r="N770" s="706"/>
      <c r="O770" s="706"/>
      <c r="P770" s="706"/>
    </row>
    <row r="771" spans="1:16">
      <c r="A771" s="706">
        <v>104468</v>
      </c>
      <c r="B771" s="706" t="s">
        <v>2483</v>
      </c>
      <c r="D771" s="706" t="s">
        <v>1841</v>
      </c>
      <c r="H771" s="1191"/>
      <c r="I771" s="706" t="s">
        <v>2371</v>
      </c>
      <c r="M771" s="706"/>
      <c r="N771" s="706"/>
      <c r="O771" s="706"/>
      <c r="P771" s="706"/>
    </row>
    <row r="772" spans="1:16">
      <c r="A772" s="706">
        <v>104469</v>
      </c>
      <c r="B772" s="706" t="s">
        <v>2482</v>
      </c>
      <c r="D772" s="706" t="s">
        <v>1841</v>
      </c>
      <c r="H772" s="1191"/>
      <c r="I772" s="706" t="s">
        <v>2373</v>
      </c>
      <c r="M772" s="706"/>
      <c r="N772" s="706"/>
      <c r="O772" s="706"/>
      <c r="P772" s="706"/>
    </row>
    <row r="773" spans="1:16">
      <c r="A773" s="706">
        <v>104470</v>
      </c>
      <c r="B773" s="706" t="s">
        <v>2483</v>
      </c>
      <c r="D773" s="706" t="s">
        <v>1841</v>
      </c>
      <c r="H773" s="1191"/>
      <c r="I773" s="706" t="s">
        <v>2373</v>
      </c>
      <c r="M773" s="706"/>
      <c r="N773" s="706"/>
      <c r="O773" s="706"/>
      <c r="P773" s="706"/>
    </row>
    <row r="774" spans="1:16">
      <c r="A774" s="706">
        <v>104471</v>
      </c>
      <c r="B774" s="706" t="s">
        <v>2482</v>
      </c>
      <c r="D774" s="706" t="s">
        <v>1841</v>
      </c>
      <c r="H774" s="1191"/>
      <c r="I774" s="706" t="s">
        <v>2374</v>
      </c>
      <c r="M774" s="706"/>
      <c r="N774" s="706"/>
      <c r="O774" s="706"/>
      <c r="P774" s="706"/>
    </row>
    <row r="775" spans="1:16">
      <c r="A775" s="706">
        <v>104472</v>
      </c>
      <c r="B775" s="706" t="s">
        <v>2483</v>
      </c>
      <c r="D775" s="706" t="s">
        <v>1841</v>
      </c>
      <c r="H775" s="1191"/>
      <c r="I775" s="706" t="s">
        <v>2374</v>
      </c>
      <c r="M775" s="706"/>
      <c r="N775" s="706"/>
      <c r="O775" s="706"/>
      <c r="P775" s="706"/>
    </row>
    <row r="776" spans="1:16">
      <c r="A776" s="706">
        <v>104473</v>
      </c>
      <c r="B776" s="706" t="s">
        <v>2484</v>
      </c>
      <c r="D776" s="706" t="s">
        <v>1841</v>
      </c>
      <c r="H776" s="1191"/>
      <c r="I776" s="706" t="s">
        <v>2371</v>
      </c>
      <c r="M776" s="706"/>
      <c r="N776" s="706"/>
      <c r="O776" s="706"/>
      <c r="P776" s="706"/>
    </row>
    <row r="777" spans="1:16">
      <c r="A777" s="706">
        <v>104474</v>
      </c>
      <c r="B777" s="706" t="s">
        <v>2485</v>
      </c>
      <c r="D777" s="706" t="s">
        <v>1841</v>
      </c>
      <c r="H777" s="1191"/>
      <c r="I777" s="706" t="s">
        <v>2371</v>
      </c>
      <c r="M777" s="706"/>
      <c r="N777" s="706"/>
      <c r="O777" s="706"/>
      <c r="P777" s="706"/>
    </row>
    <row r="778" spans="1:16">
      <c r="A778" s="706">
        <v>104475</v>
      </c>
      <c r="B778" s="706" t="s">
        <v>2484</v>
      </c>
      <c r="D778" s="706" t="s">
        <v>1841</v>
      </c>
      <c r="H778" s="1191"/>
      <c r="I778" s="706" t="s">
        <v>2373</v>
      </c>
      <c r="M778" s="706"/>
      <c r="N778" s="706"/>
      <c r="O778" s="706"/>
      <c r="P778" s="706"/>
    </row>
    <row r="779" spans="1:16">
      <c r="A779" s="706">
        <v>104476</v>
      </c>
      <c r="B779" s="706" t="s">
        <v>2485</v>
      </c>
      <c r="D779" s="706" t="s">
        <v>1841</v>
      </c>
      <c r="H779" s="1191"/>
      <c r="I779" s="706" t="s">
        <v>2373</v>
      </c>
      <c r="M779" s="706"/>
      <c r="N779" s="706"/>
      <c r="O779" s="706"/>
      <c r="P779" s="706"/>
    </row>
    <row r="780" spans="1:16">
      <c r="A780" s="706">
        <v>104477</v>
      </c>
      <c r="B780" s="706" t="s">
        <v>2484</v>
      </c>
      <c r="D780" s="706" t="s">
        <v>1841</v>
      </c>
      <c r="H780" s="1191"/>
      <c r="I780" s="706" t="s">
        <v>2374</v>
      </c>
      <c r="M780" s="706"/>
      <c r="N780" s="706"/>
      <c r="O780" s="706"/>
      <c r="P780" s="706"/>
    </row>
    <row r="781" spans="1:16">
      <c r="A781" s="706">
        <v>104478</v>
      </c>
      <c r="B781" s="706" t="s">
        <v>2485</v>
      </c>
      <c r="D781" s="706" t="s">
        <v>1841</v>
      </c>
      <c r="H781" s="1191"/>
      <c r="I781" s="706" t="s">
        <v>2374</v>
      </c>
      <c r="M781" s="706"/>
      <c r="N781" s="706"/>
      <c r="O781" s="706"/>
      <c r="P781" s="706"/>
    </row>
    <row r="782" spans="1:16">
      <c r="A782" s="706">
        <v>104479</v>
      </c>
      <c r="B782" s="706" t="s">
        <v>2486</v>
      </c>
      <c r="D782" s="706" t="s">
        <v>1841</v>
      </c>
      <c r="H782" s="1191"/>
      <c r="I782" s="706" t="s">
        <v>2371</v>
      </c>
      <c r="M782" s="706"/>
      <c r="N782" s="706"/>
      <c r="O782" s="706"/>
      <c r="P782" s="706"/>
    </row>
    <row r="783" spans="1:16">
      <c r="A783" s="706">
        <v>104480</v>
      </c>
      <c r="B783" s="706" t="s">
        <v>2487</v>
      </c>
      <c r="D783" s="706" t="s">
        <v>1841</v>
      </c>
      <c r="H783" s="1191"/>
      <c r="I783" s="706" t="s">
        <v>2371</v>
      </c>
      <c r="M783" s="706"/>
      <c r="N783" s="706"/>
      <c r="O783" s="706"/>
      <c r="P783" s="706"/>
    </row>
    <row r="784" spans="1:16">
      <c r="A784" s="706">
        <v>104481</v>
      </c>
      <c r="B784" s="706" t="s">
        <v>2486</v>
      </c>
      <c r="D784" s="706" t="s">
        <v>1841</v>
      </c>
      <c r="H784" s="1191"/>
      <c r="I784" s="706" t="s">
        <v>2373</v>
      </c>
      <c r="M784" s="706"/>
      <c r="N784" s="706"/>
      <c r="O784" s="706"/>
      <c r="P784" s="706"/>
    </row>
    <row r="785" spans="1:16">
      <c r="A785" s="706">
        <v>104482</v>
      </c>
      <c r="B785" s="706" t="s">
        <v>2487</v>
      </c>
      <c r="D785" s="706" t="s">
        <v>1841</v>
      </c>
      <c r="H785" s="1191"/>
      <c r="I785" s="706" t="s">
        <v>2373</v>
      </c>
      <c r="M785" s="706"/>
      <c r="N785" s="706"/>
      <c r="O785" s="706"/>
      <c r="P785" s="706"/>
    </row>
    <row r="786" spans="1:16">
      <c r="A786" s="706">
        <v>104483</v>
      </c>
      <c r="B786" s="706" t="s">
        <v>2486</v>
      </c>
      <c r="D786" s="706" t="s">
        <v>1841</v>
      </c>
      <c r="H786" s="1191"/>
      <c r="I786" s="706" t="s">
        <v>2374</v>
      </c>
      <c r="M786" s="706"/>
      <c r="N786" s="706"/>
      <c r="O786" s="706"/>
      <c r="P786" s="706"/>
    </row>
    <row r="787" spans="1:16">
      <c r="A787" s="706">
        <v>104484</v>
      </c>
      <c r="B787" s="706" t="s">
        <v>2487</v>
      </c>
      <c r="D787" s="706" t="s">
        <v>1841</v>
      </c>
      <c r="H787" s="1191"/>
      <c r="I787" s="706" t="s">
        <v>2374</v>
      </c>
      <c r="M787" s="706"/>
      <c r="N787" s="706"/>
      <c r="O787" s="706"/>
      <c r="P787" s="706"/>
    </row>
    <row r="788" spans="1:16">
      <c r="A788" s="706">
        <v>104485</v>
      </c>
      <c r="B788" s="706" t="s">
        <v>2488</v>
      </c>
      <c r="D788" s="706" t="s">
        <v>1841</v>
      </c>
      <c r="H788" s="1191"/>
      <c r="I788" s="706" t="s">
        <v>2371</v>
      </c>
      <c r="M788" s="706"/>
      <c r="N788" s="706"/>
      <c r="O788" s="706"/>
      <c r="P788" s="706"/>
    </row>
    <row r="789" spans="1:16">
      <c r="A789" s="706">
        <v>104486</v>
      </c>
      <c r="B789" s="706" t="s">
        <v>2489</v>
      </c>
      <c r="D789" s="706" t="s">
        <v>1841</v>
      </c>
      <c r="H789" s="1191"/>
      <c r="I789" s="706" t="s">
        <v>2371</v>
      </c>
      <c r="M789" s="706"/>
      <c r="N789" s="706"/>
      <c r="O789" s="706"/>
      <c r="P789" s="706"/>
    </row>
    <row r="790" spans="1:16">
      <c r="A790" s="706">
        <v>104487</v>
      </c>
      <c r="B790" s="706" t="s">
        <v>2488</v>
      </c>
      <c r="D790" s="706" t="s">
        <v>1841</v>
      </c>
      <c r="H790" s="1191"/>
      <c r="I790" s="706" t="s">
        <v>2373</v>
      </c>
      <c r="M790" s="706"/>
      <c r="N790" s="706"/>
      <c r="O790" s="706"/>
      <c r="P790" s="706"/>
    </row>
    <row r="791" spans="1:16">
      <c r="A791" s="706">
        <v>104488</v>
      </c>
      <c r="B791" s="706" t="s">
        <v>2489</v>
      </c>
      <c r="D791" s="706" t="s">
        <v>1841</v>
      </c>
      <c r="H791" s="1191"/>
      <c r="I791" s="706" t="s">
        <v>2373</v>
      </c>
      <c r="M791" s="706"/>
      <c r="N791" s="706"/>
      <c r="O791" s="706"/>
      <c r="P791" s="706"/>
    </row>
    <row r="792" spans="1:16">
      <c r="A792" s="706">
        <v>104489</v>
      </c>
      <c r="B792" s="706" t="s">
        <v>2488</v>
      </c>
      <c r="D792" s="706" t="s">
        <v>1841</v>
      </c>
      <c r="H792" s="1191"/>
      <c r="I792" s="706" t="s">
        <v>2374</v>
      </c>
      <c r="M792" s="706"/>
      <c r="N792" s="706"/>
      <c r="O792" s="706"/>
      <c r="P792" s="706"/>
    </row>
    <row r="793" spans="1:16">
      <c r="A793" s="706">
        <v>104490</v>
      </c>
      <c r="B793" s="706" t="s">
        <v>2489</v>
      </c>
      <c r="D793" s="706" t="s">
        <v>1841</v>
      </c>
      <c r="H793" s="1191"/>
      <c r="I793" s="706" t="s">
        <v>2374</v>
      </c>
      <c r="M793" s="706"/>
      <c r="N793" s="706"/>
      <c r="O793" s="706"/>
      <c r="P793" s="706"/>
    </row>
    <row r="794" spans="1:16">
      <c r="A794" s="706">
        <v>104491</v>
      </c>
      <c r="B794" s="706" t="s">
        <v>2490</v>
      </c>
      <c r="D794" s="706" t="s">
        <v>1841</v>
      </c>
      <c r="H794" s="1191"/>
      <c r="I794" s="706" t="s">
        <v>2371</v>
      </c>
      <c r="M794" s="706"/>
      <c r="N794" s="706"/>
      <c r="O794" s="706"/>
      <c r="P794" s="706"/>
    </row>
    <row r="795" spans="1:16">
      <c r="A795" s="706">
        <v>104492</v>
      </c>
      <c r="B795" s="706" t="s">
        <v>2491</v>
      </c>
      <c r="D795" s="706" t="s">
        <v>1841</v>
      </c>
      <c r="H795" s="1191"/>
      <c r="I795" s="706" t="s">
        <v>2371</v>
      </c>
      <c r="M795" s="706"/>
      <c r="N795" s="706"/>
      <c r="O795" s="706"/>
      <c r="P795" s="706"/>
    </row>
    <row r="796" spans="1:16">
      <c r="A796" s="706">
        <v>104493</v>
      </c>
      <c r="B796" s="706" t="s">
        <v>2490</v>
      </c>
      <c r="D796" s="706" t="s">
        <v>1841</v>
      </c>
      <c r="H796" s="1191"/>
      <c r="I796" s="706" t="s">
        <v>2373</v>
      </c>
      <c r="M796" s="706"/>
      <c r="N796" s="706"/>
      <c r="O796" s="706"/>
      <c r="P796" s="706"/>
    </row>
    <row r="797" spans="1:16">
      <c r="A797" s="706">
        <v>104494</v>
      </c>
      <c r="B797" s="706" t="s">
        <v>2491</v>
      </c>
      <c r="D797" s="706" t="s">
        <v>1841</v>
      </c>
      <c r="H797" s="1191"/>
      <c r="I797" s="706" t="s">
        <v>2373</v>
      </c>
      <c r="M797" s="706"/>
      <c r="N797" s="706"/>
      <c r="O797" s="706"/>
      <c r="P797" s="706"/>
    </row>
    <row r="798" spans="1:16">
      <c r="A798" s="706">
        <v>104495</v>
      </c>
      <c r="B798" s="706" t="s">
        <v>2490</v>
      </c>
      <c r="D798" s="706" t="s">
        <v>1841</v>
      </c>
      <c r="H798" s="1191"/>
      <c r="I798" s="706" t="s">
        <v>2374</v>
      </c>
      <c r="M798" s="706"/>
      <c r="N798" s="706"/>
      <c r="O798" s="706"/>
      <c r="P798" s="706"/>
    </row>
    <row r="799" spans="1:16">
      <c r="A799" s="706">
        <v>104496</v>
      </c>
      <c r="B799" s="706" t="s">
        <v>2491</v>
      </c>
      <c r="D799" s="706" t="s">
        <v>1841</v>
      </c>
      <c r="H799" s="1191"/>
      <c r="I799" s="706" t="s">
        <v>2374</v>
      </c>
      <c r="M799" s="706"/>
      <c r="N799" s="706"/>
      <c r="O799" s="706"/>
      <c r="P799" s="706"/>
    </row>
    <row r="800" spans="1:16">
      <c r="A800" s="706">
        <v>104497</v>
      </c>
      <c r="B800" s="706" t="s">
        <v>2492</v>
      </c>
      <c r="D800" s="706" t="s">
        <v>1841</v>
      </c>
      <c r="H800" s="1191"/>
      <c r="I800" s="706" t="s">
        <v>2371</v>
      </c>
      <c r="M800" s="706"/>
      <c r="N800" s="706"/>
      <c r="O800" s="706"/>
      <c r="P800" s="706"/>
    </row>
    <row r="801" spans="1:16">
      <c r="A801" s="706">
        <v>104498</v>
      </c>
      <c r="B801" s="706" t="s">
        <v>2493</v>
      </c>
      <c r="D801" s="706" t="s">
        <v>1841</v>
      </c>
      <c r="H801" s="1191"/>
      <c r="I801" s="706" t="s">
        <v>2371</v>
      </c>
      <c r="M801" s="706"/>
      <c r="N801" s="706"/>
      <c r="O801" s="706"/>
      <c r="P801" s="706"/>
    </row>
    <row r="802" spans="1:16">
      <c r="A802" s="706">
        <v>104499</v>
      </c>
      <c r="B802" s="706" t="s">
        <v>2492</v>
      </c>
      <c r="D802" s="706" t="s">
        <v>1841</v>
      </c>
      <c r="H802" s="1191"/>
      <c r="I802" s="706" t="s">
        <v>2373</v>
      </c>
      <c r="M802" s="706"/>
      <c r="N802" s="706"/>
      <c r="O802" s="706"/>
      <c r="P802" s="706"/>
    </row>
    <row r="803" spans="1:16">
      <c r="A803" s="706">
        <v>104500</v>
      </c>
      <c r="B803" s="706" t="s">
        <v>2493</v>
      </c>
      <c r="D803" s="706" t="s">
        <v>1841</v>
      </c>
      <c r="H803" s="1191"/>
      <c r="I803" s="706" t="s">
        <v>2373</v>
      </c>
      <c r="M803" s="706"/>
      <c r="N803" s="706"/>
      <c r="O803" s="706"/>
      <c r="P803" s="706"/>
    </row>
    <row r="804" spans="1:16">
      <c r="A804" s="706">
        <v>104501</v>
      </c>
      <c r="B804" s="706" t="s">
        <v>2492</v>
      </c>
      <c r="D804" s="706" t="s">
        <v>1841</v>
      </c>
      <c r="H804" s="1191"/>
      <c r="I804" s="706" t="s">
        <v>2374</v>
      </c>
      <c r="M804" s="706"/>
      <c r="N804" s="706"/>
      <c r="O804" s="706"/>
      <c r="P804" s="706"/>
    </row>
    <row r="805" spans="1:16">
      <c r="A805" s="706">
        <v>104502</v>
      </c>
      <c r="B805" s="706" t="s">
        <v>2493</v>
      </c>
      <c r="D805" s="706" t="s">
        <v>1841</v>
      </c>
      <c r="H805" s="1191"/>
      <c r="I805" s="706" t="s">
        <v>2374</v>
      </c>
      <c r="M805" s="706"/>
      <c r="N805" s="706"/>
      <c r="O805" s="706"/>
      <c r="P805" s="706"/>
    </row>
    <row r="806" spans="1:16">
      <c r="A806" s="706">
        <v>104503</v>
      </c>
      <c r="B806" s="706" t="s">
        <v>2494</v>
      </c>
      <c r="D806" s="706" t="s">
        <v>1841</v>
      </c>
      <c r="H806" s="1191"/>
      <c r="I806" s="706" t="s">
        <v>2359</v>
      </c>
      <c r="M806" s="706"/>
      <c r="N806" s="706"/>
      <c r="O806" s="706"/>
      <c r="P806" s="706"/>
    </row>
    <row r="807" spans="1:16">
      <c r="A807" s="706">
        <v>104504</v>
      </c>
      <c r="B807" s="706" t="s">
        <v>2495</v>
      </c>
      <c r="D807" s="706" t="s">
        <v>1841</v>
      </c>
      <c r="H807" s="1191"/>
      <c r="I807" s="706" t="s">
        <v>2359</v>
      </c>
      <c r="M807" s="706"/>
      <c r="N807" s="706"/>
      <c r="O807" s="706"/>
      <c r="P807" s="706"/>
    </row>
    <row r="808" spans="1:16">
      <c r="A808" s="706">
        <v>104505</v>
      </c>
      <c r="B808" s="706" t="s">
        <v>2496</v>
      </c>
      <c r="C808" s="706" t="s">
        <v>8189</v>
      </c>
      <c r="D808" s="706" t="s">
        <v>1841</v>
      </c>
      <c r="E808" s="706">
        <v>54</v>
      </c>
      <c r="F808" s="706" t="s">
        <v>28</v>
      </c>
      <c r="G808" s="706">
        <v>411572</v>
      </c>
      <c r="H808" s="1191">
        <v>46042</v>
      </c>
      <c r="I808" s="706" t="s">
        <v>2359</v>
      </c>
      <c r="M808" s="706"/>
      <c r="N808" s="706"/>
      <c r="O808" s="706"/>
      <c r="P808" s="706"/>
    </row>
    <row r="809" spans="1:16">
      <c r="A809" s="706">
        <v>104506</v>
      </c>
      <c r="B809" s="706" t="s">
        <v>2497</v>
      </c>
      <c r="C809" s="706" t="s">
        <v>8189</v>
      </c>
      <c r="D809" s="706" t="s">
        <v>1841</v>
      </c>
      <c r="E809" s="706">
        <v>60</v>
      </c>
      <c r="F809" s="706" t="s">
        <v>28</v>
      </c>
      <c r="G809" s="706">
        <v>410446</v>
      </c>
      <c r="H809" s="1191">
        <v>45817</v>
      </c>
      <c r="I809" s="706" t="s">
        <v>2359</v>
      </c>
      <c r="M809" s="706"/>
      <c r="N809" s="706"/>
      <c r="O809" s="706"/>
      <c r="P809" s="706"/>
    </row>
    <row r="810" spans="1:16">
      <c r="A810" s="706">
        <v>104507</v>
      </c>
      <c r="B810" s="706" t="s">
        <v>2498</v>
      </c>
      <c r="D810" s="706" t="s">
        <v>1841</v>
      </c>
      <c r="H810" s="1191"/>
      <c r="I810" s="706" t="s">
        <v>2359</v>
      </c>
      <c r="M810" s="706"/>
      <c r="N810" s="706"/>
      <c r="O810" s="706"/>
      <c r="P810" s="706"/>
    </row>
    <row r="811" spans="1:16">
      <c r="A811" s="706">
        <v>104508</v>
      </c>
      <c r="B811" s="706" t="s">
        <v>2499</v>
      </c>
      <c r="D811" s="706" t="s">
        <v>1841</v>
      </c>
      <c r="H811" s="1191"/>
      <c r="I811" s="706" t="s">
        <v>2359</v>
      </c>
      <c r="M811" s="706"/>
      <c r="N811" s="706"/>
      <c r="O811" s="706"/>
      <c r="P811" s="706"/>
    </row>
    <row r="812" spans="1:16">
      <c r="A812" s="706">
        <v>104509</v>
      </c>
      <c r="B812" s="706" t="s">
        <v>2500</v>
      </c>
      <c r="D812" s="706" t="s">
        <v>1841</v>
      </c>
      <c r="H812" s="1191"/>
      <c r="I812" s="706" t="s">
        <v>2359</v>
      </c>
      <c r="M812" s="706"/>
      <c r="N812" s="706"/>
      <c r="O812" s="706"/>
      <c r="P812" s="706"/>
    </row>
    <row r="813" spans="1:16">
      <c r="A813" s="706">
        <v>104510</v>
      </c>
      <c r="B813" s="706" t="s">
        <v>2501</v>
      </c>
      <c r="D813" s="706" t="s">
        <v>1841</v>
      </c>
      <c r="H813" s="1191"/>
      <c r="I813" s="706" t="s">
        <v>2359</v>
      </c>
      <c r="M813" s="706"/>
      <c r="N813" s="706"/>
      <c r="O813" s="706"/>
      <c r="P813" s="706"/>
    </row>
    <row r="814" spans="1:16">
      <c r="A814" s="706">
        <v>104511</v>
      </c>
      <c r="B814" s="706" t="s">
        <v>2502</v>
      </c>
      <c r="D814" s="706" t="s">
        <v>1841</v>
      </c>
      <c r="H814" s="1191"/>
      <c r="I814" s="706" t="s">
        <v>2359</v>
      </c>
      <c r="M814" s="706"/>
      <c r="N814" s="706"/>
      <c r="O814" s="706"/>
      <c r="P814" s="706"/>
    </row>
    <row r="815" spans="1:16">
      <c r="A815" s="706">
        <v>104512</v>
      </c>
      <c r="B815" s="706" t="s">
        <v>2503</v>
      </c>
      <c r="C815" s="706" t="s">
        <v>2504</v>
      </c>
      <c r="D815" s="706" t="s">
        <v>1841</v>
      </c>
      <c r="E815" s="706">
        <v>450.28640000000001</v>
      </c>
      <c r="F815" s="706" t="s">
        <v>28</v>
      </c>
      <c r="G815" s="706">
        <v>402003</v>
      </c>
      <c r="H815" s="1191">
        <v>44146</v>
      </c>
      <c r="I815" s="706" t="s">
        <v>2359</v>
      </c>
      <c r="M815" s="706"/>
      <c r="N815" s="706"/>
      <c r="O815" s="706"/>
      <c r="P815" s="706"/>
    </row>
    <row r="816" spans="1:16">
      <c r="A816" s="706">
        <v>104513</v>
      </c>
      <c r="B816" s="706" t="s">
        <v>2505</v>
      </c>
      <c r="D816" s="706" t="s">
        <v>1841</v>
      </c>
      <c r="H816" s="1191"/>
      <c r="I816" s="706" t="s">
        <v>2359</v>
      </c>
      <c r="M816" s="706"/>
      <c r="N816" s="706"/>
      <c r="O816" s="706"/>
      <c r="P816" s="706"/>
    </row>
    <row r="817" spans="1:16">
      <c r="A817" s="706">
        <v>104514</v>
      </c>
      <c r="B817" s="706" t="s">
        <v>2506</v>
      </c>
      <c r="C817" s="706" t="s">
        <v>8189</v>
      </c>
      <c r="D817" s="706" t="s">
        <v>1841</v>
      </c>
      <c r="E817" s="706">
        <v>325</v>
      </c>
      <c r="F817" s="706" t="s">
        <v>28</v>
      </c>
      <c r="G817" s="706">
        <v>410868</v>
      </c>
      <c r="H817" s="1191">
        <v>45897</v>
      </c>
      <c r="I817" s="706" t="s">
        <v>2359</v>
      </c>
      <c r="M817" s="706"/>
      <c r="N817" s="706"/>
      <c r="O817" s="706"/>
      <c r="P817" s="706"/>
    </row>
    <row r="818" spans="1:16">
      <c r="A818" s="706">
        <v>104515</v>
      </c>
      <c r="B818" s="706" t="s">
        <v>2507</v>
      </c>
      <c r="D818" s="706" t="s">
        <v>1841</v>
      </c>
      <c r="H818" s="1191"/>
      <c r="I818" s="706" t="s">
        <v>2359</v>
      </c>
      <c r="M818" s="706"/>
      <c r="N818" s="706"/>
      <c r="O818" s="706"/>
      <c r="P818" s="706"/>
    </row>
    <row r="819" spans="1:16">
      <c r="A819" s="706">
        <v>104516</v>
      </c>
      <c r="B819" s="706" t="s">
        <v>2508</v>
      </c>
      <c r="D819" s="706" t="s">
        <v>1841</v>
      </c>
      <c r="H819" s="1191"/>
      <c r="I819" s="706" t="s">
        <v>2359</v>
      </c>
      <c r="M819" s="706"/>
      <c r="N819" s="706"/>
      <c r="O819" s="706"/>
      <c r="P819" s="706"/>
    </row>
    <row r="820" spans="1:16">
      <c r="A820" s="706">
        <v>104517</v>
      </c>
      <c r="B820" s="706" t="s">
        <v>2509</v>
      </c>
      <c r="D820" s="706" t="s">
        <v>1841</v>
      </c>
      <c r="H820" s="1191"/>
      <c r="I820" s="706" t="s">
        <v>2359</v>
      </c>
      <c r="M820" s="706"/>
      <c r="N820" s="706"/>
      <c r="O820" s="706"/>
      <c r="P820" s="706"/>
    </row>
    <row r="821" spans="1:16">
      <c r="A821" s="706">
        <v>104518</v>
      </c>
      <c r="B821" s="706" t="s">
        <v>2510</v>
      </c>
      <c r="C821" s="706" t="s">
        <v>8189</v>
      </c>
      <c r="D821" s="706" t="s">
        <v>1841</v>
      </c>
      <c r="E821" s="706">
        <v>73</v>
      </c>
      <c r="F821" s="706" t="s">
        <v>28</v>
      </c>
      <c r="G821" s="706">
        <v>411906</v>
      </c>
      <c r="H821" s="1191">
        <v>46091</v>
      </c>
      <c r="I821" s="706" t="s">
        <v>2359</v>
      </c>
      <c r="M821" s="706"/>
      <c r="N821" s="706"/>
      <c r="O821" s="706"/>
      <c r="P821" s="706"/>
    </row>
    <row r="822" spans="1:16">
      <c r="A822" s="706">
        <v>104519</v>
      </c>
      <c r="B822" s="706" t="s">
        <v>2511</v>
      </c>
      <c r="C822" s="706" t="s">
        <v>8189</v>
      </c>
      <c r="D822" s="706" t="s">
        <v>1841</v>
      </c>
      <c r="E822" s="706">
        <v>297</v>
      </c>
      <c r="F822" s="706" t="s">
        <v>28</v>
      </c>
      <c r="G822" s="706">
        <v>406836</v>
      </c>
      <c r="H822" s="1191">
        <v>45113</v>
      </c>
      <c r="I822" s="706" t="s">
        <v>2359</v>
      </c>
      <c r="M822" s="706"/>
      <c r="N822" s="706"/>
      <c r="O822" s="706"/>
      <c r="P822" s="706"/>
    </row>
    <row r="823" spans="1:16">
      <c r="A823" s="706">
        <v>104520</v>
      </c>
      <c r="B823" s="706" t="s">
        <v>2512</v>
      </c>
      <c r="D823" s="706" t="s">
        <v>1841</v>
      </c>
      <c r="H823" s="1191"/>
      <c r="I823" s="706" t="s">
        <v>2359</v>
      </c>
      <c r="M823" s="706"/>
      <c r="N823" s="706"/>
      <c r="O823" s="706"/>
      <c r="P823" s="706"/>
    </row>
    <row r="824" spans="1:16">
      <c r="A824" s="706">
        <v>104521</v>
      </c>
      <c r="B824" s="706" t="s">
        <v>2513</v>
      </c>
      <c r="D824" s="706" t="s">
        <v>1841</v>
      </c>
      <c r="H824" s="1191"/>
      <c r="I824" s="706" t="s">
        <v>2359</v>
      </c>
      <c r="M824" s="706"/>
      <c r="N824" s="706"/>
      <c r="O824" s="706"/>
      <c r="P824" s="706"/>
    </row>
    <row r="825" spans="1:16">
      <c r="A825" s="706">
        <v>104522</v>
      </c>
      <c r="B825" s="706" t="s">
        <v>2514</v>
      </c>
      <c r="D825" s="706" t="s">
        <v>1841</v>
      </c>
      <c r="H825" s="1191"/>
      <c r="I825" s="706" t="s">
        <v>2359</v>
      </c>
      <c r="M825" s="706"/>
      <c r="N825" s="706"/>
      <c r="O825" s="706"/>
      <c r="P825" s="706"/>
    </row>
    <row r="826" spans="1:16">
      <c r="A826" s="706">
        <v>104523</v>
      </c>
      <c r="B826" s="706" t="s">
        <v>2515</v>
      </c>
      <c r="D826" s="706" t="s">
        <v>1841</v>
      </c>
      <c r="H826" s="1191"/>
      <c r="I826" s="706" t="s">
        <v>2359</v>
      </c>
      <c r="M826" s="706"/>
      <c r="N826" s="706"/>
      <c r="O826" s="706"/>
      <c r="P826" s="706"/>
    </row>
    <row r="827" spans="1:16">
      <c r="A827" s="706">
        <v>104524</v>
      </c>
      <c r="B827" s="706" t="s">
        <v>2516</v>
      </c>
      <c r="C827" s="706" t="s">
        <v>8189</v>
      </c>
      <c r="D827" s="706" t="s">
        <v>1841</v>
      </c>
      <c r="E827" s="706">
        <v>230</v>
      </c>
      <c r="F827" s="706" t="s">
        <v>28</v>
      </c>
      <c r="G827" s="706">
        <v>410992</v>
      </c>
      <c r="H827" s="1191">
        <v>45919</v>
      </c>
      <c r="I827" s="706" t="s">
        <v>2359</v>
      </c>
      <c r="M827" s="706"/>
      <c r="N827" s="706"/>
      <c r="O827" s="706"/>
      <c r="P827" s="706"/>
    </row>
    <row r="828" spans="1:16">
      <c r="A828" s="706">
        <v>104525</v>
      </c>
      <c r="B828" s="706" t="s">
        <v>2517</v>
      </c>
      <c r="C828" s="706" t="s">
        <v>8189</v>
      </c>
      <c r="D828" s="706" t="s">
        <v>1841</v>
      </c>
      <c r="E828" s="706">
        <v>230</v>
      </c>
      <c r="F828" s="706" t="s">
        <v>28</v>
      </c>
      <c r="G828" s="706">
        <v>407495</v>
      </c>
      <c r="H828" s="1191">
        <v>45243</v>
      </c>
      <c r="I828" s="706" t="s">
        <v>2359</v>
      </c>
      <c r="M828" s="706"/>
      <c r="N828" s="706"/>
      <c r="O828" s="706"/>
      <c r="P828" s="706"/>
    </row>
    <row r="829" spans="1:16">
      <c r="A829" s="706">
        <v>104526</v>
      </c>
      <c r="B829" s="706" t="s">
        <v>2518</v>
      </c>
      <c r="D829" s="706" t="s">
        <v>1841</v>
      </c>
      <c r="H829" s="1191"/>
      <c r="I829" s="706" t="s">
        <v>2359</v>
      </c>
      <c r="M829" s="706"/>
      <c r="N829" s="706"/>
      <c r="O829" s="706"/>
      <c r="P829" s="706"/>
    </row>
    <row r="830" spans="1:16">
      <c r="A830" s="706">
        <v>104527</v>
      </c>
      <c r="B830" s="706" t="s">
        <v>2519</v>
      </c>
      <c r="D830" s="706" t="s">
        <v>1841</v>
      </c>
      <c r="H830" s="1191"/>
      <c r="I830" s="706" t="s">
        <v>2359</v>
      </c>
      <c r="M830" s="706"/>
      <c r="N830" s="706"/>
      <c r="O830" s="706"/>
      <c r="P830" s="706"/>
    </row>
    <row r="831" spans="1:16">
      <c r="A831" s="706">
        <v>104528</v>
      </c>
      <c r="B831" s="706" t="s">
        <v>2520</v>
      </c>
      <c r="C831" s="706" t="s">
        <v>8189</v>
      </c>
      <c r="D831" s="706" t="s">
        <v>1841</v>
      </c>
      <c r="E831" s="706">
        <v>168</v>
      </c>
      <c r="F831" s="706" t="s">
        <v>28</v>
      </c>
      <c r="G831" s="706">
        <v>410713</v>
      </c>
      <c r="H831" s="1191">
        <v>45875</v>
      </c>
      <c r="I831" s="706" t="s">
        <v>2359</v>
      </c>
      <c r="M831" s="706"/>
      <c r="N831" s="706"/>
      <c r="O831" s="706"/>
      <c r="P831" s="706"/>
    </row>
    <row r="832" spans="1:16">
      <c r="A832" s="706">
        <v>104529</v>
      </c>
      <c r="B832" s="706" t="s">
        <v>2521</v>
      </c>
      <c r="C832" s="706" t="s">
        <v>8189</v>
      </c>
      <c r="D832" s="706" t="s">
        <v>1841</v>
      </c>
      <c r="E832" s="706">
        <v>168</v>
      </c>
      <c r="F832" s="706" t="s">
        <v>28</v>
      </c>
      <c r="G832" s="706">
        <v>410513</v>
      </c>
      <c r="H832" s="1191">
        <v>45831</v>
      </c>
      <c r="I832" s="706" t="s">
        <v>2359</v>
      </c>
      <c r="M832" s="706"/>
      <c r="N832" s="706"/>
      <c r="O832" s="706"/>
      <c r="P832" s="706"/>
    </row>
    <row r="833" spans="1:16">
      <c r="A833" s="706">
        <v>104530</v>
      </c>
      <c r="B833" s="706" t="s">
        <v>2522</v>
      </c>
      <c r="D833" s="706" t="s">
        <v>1841</v>
      </c>
      <c r="H833" s="1191"/>
      <c r="I833" s="706" t="s">
        <v>2359</v>
      </c>
      <c r="M833" s="706"/>
      <c r="N833" s="706"/>
      <c r="O833" s="706"/>
      <c r="P833" s="706"/>
    </row>
    <row r="834" spans="1:16">
      <c r="A834" s="706">
        <v>104531</v>
      </c>
      <c r="B834" s="706" t="s">
        <v>2523</v>
      </c>
      <c r="D834" s="706" t="s">
        <v>1841</v>
      </c>
      <c r="H834" s="1191"/>
      <c r="I834" s="706" t="s">
        <v>2359</v>
      </c>
      <c r="M834" s="706"/>
      <c r="N834" s="706"/>
      <c r="O834" s="706"/>
      <c r="P834" s="706"/>
    </row>
    <row r="835" spans="1:16">
      <c r="A835" s="706">
        <v>104532</v>
      </c>
      <c r="B835" s="706" t="s">
        <v>2524</v>
      </c>
      <c r="D835" s="706" t="s">
        <v>1841</v>
      </c>
      <c r="H835" s="1191"/>
      <c r="I835" s="706" t="s">
        <v>2359</v>
      </c>
      <c r="M835" s="706"/>
      <c r="N835" s="706"/>
      <c r="O835" s="706"/>
      <c r="P835" s="706"/>
    </row>
    <row r="836" spans="1:16">
      <c r="A836" s="706">
        <v>104533</v>
      </c>
      <c r="B836" s="706" t="s">
        <v>2525</v>
      </c>
      <c r="D836" s="706" t="s">
        <v>1841</v>
      </c>
      <c r="H836" s="1191"/>
      <c r="I836" s="706" t="s">
        <v>2359</v>
      </c>
      <c r="M836" s="706"/>
      <c r="N836" s="706"/>
      <c r="O836" s="706"/>
      <c r="P836" s="706"/>
    </row>
    <row r="837" spans="1:16">
      <c r="A837" s="706">
        <v>104534</v>
      </c>
      <c r="B837" s="706" t="s">
        <v>2526</v>
      </c>
      <c r="C837" s="706" t="s">
        <v>8189</v>
      </c>
      <c r="D837" s="706" t="s">
        <v>1841</v>
      </c>
      <c r="E837" s="706">
        <v>148</v>
      </c>
      <c r="F837" s="706" t="s">
        <v>28</v>
      </c>
      <c r="G837" s="706">
        <v>411823</v>
      </c>
      <c r="H837" s="1191">
        <v>46078</v>
      </c>
      <c r="I837" s="706" t="s">
        <v>2359</v>
      </c>
      <c r="M837" s="706"/>
      <c r="N837" s="706"/>
      <c r="O837" s="706"/>
      <c r="P837" s="706"/>
    </row>
    <row r="838" spans="1:16">
      <c r="A838" s="706">
        <v>104535</v>
      </c>
      <c r="B838" s="706" t="s">
        <v>2527</v>
      </c>
      <c r="D838" s="706" t="s">
        <v>1841</v>
      </c>
      <c r="H838" s="1191"/>
      <c r="I838" s="706" t="s">
        <v>2359</v>
      </c>
      <c r="M838" s="706"/>
      <c r="N838" s="706"/>
      <c r="O838" s="706"/>
      <c r="P838" s="706"/>
    </row>
    <row r="839" spans="1:16">
      <c r="A839" s="706">
        <v>104536</v>
      </c>
      <c r="B839" s="706" t="s">
        <v>2528</v>
      </c>
      <c r="D839" s="706" t="s">
        <v>1841</v>
      </c>
      <c r="H839" s="1191"/>
      <c r="I839" s="706" t="s">
        <v>2359</v>
      </c>
      <c r="M839" s="706"/>
      <c r="N839" s="706"/>
      <c r="O839" s="706"/>
      <c r="P839" s="706"/>
    </row>
    <row r="840" spans="1:16">
      <c r="A840" s="706">
        <v>104537</v>
      </c>
      <c r="B840" s="706" t="s">
        <v>2529</v>
      </c>
      <c r="D840" s="706" t="s">
        <v>1841</v>
      </c>
      <c r="H840" s="1191"/>
      <c r="I840" s="706" t="s">
        <v>2359</v>
      </c>
      <c r="M840" s="706"/>
      <c r="N840" s="706"/>
      <c r="O840" s="706"/>
      <c r="P840" s="706"/>
    </row>
    <row r="841" spans="1:16">
      <c r="A841" s="706">
        <v>104538</v>
      </c>
      <c r="B841" s="706" t="s">
        <v>2530</v>
      </c>
      <c r="C841" s="706" t="s">
        <v>8189</v>
      </c>
      <c r="D841" s="706" t="s">
        <v>1841</v>
      </c>
      <c r="E841" s="706">
        <v>127</v>
      </c>
      <c r="F841" s="706" t="s">
        <v>28</v>
      </c>
      <c r="G841" s="706">
        <v>411671</v>
      </c>
      <c r="H841" s="1191">
        <v>46058</v>
      </c>
      <c r="I841" s="706" t="s">
        <v>2359</v>
      </c>
      <c r="M841" s="706"/>
      <c r="N841" s="706"/>
      <c r="O841" s="706"/>
      <c r="P841" s="706"/>
    </row>
    <row r="842" spans="1:16">
      <c r="A842" s="706">
        <v>104539</v>
      </c>
      <c r="B842" s="706" t="s">
        <v>2531</v>
      </c>
      <c r="D842" s="706" t="s">
        <v>1841</v>
      </c>
      <c r="H842" s="1191"/>
      <c r="I842" s="706" t="s">
        <v>2359</v>
      </c>
      <c r="M842" s="706"/>
      <c r="N842" s="706"/>
      <c r="O842" s="706"/>
      <c r="P842" s="706"/>
    </row>
    <row r="843" spans="1:16">
      <c r="A843" s="706">
        <v>104540</v>
      </c>
      <c r="B843" s="706" t="s">
        <v>2532</v>
      </c>
      <c r="D843" s="706" t="s">
        <v>1841</v>
      </c>
      <c r="H843" s="1191"/>
      <c r="I843" s="706" t="s">
        <v>2359</v>
      </c>
      <c r="M843" s="706"/>
      <c r="N843" s="706"/>
      <c r="O843" s="706"/>
      <c r="P843" s="706"/>
    </row>
    <row r="844" spans="1:16">
      <c r="A844" s="706">
        <v>104541</v>
      </c>
      <c r="B844" s="706" t="s">
        <v>2533</v>
      </c>
      <c r="D844" s="706" t="s">
        <v>1841</v>
      </c>
      <c r="H844" s="1191"/>
      <c r="I844" s="706" t="s">
        <v>2359</v>
      </c>
      <c r="M844" s="706"/>
      <c r="N844" s="706"/>
      <c r="O844" s="706"/>
      <c r="P844" s="706"/>
    </row>
    <row r="845" spans="1:16">
      <c r="A845" s="706">
        <v>104542</v>
      </c>
      <c r="B845" s="706" t="s">
        <v>2534</v>
      </c>
      <c r="D845" s="706" t="s">
        <v>1841</v>
      </c>
      <c r="H845" s="1191"/>
      <c r="I845" s="706" t="s">
        <v>2359</v>
      </c>
      <c r="M845" s="706"/>
      <c r="N845" s="706"/>
      <c r="O845" s="706"/>
      <c r="P845" s="706"/>
    </row>
    <row r="846" spans="1:16">
      <c r="A846" s="706">
        <v>104543</v>
      </c>
      <c r="B846" s="706" t="s">
        <v>2535</v>
      </c>
      <c r="D846" s="706" t="s">
        <v>1841</v>
      </c>
      <c r="H846" s="1191"/>
      <c r="I846" s="706" t="s">
        <v>2359</v>
      </c>
      <c r="M846" s="706"/>
      <c r="N846" s="706"/>
      <c r="O846" s="706"/>
      <c r="P846" s="706"/>
    </row>
    <row r="847" spans="1:16">
      <c r="A847" s="706">
        <v>104544</v>
      </c>
      <c r="B847" s="706" t="s">
        <v>2536</v>
      </c>
      <c r="C847" s="706" t="s">
        <v>8189</v>
      </c>
      <c r="D847" s="706" t="s">
        <v>1841</v>
      </c>
      <c r="E847" s="706">
        <v>60</v>
      </c>
      <c r="F847" s="706" t="s">
        <v>28</v>
      </c>
      <c r="G847" s="706">
        <v>409893</v>
      </c>
      <c r="H847" s="1191">
        <v>45713</v>
      </c>
      <c r="I847" s="706" t="s">
        <v>2359</v>
      </c>
      <c r="M847" s="706"/>
      <c r="N847" s="706"/>
      <c r="O847" s="706"/>
      <c r="P847" s="706"/>
    </row>
    <row r="848" spans="1:16">
      <c r="A848" s="706">
        <v>104545</v>
      </c>
      <c r="B848" s="706" t="s">
        <v>2537</v>
      </c>
      <c r="D848" s="706" t="s">
        <v>1841</v>
      </c>
      <c r="H848" s="1191"/>
      <c r="I848" s="706" t="s">
        <v>2361</v>
      </c>
      <c r="M848" s="706"/>
      <c r="N848" s="706"/>
      <c r="O848" s="706"/>
      <c r="P848" s="706"/>
    </row>
    <row r="849" spans="1:16">
      <c r="A849" s="706">
        <v>104546</v>
      </c>
      <c r="B849" s="706" t="s">
        <v>2538</v>
      </c>
      <c r="D849" s="706" t="s">
        <v>1841</v>
      </c>
      <c r="H849" s="1191"/>
      <c r="I849" s="706" t="s">
        <v>2361</v>
      </c>
      <c r="M849" s="706"/>
      <c r="N849" s="706"/>
      <c r="O849" s="706"/>
      <c r="P849" s="706"/>
    </row>
    <row r="850" spans="1:16">
      <c r="A850" s="706">
        <v>104547</v>
      </c>
      <c r="B850" s="706" t="s">
        <v>2539</v>
      </c>
      <c r="D850" s="706" t="s">
        <v>1841</v>
      </c>
      <c r="H850" s="1191"/>
      <c r="I850" s="706" t="s">
        <v>2361</v>
      </c>
      <c r="M850" s="706"/>
      <c r="N850" s="706"/>
      <c r="O850" s="706"/>
      <c r="P850" s="706"/>
    </row>
    <row r="851" spans="1:16">
      <c r="A851" s="706">
        <v>104548</v>
      </c>
      <c r="B851" s="706" t="s">
        <v>2540</v>
      </c>
      <c r="C851" s="706" t="s">
        <v>8189</v>
      </c>
      <c r="D851" s="706" t="s">
        <v>1841</v>
      </c>
      <c r="E851" s="706">
        <v>1068.9100000000001</v>
      </c>
      <c r="F851" s="706" t="s">
        <v>28</v>
      </c>
      <c r="G851" s="706">
        <v>408813</v>
      </c>
      <c r="H851" s="1191">
        <v>45484</v>
      </c>
      <c r="I851" s="706" t="s">
        <v>2361</v>
      </c>
      <c r="M851" s="706"/>
      <c r="N851" s="706"/>
      <c r="O851" s="706"/>
      <c r="P851" s="706"/>
    </row>
    <row r="852" spans="1:16">
      <c r="A852" s="706">
        <v>104549</v>
      </c>
      <c r="B852" s="706" t="s">
        <v>2541</v>
      </c>
      <c r="D852" s="706" t="s">
        <v>1841</v>
      </c>
      <c r="H852" s="1191"/>
      <c r="I852" s="706" t="s">
        <v>2361</v>
      </c>
      <c r="M852" s="706"/>
      <c r="N852" s="706"/>
      <c r="O852" s="706"/>
      <c r="P852" s="706"/>
    </row>
    <row r="853" spans="1:16">
      <c r="A853" s="706">
        <v>104550</v>
      </c>
      <c r="B853" s="706" t="s">
        <v>2542</v>
      </c>
      <c r="D853" s="706" t="s">
        <v>1841</v>
      </c>
      <c r="H853" s="1191"/>
      <c r="I853" s="706" t="s">
        <v>2361</v>
      </c>
      <c r="M853" s="706"/>
      <c r="N853" s="706"/>
      <c r="O853" s="706"/>
      <c r="P853" s="706"/>
    </row>
    <row r="854" spans="1:16">
      <c r="A854" s="706">
        <v>104551</v>
      </c>
      <c r="B854" s="706" t="s">
        <v>2543</v>
      </c>
      <c r="D854" s="706" t="s">
        <v>1841</v>
      </c>
      <c r="H854" s="1191"/>
      <c r="I854" s="706" t="s">
        <v>2361</v>
      </c>
      <c r="M854" s="706"/>
      <c r="N854" s="706"/>
      <c r="O854" s="706"/>
      <c r="P854" s="706"/>
    </row>
    <row r="855" spans="1:16">
      <c r="A855" s="706">
        <v>104552</v>
      </c>
      <c r="B855" s="706" t="s">
        <v>2544</v>
      </c>
      <c r="D855" s="706" t="s">
        <v>1841</v>
      </c>
      <c r="H855" s="1191"/>
      <c r="I855" s="706" t="s">
        <v>2361</v>
      </c>
      <c r="M855" s="706"/>
      <c r="N855" s="706"/>
      <c r="O855" s="706"/>
      <c r="P855" s="706"/>
    </row>
    <row r="856" spans="1:16">
      <c r="A856" s="706">
        <v>104553</v>
      </c>
      <c r="B856" s="706" t="s">
        <v>2545</v>
      </c>
      <c r="D856" s="706" t="s">
        <v>1841</v>
      </c>
      <c r="H856" s="1191"/>
      <c r="I856" s="706" t="s">
        <v>2361</v>
      </c>
      <c r="M856" s="706"/>
      <c r="N856" s="706"/>
      <c r="O856" s="706"/>
      <c r="P856" s="706"/>
    </row>
    <row r="857" spans="1:16">
      <c r="A857" s="706">
        <v>104554</v>
      </c>
      <c r="B857" s="706" t="s">
        <v>2546</v>
      </c>
      <c r="D857" s="706" t="s">
        <v>1841</v>
      </c>
      <c r="H857" s="1191"/>
      <c r="I857" s="706" t="s">
        <v>2361</v>
      </c>
      <c r="M857" s="706"/>
      <c r="N857" s="706"/>
      <c r="O857" s="706"/>
      <c r="P857" s="706"/>
    </row>
    <row r="858" spans="1:16">
      <c r="A858" s="706">
        <v>104555</v>
      </c>
      <c r="B858" s="706" t="s">
        <v>2547</v>
      </c>
      <c r="C858" s="706" t="s">
        <v>8189</v>
      </c>
      <c r="D858" s="706" t="s">
        <v>1841</v>
      </c>
      <c r="E858" s="706">
        <v>1416</v>
      </c>
      <c r="F858" s="706" t="s">
        <v>28</v>
      </c>
      <c r="G858" s="706">
        <v>405400</v>
      </c>
      <c r="H858" s="1191">
        <v>44781</v>
      </c>
      <c r="I858" s="706" t="s">
        <v>2361</v>
      </c>
      <c r="M858" s="706"/>
      <c r="N858" s="706"/>
      <c r="O858" s="706"/>
      <c r="P858" s="706"/>
    </row>
    <row r="859" spans="1:16">
      <c r="A859" s="706">
        <v>104556</v>
      </c>
      <c r="B859" s="706" t="s">
        <v>2548</v>
      </c>
      <c r="C859" s="706" t="s">
        <v>8189</v>
      </c>
      <c r="D859" s="706" t="s">
        <v>1841</v>
      </c>
      <c r="E859" s="706">
        <v>825</v>
      </c>
      <c r="F859" s="706" t="s">
        <v>28</v>
      </c>
      <c r="G859" s="706">
        <v>408341</v>
      </c>
      <c r="H859" s="1191">
        <v>45400</v>
      </c>
      <c r="I859" s="706" t="s">
        <v>2361</v>
      </c>
      <c r="M859" s="706"/>
      <c r="N859" s="706"/>
      <c r="O859" s="706"/>
      <c r="P859" s="706"/>
    </row>
    <row r="860" spans="1:16">
      <c r="A860" s="706">
        <v>104557</v>
      </c>
      <c r="B860" s="706" t="s">
        <v>2549</v>
      </c>
      <c r="D860" s="706" t="s">
        <v>1841</v>
      </c>
      <c r="H860" s="1191"/>
      <c r="I860" s="706" t="s">
        <v>2361</v>
      </c>
      <c r="M860" s="706"/>
      <c r="N860" s="706"/>
      <c r="O860" s="706"/>
      <c r="P860" s="706"/>
    </row>
    <row r="861" spans="1:16">
      <c r="A861" s="706">
        <v>104558</v>
      </c>
      <c r="B861" s="706" t="s">
        <v>2550</v>
      </c>
      <c r="D861" s="706" t="s">
        <v>1841</v>
      </c>
      <c r="H861" s="1191"/>
      <c r="I861" s="706" t="s">
        <v>2361</v>
      </c>
      <c r="M861" s="706"/>
      <c r="N861" s="706"/>
      <c r="O861" s="706"/>
      <c r="P861" s="706"/>
    </row>
    <row r="862" spans="1:16">
      <c r="A862" s="706">
        <v>104559</v>
      </c>
      <c r="B862" s="706" t="s">
        <v>2551</v>
      </c>
      <c r="D862" s="706" t="s">
        <v>1841</v>
      </c>
      <c r="H862" s="1191"/>
      <c r="I862" s="706" t="s">
        <v>2361</v>
      </c>
      <c r="M862" s="706"/>
      <c r="N862" s="706"/>
      <c r="O862" s="706"/>
      <c r="P862" s="706"/>
    </row>
    <row r="863" spans="1:16">
      <c r="A863" s="706">
        <v>104560</v>
      </c>
      <c r="B863" s="706" t="s">
        <v>2552</v>
      </c>
      <c r="C863" s="706" t="s">
        <v>8189</v>
      </c>
      <c r="D863" s="706" t="s">
        <v>1841</v>
      </c>
      <c r="E863" s="706">
        <v>600</v>
      </c>
      <c r="F863" s="706" t="s">
        <v>28</v>
      </c>
      <c r="G863" s="706">
        <v>40087</v>
      </c>
      <c r="H863" s="1191">
        <v>43881</v>
      </c>
      <c r="I863" s="706" t="s">
        <v>2361</v>
      </c>
      <c r="M863" s="706"/>
      <c r="N863" s="706"/>
      <c r="O863" s="706"/>
      <c r="P863" s="706"/>
    </row>
    <row r="864" spans="1:16">
      <c r="A864" s="706">
        <v>104561</v>
      </c>
      <c r="B864" s="706" t="s">
        <v>2553</v>
      </c>
      <c r="D864" s="706" t="s">
        <v>1841</v>
      </c>
      <c r="H864" s="1191"/>
      <c r="I864" s="706" t="s">
        <v>2361</v>
      </c>
      <c r="M864" s="706"/>
      <c r="N864" s="706"/>
      <c r="O864" s="706"/>
      <c r="P864" s="706"/>
    </row>
    <row r="865" spans="1:16">
      <c r="A865" s="706">
        <v>104562</v>
      </c>
      <c r="B865" s="706" t="s">
        <v>2554</v>
      </c>
      <c r="D865" s="706" t="s">
        <v>1841</v>
      </c>
      <c r="H865" s="1191"/>
      <c r="I865" s="706" t="s">
        <v>2361</v>
      </c>
      <c r="M865" s="706"/>
      <c r="N865" s="706"/>
      <c r="O865" s="706"/>
      <c r="P865" s="706"/>
    </row>
    <row r="866" spans="1:16">
      <c r="A866" s="706">
        <v>104563</v>
      </c>
      <c r="B866" s="706" t="s">
        <v>2555</v>
      </c>
      <c r="D866" s="706" t="s">
        <v>1841</v>
      </c>
      <c r="H866" s="1191"/>
      <c r="I866" s="706" t="s">
        <v>2361</v>
      </c>
      <c r="M866" s="706"/>
      <c r="N866" s="706"/>
      <c r="O866" s="706"/>
      <c r="P866" s="706"/>
    </row>
    <row r="867" spans="1:16">
      <c r="A867" s="706">
        <v>104564</v>
      </c>
      <c r="B867" s="706" t="s">
        <v>2556</v>
      </c>
      <c r="D867" s="706" t="s">
        <v>1841</v>
      </c>
      <c r="H867" s="1191"/>
      <c r="I867" s="706" t="s">
        <v>2361</v>
      </c>
      <c r="M867" s="706"/>
      <c r="N867" s="706"/>
      <c r="O867" s="706"/>
      <c r="P867" s="706"/>
    </row>
    <row r="868" spans="1:16">
      <c r="A868" s="706">
        <v>104565</v>
      </c>
      <c r="B868" s="706" t="s">
        <v>2557</v>
      </c>
      <c r="D868" s="706" t="s">
        <v>1841</v>
      </c>
      <c r="H868" s="1191"/>
      <c r="I868" s="706" t="s">
        <v>2361</v>
      </c>
      <c r="M868" s="706"/>
      <c r="N868" s="706"/>
      <c r="O868" s="706"/>
      <c r="P868" s="706"/>
    </row>
    <row r="869" spans="1:16">
      <c r="A869" s="706">
        <v>104566</v>
      </c>
      <c r="B869" s="706" t="s">
        <v>2558</v>
      </c>
      <c r="D869" s="706" t="s">
        <v>1841</v>
      </c>
      <c r="H869" s="1191"/>
      <c r="I869" s="706" t="s">
        <v>2361</v>
      </c>
      <c r="M869" s="706"/>
      <c r="N869" s="706"/>
      <c r="O869" s="706"/>
      <c r="P869" s="706"/>
    </row>
    <row r="870" spans="1:16">
      <c r="A870" s="706">
        <v>104567</v>
      </c>
      <c r="B870" s="706" t="s">
        <v>2559</v>
      </c>
      <c r="D870" s="706" t="s">
        <v>1841</v>
      </c>
      <c r="H870" s="1191"/>
      <c r="I870" s="706" t="s">
        <v>2361</v>
      </c>
      <c r="M870" s="706"/>
      <c r="N870" s="706"/>
      <c r="O870" s="706"/>
      <c r="P870" s="706"/>
    </row>
    <row r="871" spans="1:16">
      <c r="A871" s="706">
        <v>104568</v>
      </c>
      <c r="B871" s="706" t="s">
        <v>2560</v>
      </c>
      <c r="D871" s="706" t="s">
        <v>1841</v>
      </c>
      <c r="H871" s="1191"/>
      <c r="I871" s="706" t="s">
        <v>2361</v>
      </c>
      <c r="M871" s="706"/>
      <c r="N871" s="706"/>
      <c r="O871" s="706"/>
      <c r="P871" s="706"/>
    </row>
    <row r="872" spans="1:16">
      <c r="A872" s="706">
        <v>104569</v>
      </c>
      <c r="B872" s="706" t="s">
        <v>2561</v>
      </c>
      <c r="D872" s="706" t="s">
        <v>1841</v>
      </c>
      <c r="H872" s="1191"/>
      <c r="I872" s="706" t="s">
        <v>2361</v>
      </c>
      <c r="M872" s="706"/>
      <c r="N872" s="706"/>
      <c r="O872" s="706"/>
      <c r="P872" s="706"/>
    </row>
    <row r="873" spans="1:16">
      <c r="A873" s="706">
        <v>104570</v>
      </c>
      <c r="B873" s="706" t="s">
        <v>2562</v>
      </c>
      <c r="D873" s="706" t="s">
        <v>1841</v>
      </c>
      <c r="H873" s="1191"/>
      <c r="I873" s="706" t="s">
        <v>2361</v>
      </c>
      <c r="M873" s="706"/>
      <c r="N873" s="706"/>
      <c r="O873" s="706"/>
      <c r="P873" s="706"/>
    </row>
    <row r="874" spans="1:16">
      <c r="A874" s="706">
        <v>104571</v>
      </c>
      <c r="B874" s="706" t="s">
        <v>2563</v>
      </c>
      <c r="D874" s="706" t="s">
        <v>1841</v>
      </c>
      <c r="H874" s="1191"/>
      <c r="I874" s="706" t="s">
        <v>2361</v>
      </c>
      <c r="M874" s="706"/>
      <c r="N874" s="706"/>
      <c r="O874" s="706"/>
      <c r="P874" s="706"/>
    </row>
    <row r="875" spans="1:16">
      <c r="A875" s="706">
        <v>104572</v>
      </c>
      <c r="B875" s="706" t="s">
        <v>2564</v>
      </c>
      <c r="D875" s="706" t="s">
        <v>1841</v>
      </c>
      <c r="H875" s="1191"/>
      <c r="I875" s="706" t="s">
        <v>2361</v>
      </c>
      <c r="M875" s="706"/>
      <c r="N875" s="706"/>
      <c r="O875" s="706"/>
      <c r="P875" s="706"/>
    </row>
    <row r="876" spans="1:16">
      <c r="A876" s="706">
        <v>104573</v>
      </c>
      <c r="B876" s="706" t="s">
        <v>2565</v>
      </c>
      <c r="D876" s="706" t="s">
        <v>1841</v>
      </c>
      <c r="H876" s="1191"/>
      <c r="I876" s="706" t="s">
        <v>2361</v>
      </c>
      <c r="M876" s="706"/>
      <c r="N876" s="706"/>
      <c r="O876" s="706"/>
      <c r="P876" s="706"/>
    </row>
    <row r="877" spans="1:16">
      <c r="A877" s="706">
        <v>104574</v>
      </c>
      <c r="B877" s="706" t="s">
        <v>2566</v>
      </c>
      <c r="D877" s="706" t="s">
        <v>1841</v>
      </c>
      <c r="H877" s="1191"/>
      <c r="I877" s="706" t="s">
        <v>2361</v>
      </c>
      <c r="M877" s="706"/>
      <c r="N877" s="706"/>
      <c r="O877" s="706"/>
      <c r="P877" s="706"/>
    </row>
    <row r="878" spans="1:16">
      <c r="A878" s="706">
        <v>104575</v>
      </c>
      <c r="B878" s="706" t="s">
        <v>2567</v>
      </c>
      <c r="D878" s="706" t="s">
        <v>1841</v>
      </c>
      <c r="H878" s="1191"/>
      <c r="I878" s="706" t="s">
        <v>2361</v>
      </c>
      <c r="M878" s="706"/>
      <c r="N878" s="706"/>
      <c r="O878" s="706"/>
      <c r="P878" s="706"/>
    </row>
    <row r="879" spans="1:16">
      <c r="A879" s="706">
        <v>104576</v>
      </c>
      <c r="B879" s="706" t="s">
        <v>2568</v>
      </c>
      <c r="D879" s="706" t="s">
        <v>1841</v>
      </c>
      <c r="H879" s="1191"/>
      <c r="I879" s="706" t="s">
        <v>2361</v>
      </c>
      <c r="M879" s="706"/>
      <c r="N879" s="706"/>
      <c r="O879" s="706"/>
      <c r="P879" s="706"/>
    </row>
    <row r="880" spans="1:16">
      <c r="A880" s="706">
        <v>104577</v>
      </c>
      <c r="B880" s="706" t="s">
        <v>2569</v>
      </c>
      <c r="D880" s="706" t="s">
        <v>1841</v>
      </c>
      <c r="H880" s="1191"/>
      <c r="I880" s="706" t="s">
        <v>2361</v>
      </c>
      <c r="M880" s="706"/>
      <c r="N880" s="706"/>
      <c r="O880" s="706"/>
      <c r="P880" s="706"/>
    </row>
    <row r="881" spans="1:16">
      <c r="A881" s="706">
        <v>104578</v>
      </c>
      <c r="B881" s="706" t="s">
        <v>2570</v>
      </c>
      <c r="D881" s="706" t="s">
        <v>1841</v>
      </c>
      <c r="H881" s="1191"/>
      <c r="I881" s="706" t="s">
        <v>2361</v>
      </c>
      <c r="M881" s="706"/>
      <c r="N881" s="706"/>
      <c r="O881" s="706"/>
      <c r="P881" s="706"/>
    </row>
    <row r="882" spans="1:16">
      <c r="A882" s="706">
        <v>104579</v>
      </c>
      <c r="B882" s="706" t="s">
        <v>2571</v>
      </c>
      <c r="D882" s="706" t="s">
        <v>1841</v>
      </c>
      <c r="H882" s="1191"/>
      <c r="I882" s="706" t="s">
        <v>2361</v>
      </c>
      <c r="M882" s="706"/>
      <c r="N882" s="706"/>
      <c r="O882" s="706"/>
      <c r="P882" s="706"/>
    </row>
    <row r="883" spans="1:16">
      <c r="A883" s="706">
        <v>104580</v>
      </c>
      <c r="B883" s="706" t="s">
        <v>2572</v>
      </c>
      <c r="D883" s="706" t="s">
        <v>1841</v>
      </c>
      <c r="H883" s="1191"/>
      <c r="I883" s="706" t="s">
        <v>2361</v>
      </c>
      <c r="M883" s="706"/>
      <c r="N883" s="706"/>
      <c r="O883" s="706"/>
      <c r="P883" s="706"/>
    </row>
    <row r="884" spans="1:16">
      <c r="A884" s="706">
        <v>104581</v>
      </c>
      <c r="B884" s="706" t="s">
        <v>2573</v>
      </c>
      <c r="D884" s="706" t="s">
        <v>1841</v>
      </c>
      <c r="H884" s="1191"/>
      <c r="I884" s="706" t="s">
        <v>2361</v>
      </c>
      <c r="M884" s="706"/>
      <c r="N884" s="706"/>
      <c r="O884" s="706"/>
      <c r="P884" s="706"/>
    </row>
    <row r="885" spans="1:16">
      <c r="A885" s="706">
        <v>104582</v>
      </c>
      <c r="B885" s="706" t="s">
        <v>2574</v>
      </c>
      <c r="D885" s="706" t="s">
        <v>1841</v>
      </c>
      <c r="H885" s="1191"/>
      <c r="I885" s="706" t="s">
        <v>2361</v>
      </c>
      <c r="M885" s="706"/>
      <c r="N885" s="706"/>
      <c r="O885" s="706"/>
      <c r="P885" s="706"/>
    </row>
    <row r="886" spans="1:16">
      <c r="A886" s="706">
        <v>104583</v>
      </c>
      <c r="B886" s="706" t="s">
        <v>2575</v>
      </c>
      <c r="D886" s="706" t="s">
        <v>1841</v>
      </c>
      <c r="H886" s="1191"/>
      <c r="I886" s="706" t="s">
        <v>2361</v>
      </c>
      <c r="M886" s="706"/>
      <c r="N886" s="706"/>
      <c r="O886" s="706"/>
      <c r="P886" s="706"/>
    </row>
    <row r="887" spans="1:16">
      <c r="A887" s="706">
        <v>104584</v>
      </c>
      <c r="B887" s="706" t="s">
        <v>2576</v>
      </c>
      <c r="D887" s="706" t="s">
        <v>1841</v>
      </c>
      <c r="H887" s="1191"/>
      <c r="I887" s="706" t="s">
        <v>2361</v>
      </c>
      <c r="M887" s="706"/>
      <c r="N887" s="706"/>
      <c r="O887" s="706"/>
      <c r="P887" s="706"/>
    </row>
    <row r="888" spans="1:16">
      <c r="A888" s="706">
        <v>104585</v>
      </c>
      <c r="B888" s="706" t="s">
        <v>2577</v>
      </c>
      <c r="D888" s="706" t="s">
        <v>1841</v>
      </c>
      <c r="H888" s="1191"/>
      <c r="I888" s="706" t="s">
        <v>2361</v>
      </c>
      <c r="M888" s="706"/>
      <c r="N888" s="706"/>
      <c r="O888" s="706"/>
      <c r="P888" s="706"/>
    </row>
    <row r="889" spans="1:16">
      <c r="A889" s="706">
        <v>104586</v>
      </c>
      <c r="B889" s="706" t="s">
        <v>2578</v>
      </c>
      <c r="C889" s="706" t="s">
        <v>8189</v>
      </c>
      <c r="D889" s="706" t="s">
        <v>1841</v>
      </c>
      <c r="E889" s="706">
        <v>392</v>
      </c>
      <c r="F889" s="706" t="s">
        <v>28</v>
      </c>
      <c r="G889" s="706">
        <v>407911</v>
      </c>
      <c r="H889" s="1191">
        <v>45323</v>
      </c>
      <c r="I889" s="706" t="s">
        <v>2361</v>
      </c>
      <c r="M889" s="706"/>
      <c r="N889" s="706"/>
      <c r="O889" s="706"/>
      <c r="P889" s="706"/>
    </row>
    <row r="890" spans="1:16">
      <c r="A890" s="706">
        <v>104587</v>
      </c>
      <c r="B890" s="706" t="s">
        <v>2579</v>
      </c>
      <c r="C890" s="706" t="s">
        <v>8189</v>
      </c>
      <c r="D890" s="706" t="s">
        <v>1841</v>
      </c>
      <c r="E890" s="706">
        <v>518.86789999999996</v>
      </c>
      <c r="F890" s="706" t="s">
        <v>28</v>
      </c>
      <c r="G890" s="706">
        <v>404400</v>
      </c>
      <c r="H890" s="1191">
        <v>44585</v>
      </c>
      <c r="I890" s="706" t="s">
        <v>2361</v>
      </c>
      <c r="M890" s="706"/>
      <c r="N890" s="706"/>
      <c r="O890" s="706"/>
      <c r="P890" s="706"/>
    </row>
    <row r="891" spans="1:16">
      <c r="A891" s="706">
        <v>104588</v>
      </c>
      <c r="B891" s="706" t="s">
        <v>2580</v>
      </c>
      <c r="D891" s="706" t="s">
        <v>1841</v>
      </c>
      <c r="H891" s="1191"/>
      <c r="I891" s="706" t="s">
        <v>2361</v>
      </c>
      <c r="M891" s="706"/>
      <c r="N891" s="706"/>
      <c r="O891" s="706"/>
      <c r="P891" s="706"/>
    </row>
    <row r="892" spans="1:16">
      <c r="A892" s="706">
        <v>104589</v>
      </c>
      <c r="B892" s="706" t="s">
        <v>2581</v>
      </c>
      <c r="D892" s="706" t="s">
        <v>1841</v>
      </c>
      <c r="H892" s="1191"/>
      <c r="I892" s="706" t="s">
        <v>2361</v>
      </c>
      <c r="M892" s="706"/>
      <c r="N892" s="706"/>
      <c r="O892" s="706"/>
      <c r="P892" s="706"/>
    </row>
    <row r="893" spans="1:16">
      <c r="A893" s="706">
        <v>104590</v>
      </c>
      <c r="B893" s="706" t="s">
        <v>2582</v>
      </c>
      <c r="D893" s="706" t="s">
        <v>1841</v>
      </c>
      <c r="H893" s="1191"/>
      <c r="I893" s="706" t="s">
        <v>2361</v>
      </c>
      <c r="M893" s="706"/>
      <c r="N893" s="706"/>
      <c r="O893" s="706"/>
      <c r="P893" s="706"/>
    </row>
    <row r="894" spans="1:16">
      <c r="A894" s="706">
        <v>104591</v>
      </c>
      <c r="B894" s="706" t="s">
        <v>2583</v>
      </c>
      <c r="D894" s="706" t="s">
        <v>1841</v>
      </c>
      <c r="H894" s="1191"/>
      <c r="I894" s="706" t="s">
        <v>2361</v>
      </c>
      <c r="M894" s="706"/>
      <c r="N894" s="706"/>
      <c r="O894" s="706"/>
      <c r="P894" s="706"/>
    </row>
    <row r="895" spans="1:16">
      <c r="A895" s="706">
        <v>104592</v>
      </c>
      <c r="B895" s="706" t="s">
        <v>2584</v>
      </c>
      <c r="D895" s="706" t="s">
        <v>1841</v>
      </c>
      <c r="H895" s="1191"/>
      <c r="I895" s="706" t="s">
        <v>2361</v>
      </c>
      <c r="M895" s="706"/>
      <c r="N895" s="706"/>
      <c r="O895" s="706"/>
      <c r="P895" s="706"/>
    </row>
    <row r="896" spans="1:16">
      <c r="A896" s="706">
        <v>104593</v>
      </c>
      <c r="B896" s="706" t="s">
        <v>2585</v>
      </c>
      <c r="D896" s="706" t="s">
        <v>1841</v>
      </c>
      <c r="H896" s="1191"/>
      <c r="I896" s="706" t="s">
        <v>2361</v>
      </c>
      <c r="M896" s="706"/>
      <c r="N896" s="706"/>
      <c r="O896" s="706"/>
      <c r="P896" s="706"/>
    </row>
    <row r="897" spans="1:16">
      <c r="A897" s="706">
        <v>104594</v>
      </c>
      <c r="B897" s="706" t="s">
        <v>2586</v>
      </c>
      <c r="D897" s="706" t="s">
        <v>1841</v>
      </c>
      <c r="H897" s="1191"/>
      <c r="I897" s="706" t="s">
        <v>2361</v>
      </c>
      <c r="M897" s="706"/>
      <c r="N897" s="706"/>
      <c r="O897" s="706"/>
      <c r="P897" s="706"/>
    </row>
    <row r="898" spans="1:16">
      <c r="A898" s="706">
        <v>104595</v>
      </c>
      <c r="B898" s="706" t="s">
        <v>2587</v>
      </c>
      <c r="C898" s="706" t="s">
        <v>8189</v>
      </c>
      <c r="D898" s="706" t="s">
        <v>1841</v>
      </c>
      <c r="E898" s="706">
        <v>557</v>
      </c>
      <c r="F898" s="706" t="s">
        <v>28</v>
      </c>
      <c r="G898" s="706">
        <v>407520</v>
      </c>
      <c r="H898" s="1191">
        <v>45245</v>
      </c>
      <c r="I898" s="706" t="s">
        <v>2361</v>
      </c>
      <c r="M898" s="706"/>
      <c r="N898" s="706"/>
      <c r="O898" s="706"/>
      <c r="P898" s="706"/>
    </row>
    <row r="899" spans="1:16">
      <c r="A899" s="706">
        <v>104596</v>
      </c>
      <c r="B899" s="706" t="s">
        <v>2588</v>
      </c>
      <c r="D899" s="706" t="s">
        <v>1841</v>
      </c>
      <c r="H899" s="1191"/>
      <c r="I899" s="706" t="s">
        <v>2361</v>
      </c>
      <c r="M899" s="706"/>
      <c r="N899" s="706"/>
      <c r="O899" s="706"/>
      <c r="P899" s="706"/>
    </row>
    <row r="900" spans="1:16">
      <c r="A900" s="706">
        <v>104597</v>
      </c>
      <c r="B900" s="706" t="s">
        <v>2589</v>
      </c>
      <c r="D900" s="706" t="s">
        <v>1841</v>
      </c>
      <c r="H900" s="1191"/>
      <c r="I900" s="706" t="s">
        <v>2361</v>
      </c>
      <c r="M900" s="706"/>
      <c r="N900" s="706"/>
      <c r="O900" s="706"/>
      <c r="P900" s="706"/>
    </row>
    <row r="901" spans="1:16">
      <c r="A901" s="706">
        <v>104598</v>
      </c>
      <c r="B901" s="706" t="s">
        <v>2590</v>
      </c>
      <c r="D901" s="706" t="s">
        <v>1841</v>
      </c>
      <c r="H901" s="1191"/>
      <c r="I901" s="706" t="s">
        <v>2361</v>
      </c>
      <c r="M901" s="706"/>
      <c r="N901" s="706"/>
      <c r="O901" s="706"/>
      <c r="P901" s="706"/>
    </row>
    <row r="902" spans="1:16">
      <c r="A902" s="706">
        <v>104599</v>
      </c>
      <c r="B902" s="706" t="s">
        <v>2591</v>
      </c>
      <c r="D902" s="706" t="s">
        <v>1841</v>
      </c>
      <c r="H902" s="1191"/>
      <c r="I902" s="706" t="s">
        <v>2361</v>
      </c>
      <c r="M902" s="706"/>
      <c r="N902" s="706"/>
      <c r="O902" s="706"/>
      <c r="P902" s="706"/>
    </row>
    <row r="903" spans="1:16">
      <c r="A903" s="706">
        <v>104600</v>
      </c>
      <c r="B903" s="706" t="s">
        <v>2592</v>
      </c>
      <c r="D903" s="706" t="s">
        <v>1841</v>
      </c>
      <c r="H903" s="1191"/>
      <c r="I903" s="706" t="s">
        <v>2361</v>
      </c>
      <c r="M903" s="706"/>
      <c r="N903" s="706"/>
      <c r="O903" s="706"/>
      <c r="P903" s="706"/>
    </row>
    <row r="904" spans="1:16">
      <c r="A904" s="706">
        <v>104601</v>
      </c>
      <c r="B904" s="706" t="s">
        <v>2593</v>
      </c>
      <c r="D904" s="706" t="s">
        <v>1841</v>
      </c>
      <c r="H904" s="1191"/>
      <c r="I904" s="706" t="s">
        <v>2361</v>
      </c>
      <c r="M904" s="706"/>
      <c r="N904" s="706"/>
      <c r="O904" s="706"/>
      <c r="P904" s="706"/>
    </row>
    <row r="905" spans="1:16">
      <c r="A905" s="706">
        <v>104602</v>
      </c>
      <c r="B905" s="706" t="s">
        <v>2594</v>
      </c>
      <c r="D905" s="706" t="s">
        <v>1841</v>
      </c>
      <c r="H905" s="1191"/>
      <c r="I905" s="706" t="s">
        <v>2361</v>
      </c>
      <c r="M905" s="706"/>
      <c r="N905" s="706"/>
      <c r="O905" s="706"/>
      <c r="P905" s="706"/>
    </row>
    <row r="906" spans="1:16">
      <c r="A906" s="706">
        <v>104603</v>
      </c>
      <c r="B906" s="706" t="s">
        <v>2595</v>
      </c>
      <c r="D906" s="706" t="s">
        <v>1841</v>
      </c>
      <c r="H906" s="1191"/>
      <c r="I906" s="706" t="s">
        <v>2361</v>
      </c>
      <c r="M906" s="706"/>
      <c r="N906" s="706"/>
      <c r="O906" s="706"/>
      <c r="P906" s="706"/>
    </row>
    <row r="907" spans="1:16">
      <c r="A907" s="706">
        <v>104604</v>
      </c>
      <c r="B907" s="706" t="s">
        <v>2596</v>
      </c>
      <c r="D907" s="706" t="s">
        <v>1841</v>
      </c>
      <c r="H907" s="1191"/>
      <c r="I907" s="706" t="s">
        <v>2361</v>
      </c>
      <c r="M907" s="706"/>
      <c r="N907" s="706"/>
      <c r="O907" s="706"/>
      <c r="P907" s="706"/>
    </row>
    <row r="908" spans="1:16">
      <c r="A908" s="706">
        <v>104605</v>
      </c>
      <c r="B908" s="706" t="s">
        <v>2597</v>
      </c>
      <c r="D908" s="706" t="s">
        <v>1841</v>
      </c>
      <c r="H908" s="1191"/>
      <c r="I908" s="706" t="s">
        <v>2361</v>
      </c>
      <c r="M908" s="706"/>
      <c r="N908" s="706"/>
      <c r="O908" s="706"/>
      <c r="P908" s="706"/>
    </row>
    <row r="909" spans="1:16">
      <c r="A909" s="706">
        <v>104606</v>
      </c>
      <c r="B909" s="706" t="s">
        <v>2598</v>
      </c>
      <c r="D909" s="706" t="s">
        <v>1841</v>
      </c>
      <c r="H909" s="1191"/>
      <c r="I909" s="706" t="s">
        <v>2361</v>
      </c>
      <c r="M909" s="706"/>
      <c r="N909" s="706"/>
      <c r="O909" s="706"/>
      <c r="P909" s="706"/>
    </row>
    <row r="910" spans="1:16">
      <c r="A910" s="706">
        <v>104607</v>
      </c>
      <c r="B910" s="706" t="s">
        <v>2599</v>
      </c>
      <c r="D910" s="706" t="s">
        <v>1841</v>
      </c>
      <c r="H910" s="1191"/>
      <c r="I910" s="706" t="s">
        <v>2361</v>
      </c>
      <c r="M910" s="706"/>
      <c r="N910" s="706"/>
      <c r="O910" s="706"/>
      <c r="P910" s="706"/>
    </row>
    <row r="911" spans="1:16">
      <c r="A911" s="706">
        <v>104608</v>
      </c>
      <c r="B911" s="706" t="s">
        <v>2600</v>
      </c>
      <c r="C911" s="706" t="s">
        <v>8189</v>
      </c>
      <c r="D911" s="706" t="s">
        <v>1841</v>
      </c>
      <c r="E911" s="706">
        <v>478.72340000000003</v>
      </c>
      <c r="F911" s="706" t="s">
        <v>28</v>
      </c>
      <c r="G911" s="706">
        <v>405987</v>
      </c>
      <c r="H911" s="1191">
        <v>44923</v>
      </c>
      <c r="I911" s="706" t="s">
        <v>2361</v>
      </c>
      <c r="M911" s="706"/>
      <c r="N911" s="706"/>
      <c r="O911" s="706"/>
      <c r="P911" s="706"/>
    </row>
    <row r="912" spans="1:16">
      <c r="A912" s="706">
        <v>104609</v>
      </c>
      <c r="B912" s="706" t="s">
        <v>2601</v>
      </c>
      <c r="D912" s="706" t="s">
        <v>1841</v>
      </c>
      <c r="H912" s="1191"/>
      <c r="I912" s="706" t="s">
        <v>2361</v>
      </c>
      <c r="M912" s="706"/>
      <c r="N912" s="706"/>
      <c r="O912" s="706"/>
      <c r="P912" s="706"/>
    </row>
    <row r="913" spans="1:16">
      <c r="A913" s="706">
        <v>104610</v>
      </c>
      <c r="B913" s="706" t="s">
        <v>2602</v>
      </c>
      <c r="D913" s="706" t="s">
        <v>1841</v>
      </c>
      <c r="H913" s="1191"/>
      <c r="I913" s="706" t="s">
        <v>2361</v>
      </c>
      <c r="M913" s="706"/>
      <c r="N913" s="706"/>
      <c r="O913" s="706"/>
      <c r="P913" s="706"/>
    </row>
    <row r="914" spans="1:16">
      <c r="A914" s="706">
        <v>104611</v>
      </c>
      <c r="B914" s="706" t="s">
        <v>2603</v>
      </c>
      <c r="D914" s="706" t="s">
        <v>1841</v>
      </c>
      <c r="H914" s="1191"/>
      <c r="I914" s="706" t="s">
        <v>2361</v>
      </c>
      <c r="M914" s="706"/>
      <c r="N914" s="706"/>
      <c r="O914" s="706"/>
      <c r="P914" s="706"/>
    </row>
    <row r="915" spans="1:16">
      <c r="A915" s="706">
        <v>104612</v>
      </c>
      <c r="B915" s="706" t="s">
        <v>2604</v>
      </c>
      <c r="C915" s="706" t="s">
        <v>8189</v>
      </c>
      <c r="D915" s="706" t="s">
        <v>1841</v>
      </c>
      <c r="E915" s="706">
        <v>310</v>
      </c>
      <c r="F915" s="706" t="s">
        <v>28</v>
      </c>
      <c r="G915" s="706">
        <v>409109</v>
      </c>
      <c r="H915" s="1191">
        <v>45546</v>
      </c>
      <c r="I915" s="706" t="s">
        <v>2361</v>
      </c>
      <c r="M915" s="706"/>
      <c r="N915" s="706"/>
      <c r="O915" s="706"/>
      <c r="P915" s="706"/>
    </row>
    <row r="916" spans="1:16">
      <c r="A916" s="706">
        <v>104613</v>
      </c>
      <c r="B916" s="706" t="s">
        <v>2605</v>
      </c>
      <c r="D916" s="706" t="s">
        <v>1841</v>
      </c>
      <c r="H916" s="1191"/>
      <c r="I916" s="706" t="s">
        <v>2361</v>
      </c>
      <c r="M916" s="706"/>
      <c r="N916" s="706"/>
      <c r="O916" s="706"/>
      <c r="P916" s="706"/>
    </row>
    <row r="917" spans="1:16">
      <c r="A917" s="706">
        <v>104614</v>
      </c>
      <c r="B917" s="706" t="s">
        <v>2606</v>
      </c>
      <c r="D917" s="706" t="s">
        <v>1841</v>
      </c>
      <c r="H917" s="1191"/>
      <c r="I917" s="706" t="s">
        <v>2361</v>
      </c>
      <c r="M917" s="706"/>
      <c r="N917" s="706"/>
      <c r="O917" s="706"/>
      <c r="P917" s="706"/>
    </row>
    <row r="918" spans="1:16">
      <c r="A918" s="706">
        <v>104615</v>
      </c>
      <c r="B918" s="706" t="s">
        <v>2607</v>
      </c>
      <c r="D918" s="706" t="s">
        <v>1841</v>
      </c>
      <c r="H918" s="1191"/>
      <c r="I918" s="706" t="s">
        <v>2361</v>
      </c>
      <c r="M918" s="706"/>
      <c r="N918" s="706"/>
      <c r="O918" s="706"/>
      <c r="P918" s="706"/>
    </row>
    <row r="919" spans="1:16">
      <c r="A919" s="706">
        <v>104616</v>
      </c>
      <c r="B919" s="706" t="s">
        <v>2608</v>
      </c>
      <c r="D919" s="706" t="s">
        <v>1841</v>
      </c>
      <c r="H919" s="1191"/>
      <c r="I919" s="706" t="s">
        <v>2361</v>
      </c>
      <c r="M919" s="706"/>
      <c r="N919" s="706"/>
      <c r="O919" s="706"/>
      <c r="P919" s="706"/>
    </row>
    <row r="920" spans="1:16">
      <c r="A920" s="706">
        <v>104617</v>
      </c>
      <c r="B920" s="706" t="s">
        <v>2609</v>
      </c>
      <c r="D920" s="706" t="s">
        <v>1841</v>
      </c>
      <c r="H920" s="1191"/>
      <c r="I920" s="706" t="s">
        <v>2361</v>
      </c>
      <c r="M920" s="706"/>
      <c r="N920" s="706"/>
      <c r="O920" s="706"/>
      <c r="P920" s="706"/>
    </row>
    <row r="921" spans="1:16">
      <c r="A921" s="706">
        <v>104618</v>
      </c>
      <c r="B921" s="706" t="s">
        <v>2610</v>
      </c>
      <c r="C921" s="706" t="s">
        <v>8189</v>
      </c>
      <c r="D921" s="706" t="s">
        <v>1841</v>
      </c>
      <c r="E921" s="706">
        <v>311.8279</v>
      </c>
      <c r="F921" s="706" t="s">
        <v>28</v>
      </c>
      <c r="G921" s="706">
        <v>408187</v>
      </c>
      <c r="H921" s="1191">
        <v>45370</v>
      </c>
      <c r="I921" s="706" t="s">
        <v>2361</v>
      </c>
      <c r="M921" s="706"/>
      <c r="N921" s="706"/>
      <c r="O921" s="706"/>
      <c r="P921" s="706"/>
    </row>
    <row r="922" spans="1:16">
      <c r="A922" s="706">
        <v>104619</v>
      </c>
      <c r="B922" s="706" t="s">
        <v>2611</v>
      </c>
      <c r="D922" s="706" t="s">
        <v>1841</v>
      </c>
      <c r="H922" s="1191"/>
      <c r="I922" s="706" t="s">
        <v>2361</v>
      </c>
      <c r="M922" s="706"/>
      <c r="N922" s="706"/>
      <c r="O922" s="706"/>
      <c r="P922" s="706"/>
    </row>
    <row r="923" spans="1:16">
      <c r="A923" s="706">
        <v>104620</v>
      </c>
      <c r="B923" s="706" t="s">
        <v>2612</v>
      </c>
      <c r="D923" s="706" t="s">
        <v>1841</v>
      </c>
      <c r="H923" s="1191"/>
      <c r="I923" s="706" t="s">
        <v>2361</v>
      </c>
      <c r="M923" s="706"/>
      <c r="N923" s="706"/>
      <c r="O923" s="706"/>
      <c r="P923" s="706"/>
    </row>
    <row r="924" spans="1:16">
      <c r="A924" s="706">
        <v>104621</v>
      </c>
      <c r="B924" s="706" t="s">
        <v>2613</v>
      </c>
      <c r="D924" s="706" t="s">
        <v>1841</v>
      </c>
      <c r="H924" s="1191"/>
      <c r="I924" s="706" t="s">
        <v>2361</v>
      </c>
      <c r="M924" s="706"/>
      <c r="N924" s="706"/>
      <c r="O924" s="706"/>
      <c r="P924" s="706"/>
    </row>
    <row r="925" spans="1:16">
      <c r="A925" s="706">
        <v>104622</v>
      </c>
      <c r="B925" s="706" t="s">
        <v>2614</v>
      </c>
      <c r="D925" s="706" t="s">
        <v>1841</v>
      </c>
      <c r="H925" s="1191"/>
      <c r="I925" s="706" t="s">
        <v>2361</v>
      </c>
      <c r="M925" s="706"/>
      <c r="N925" s="706"/>
      <c r="O925" s="706"/>
      <c r="P925" s="706"/>
    </row>
    <row r="926" spans="1:16">
      <c r="A926" s="706">
        <v>104623</v>
      </c>
      <c r="B926" s="706" t="s">
        <v>2615</v>
      </c>
      <c r="D926" s="706" t="s">
        <v>1841</v>
      </c>
      <c r="H926" s="1191"/>
      <c r="I926" s="706" t="s">
        <v>2361</v>
      </c>
      <c r="M926" s="706"/>
      <c r="N926" s="706"/>
      <c r="O926" s="706"/>
      <c r="P926" s="706"/>
    </row>
    <row r="927" spans="1:16">
      <c r="A927" s="706">
        <v>104624</v>
      </c>
      <c r="B927" s="706" t="s">
        <v>2616</v>
      </c>
      <c r="D927" s="706" t="s">
        <v>1841</v>
      </c>
      <c r="H927" s="1191"/>
      <c r="I927" s="706" t="s">
        <v>2361</v>
      </c>
      <c r="M927" s="706"/>
      <c r="N927" s="706"/>
      <c r="O927" s="706"/>
      <c r="P927" s="706"/>
    </row>
    <row r="928" spans="1:16">
      <c r="A928" s="706">
        <v>104625</v>
      </c>
      <c r="B928" s="706" t="s">
        <v>2617</v>
      </c>
      <c r="D928" s="706" t="s">
        <v>1841</v>
      </c>
      <c r="H928" s="1191"/>
      <c r="I928" s="706" t="s">
        <v>2361</v>
      </c>
      <c r="M928" s="706"/>
      <c r="N928" s="706"/>
      <c r="O928" s="706"/>
      <c r="P928" s="706"/>
    </row>
    <row r="929" spans="1:16">
      <c r="A929" s="706">
        <v>104626</v>
      </c>
      <c r="B929" s="706" t="s">
        <v>2618</v>
      </c>
      <c r="D929" s="706" t="s">
        <v>1841</v>
      </c>
      <c r="H929" s="1191"/>
      <c r="I929" s="706" t="s">
        <v>2361</v>
      </c>
      <c r="M929" s="706"/>
      <c r="N929" s="706"/>
      <c r="O929" s="706"/>
      <c r="P929" s="706"/>
    </row>
    <row r="930" spans="1:16">
      <c r="A930" s="706">
        <v>104627</v>
      </c>
      <c r="B930" s="706" t="s">
        <v>2619</v>
      </c>
      <c r="D930" s="706" t="s">
        <v>1841</v>
      </c>
      <c r="H930" s="1191"/>
      <c r="I930" s="706" t="s">
        <v>2361</v>
      </c>
      <c r="M930" s="706"/>
      <c r="N930" s="706"/>
      <c r="O930" s="706"/>
      <c r="P930" s="706"/>
    </row>
    <row r="931" spans="1:16">
      <c r="A931" s="706">
        <v>104628</v>
      </c>
      <c r="B931" s="706" t="s">
        <v>2620</v>
      </c>
      <c r="C931" s="706" t="s">
        <v>8189</v>
      </c>
      <c r="D931" s="706" t="s">
        <v>1841</v>
      </c>
      <c r="E931" s="706">
        <v>132</v>
      </c>
      <c r="F931" s="706" t="s">
        <v>28</v>
      </c>
      <c r="G931" s="706">
        <v>400421</v>
      </c>
      <c r="H931" s="1191">
        <v>43959</v>
      </c>
      <c r="I931" s="706" t="s">
        <v>2361</v>
      </c>
      <c r="M931" s="706"/>
      <c r="N931" s="706"/>
      <c r="O931" s="706"/>
      <c r="P931" s="706"/>
    </row>
    <row r="932" spans="1:16">
      <c r="A932" s="706">
        <v>104629</v>
      </c>
      <c r="B932" s="706" t="s">
        <v>2621</v>
      </c>
      <c r="D932" s="706" t="s">
        <v>1841</v>
      </c>
      <c r="H932" s="1191"/>
      <c r="I932" s="706" t="s">
        <v>2361</v>
      </c>
      <c r="M932" s="706"/>
      <c r="N932" s="706"/>
      <c r="O932" s="706"/>
      <c r="P932" s="706"/>
    </row>
    <row r="933" spans="1:16">
      <c r="A933" s="706">
        <v>104630</v>
      </c>
      <c r="B933" s="706" t="s">
        <v>2622</v>
      </c>
      <c r="D933" s="706" t="s">
        <v>1841</v>
      </c>
      <c r="H933" s="1191"/>
      <c r="I933" s="706" t="s">
        <v>2361</v>
      </c>
      <c r="M933" s="706"/>
      <c r="N933" s="706"/>
      <c r="O933" s="706"/>
      <c r="P933" s="706"/>
    </row>
    <row r="934" spans="1:16">
      <c r="A934" s="706">
        <v>104631</v>
      </c>
      <c r="B934" s="706" t="s">
        <v>2623</v>
      </c>
      <c r="D934" s="706" t="s">
        <v>1841</v>
      </c>
      <c r="H934" s="1191"/>
      <c r="I934" s="706" t="s">
        <v>2361</v>
      </c>
      <c r="M934" s="706"/>
      <c r="N934" s="706"/>
      <c r="O934" s="706"/>
      <c r="P934" s="706"/>
    </row>
    <row r="935" spans="1:16">
      <c r="A935" s="706">
        <v>104632</v>
      </c>
      <c r="B935" s="706" t="s">
        <v>2624</v>
      </c>
      <c r="D935" s="706" t="s">
        <v>1841</v>
      </c>
      <c r="H935" s="1191"/>
      <c r="I935" s="706" t="s">
        <v>2361</v>
      </c>
      <c r="M935" s="706"/>
      <c r="N935" s="706"/>
      <c r="O935" s="706"/>
      <c r="P935" s="706"/>
    </row>
    <row r="936" spans="1:16">
      <c r="A936" s="706">
        <v>104633</v>
      </c>
      <c r="B936" s="706" t="s">
        <v>2625</v>
      </c>
      <c r="D936" s="706" t="s">
        <v>1841</v>
      </c>
      <c r="H936" s="1191"/>
      <c r="I936" s="706" t="s">
        <v>2361</v>
      </c>
      <c r="M936" s="706"/>
      <c r="N936" s="706"/>
      <c r="O936" s="706"/>
      <c r="P936" s="706"/>
    </row>
    <row r="937" spans="1:16">
      <c r="A937" s="706">
        <v>104634</v>
      </c>
      <c r="B937" s="706" t="s">
        <v>2626</v>
      </c>
      <c r="C937" s="706" t="s">
        <v>2504</v>
      </c>
      <c r="D937" s="706" t="s">
        <v>1841</v>
      </c>
      <c r="E937" s="706">
        <v>353.07810000000001</v>
      </c>
      <c r="F937" s="706" t="s">
        <v>28</v>
      </c>
      <c r="G937" s="706">
        <v>407153</v>
      </c>
      <c r="H937" s="1191">
        <v>45183</v>
      </c>
      <c r="I937" s="706" t="s">
        <v>2361</v>
      </c>
      <c r="M937" s="706"/>
      <c r="N937" s="706"/>
      <c r="O937" s="706"/>
      <c r="P937" s="706"/>
    </row>
    <row r="938" spans="1:16">
      <c r="A938" s="706">
        <v>104635</v>
      </c>
      <c r="B938" s="706" t="s">
        <v>2627</v>
      </c>
      <c r="D938" s="706" t="s">
        <v>1841</v>
      </c>
      <c r="H938" s="1191"/>
      <c r="I938" s="706" t="s">
        <v>2361</v>
      </c>
      <c r="M938" s="706"/>
      <c r="N938" s="706"/>
      <c r="O938" s="706"/>
      <c r="P938" s="706"/>
    </row>
    <row r="939" spans="1:16">
      <c r="A939" s="706">
        <v>104636</v>
      </c>
      <c r="B939" s="706" t="s">
        <v>2628</v>
      </c>
      <c r="D939" s="706" t="s">
        <v>1841</v>
      </c>
      <c r="H939" s="1191"/>
      <c r="I939" s="706" t="s">
        <v>2361</v>
      </c>
      <c r="M939" s="706"/>
      <c r="N939" s="706"/>
      <c r="O939" s="706"/>
      <c r="P939" s="706"/>
    </row>
    <row r="940" spans="1:16">
      <c r="A940" s="706">
        <v>104637</v>
      </c>
      <c r="B940" s="706" t="s">
        <v>2629</v>
      </c>
      <c r="D940" s="706" t="s">
        <v>1841</v>
      </c>
      <c r="H940" s="1191"/>
      <c r="I940" s="706" t="s">
        <v>2361</v>
      </c>
      <c r="M940" s="706"/>
      <c r="N940" s="706"/>
      <c r="O940" s="706"/>
      <c r="P940" s="706"/>
    </row>
    <row r="941" spans="1:16">
      <c r="A941" s="706">
        <v>104638</v>
      </c>
      <c r="B941" s="706" t="s">
        <v>2630</v>
      </c>
      <c r="D941" s="706" t="s">
        <v>1841</v>
      </c>
      <c r="H941" s="1191"/>
      <c r="I941" s="706" t="s">
        <v>2361</v>
      </c>
      <c r="M941" s="706"/>
      <c r="N941" s="706"/>
      <c r="O941" s="706"/>
      <c r="P941" s="706"/>
    </row>
    <row r="942" spans="1:16">
      <c r="A942" s="706">
        <v>104639</v>
      </c>
      <c r="B942" s="706" t="s">
        <v>2631</v>
      </c>
      <c r="D942" s="706" t="s">
        <v>1841</v>
      </c>
      <c r="H942" s="1191"/>
      <c r="I942" s="706" t="s">
        <v>2361</v>
      </c>
      <c r="M942" s="706"/>
      <c r="N942" s="706"/>
      <c r="O942" s="706"/>
      <c r="P942" s="706"/>
    </row>
    <row r="943" spans="1:16">
      <c r="A943" s="706">
        <v>104640</v>
      </c>
      <c r="B943" s="706" t="s">
        <v>2632</v>
      </c>
      <c r="D943" s="706" t="s">
        <v>1841</v>
      </c>
      <c r="H943" s="1191"/>
      <c r="I943" s="706" t="s">
        <v>2361</v>
      </c>
      <c r="M943" s="706"/>
      <c r="N943" s="706"/>
      <c r="O943" s="706"/>
      <c r="P943" s="706"/>
    </row>
    <row r="944" spans="1:16">
      <c r="A944" s="706">
        <v>104641</v>
      </c>
      <c r="B944" s="706" t="s">
        <v>2633</v>
      </c>
      <c r="D944" s="706" t="s">
        <v>1841</v>
      </c>
      <c r="H944" s="1191"/>
      <c r="I944" s="706" t="s">
        <v>2361</v>
      </c>
      <c r="M944" s="706"/>
      <c r="N944" s="706"/>
      <c r="O944" s="706"/>
      <c r="P944" s="706"/>
    </row>
    <row r="945" spans="1:16">
      <c r="A945" s="706">
        <v>104642</v>
      </c>
      <c r="B945" s="706" t="s">
        <v>2634</v>
      </c>
      <c r="D945" s="706" t="s">
        <v>1841</v>
      </c>
      <c r="H945" s="1191"/>
      <c r="I945" s="706" t="s">
        <v>2361</v>
      </c>
      <c r="M945" s="706"/>
      <c r="N945" s="706"/>
      <c r="O945" s="706"/>
      <c r="P945" s="706"/>
    </row>
    <row r="946" spans="1:16">
      <c r="A946" s="706">
        <v>104643</v>
      </c>
      <c r="B946" s="706" t="s">
        <v>2635</v>
      </c>
      <c r="D946" s="706" t="s">
        <v>1841</v>
      </c>
      <c r="H946" s="1191"/>
      <c r="I946" s="706" t="s">
        <v>2361</v>
      </c>
      <c r="M946" s="706"/>
      <c r="N946" s="706"/>
      <c r="O946" s="706"/>
      <c r="P946" s="706"/>
    </row>
    <row r="947" spans="1:16">
      <c r="A947" s="706">
        <v>104644</v>
      </c>
      <c r="B947" s="706" t="s">
        <v>2636</v>
      </c>
      <c r="D947" s="706" t="s">
        <v>1841</v>
      </c>
      <c r="H947" s="1191"/>
      <c r="I947" s="706" t="s">
        <v>2361</v>
      </c>
      <c r="M947" s="706"/>
      <c r="N947" s="706"/>
      <c r="O947" s="706"/>
      <c r="P947" s="706"/>
    </row>
    <row r="948" spans="1:16">
      <c r="A948" s="706">
        <v>104645</v>
      </c>
      <c r="B948" s="706" t="s">
        <v>2637</v>
      </c>
      <c r="D948" s="706" t="s">
        <v>1841</v>
      </c>
      <c r="H948" s="1191"/>
      <c r="I948" s="706" t="s">
        <v>2361</v>
      </c>
      <c r="M948" s="706"/>
      <c r="N948" s="706"/>
      <c r="O948" s="706"/>
      <c r="P948" s="706"/>
    </row>
    <row r="949" spans="1:16">
      <c r="A949" s="706">
        <v>104646</v>
      </c>
      <c r="B949" s="706" t="s">
        <v>2638</v>
      </c>
      <c r="D949" s="706" t="s">
        <v>1841</v>
      </c>
      <c r="H949" s="1191"/>
      <c r="I949" s="706" t="s">
        <v>2361</v>
      </c>
      <c r="M949" s="706"/>
      <c r="N949" s="706"/>
      <c r="O949" s="706"/>
      <c r="P949" s="706"/>
    </row>
    <row r="950" spans="1:16">
      <c r="A950" s="706">
        <v>104647</v>
      </c>
      <c r="B950" s="706" t="s">
        <v>2639</v>
      </c>
      <c r="D950" s="706" t="s">
        <v>1841</v>
      </c>
      <c r="H950" s="1191"/>
      <c r="I950" s="706" t="s">
        <v>2361</v>
      </c>
      <c r="M950" s="706"/>
      <c r="N950" s="706"/>
      <c r="O950" s="706"/>
      <c r="P950" s="706"/>
    </row>
    <row r="951" spans="1:16">
      <c r="A951" s="706">
        <v>104648</v>
      </c>
      <c r="B951" s="706" t="s">
        <v>2640</v>
      </c>
      <c r="C951" s="706" t="s">
        <v>8189</v>
      </c>
      <c r="D951" s="706" t="s">
        <v>1841</v>
      </c>
      <c r="E951" s="706">
        <v>252</v>
      </c>
      <c r="F951" s="706" t="s">
        <v>28</v>
      </c>
      <c r="G951" s="706">
        <v>404516</v>
      </c>
      <c r="H951" s="1191">
        <v>44607</v>
      </c>
      <c r="I951" s="706" t="s">
        <v>2361</v>
      </c>
      <c r="M951" s="706"/>
      <c r="N951" s="706"/>
      <c r="O951" s="706"/>
      <c r="P951" s="706"/>
    </row>
    <row r="952" spans="1:16">
      <c r="A952" s="706">
        <v>104649</v>
      </c>
      <c r="B952" s="706" t="s">
        <v>2641</v>
      </c>
      <c r="D952" s="706" t="s">
        <v>1841</v>
      </c>
      <c r="H952" s="1191"/>
      <c r="I952" s="706" t="s">
        <v>2361</v>
      </c>
      <c r="M952" s="706"/>
      <c r="N952" s="706"/>
      <c r="O952" s="706"/>
      <c r="P952" s="706"/>
    </row>
    <row r="953" spans="1:16">
      <c r="A953" s="706">
        <v>104650</v>
      </c>
      <c r="B953" s="706" t="s">
        <v>2642</v>
      </c>
      <c r="D953" s="706" t="s">
        <v>1841</v>
      </c>
      <c r="H953" s="1191"/>
      <c r="I953" s="706" t="s">
        <v>2361</v>
      </c>
      <c r="M953" s="706"/>
      <c r="N953" s="706"/>
      <c r="O953" s="706"/>
      <c r="P953" s="706"/>
    </row>
    <row r="954" spans="1:16">
      <c r="A954" s="706">
        <v>104651</v>
      </c>
      <c r="B954" s="706" t="s">
        <v>2643</v>
      </c>
      <c r="D954" s="706" t="s">
        <v>1841</v>
      </c>
      <c r="H954" s="1191"/>
      <c r="I954" s="706" t="s">
        <v>2361</v>
      </c>
      <c r="M954" s="706"/>
      <c r="N954" s="706"/>
      <c r="O954" s="706"/>
      <c r="P954" s="706"/>
    </row>
    <row r="955" spans="1:16">
      <c r="A955" s="706">
        <v>104652</v>
      </c>
      <c r="B955" s="706" t="s">
        <v>2644</v>
      </c>
      <c r="D955" s="706" t="s">
        <v>1841</v>
      </c>
      <c r="H955" s="1191"/>
      <c r="I955" s="706" t="s">
        <v>2361</v>
      </c>
      <c r="M955" s="706"/>
      <c r="N955" s="706"/>
      <c r="O955" s="706"/>
      <c r="P955" s="706"/>
    </row>
    <row r="956" spans="1:16">
      <c r="A956" s="706">
        <v>104653</v>
      </c>
      <c r="B956" s="706" t="s">
        <v>2645</v>
      </c>
      <c r="D956" s="706" t="s">
        <v>1841</v>
      </c>
      <c r="H956" s="1191"/>
      <c r="I956" s="706" t="s">
        <v>2361</v>
      </c>
      <c r="M956" s="706"/>
      <c r="N956" s="706"/>
      <c r="O956" s="706"/>
      <c r="P956" s="706"/>
    </row>
    <row r="957" spans="1:16">
      <c r="A957" s="706">
        <v>104654</v>
      </c>
      <c r="B957" s="706" t="s">
        <v>2646</v>
      </c>
      <c r="D957" s="706" t="s">
        <v>1841</v>
      </c>
      <c r="H957" s="1191"/>
      <c r="I957" s="706" t="s">
        <v>2361</v>
      </c>
      <c r="M957" s="706"/>
      <c r="N957" s="706"/>
      <c r="O957" s="706"/>
      <c r="P957" s="706"/>
    </row>
    <row r="958" spans="1:16">
      <c r="A958" s="706">
        <v>104655</v>
      </c>
      <c r="B958" s="706" t="s">
        <v>2647</v>
      </c>
      <c r="D958" s="706" t="s">
        <v>1841</v>
      </c>
      <c r="H958" s="1191"/>
      <c r="I958" s="706" t="s">
        <v>2361</v>
      </c>
      <c r="M958" s="706"/>
      <c r="N958" s="706"/>
      <c r="O958" s="706"/>
      <c r="P958" s="706"/>
    </row>
    <row r="959" spans="1:16">
      <c r="A959" s="706">
        <v>104656</v>
      </c>
      <c r="B959" s="706" t="s">
        <v>2648</v>
      </c>
      <c r="D959" s="706" t="s">
        <v>1841</v>
      </c>
      <c r="H959" s="1191"/>
      <c r="I959" s="706" t="s">
        <v>2361</v>
      </c>
      <c r="M959" s="706"/>
      <c r="N959" s="706"/>
      <c r="O959" s="706"/>
      <c r="P959" s="706"/>
    </row>
    <row r="960" spans="1:16">
      <c r="A960" s="706">
        <v>104657</v>
      </c>
      <c r="B960" s="706" t="s">
        <v>2649</v>
      </c>
      <c r="D960" s="706" t="s">
        <v>1841</v>
      </c>
      <c r="H960" s="1191"/>
      <c r="I960" s="706" t="s">
        <v>2361</v>
      </c>
      <c r="M960" s="706"/>
      <c r="N960" s="706"/>
      <c r="O960" s="706"/>
      <c r="P960" s="706"/>
    </row>
    <row r="961" spans="1:16">
      <c r="A961" s="706">
        <v>104658</v>
      </c>
      <c r="B961" s="706" t="s">
        <v>2650</v>
      </c>
      <c r="C961" s="706" t="s">
        <v>8189</v>
      </c>
      <c r="D961" s="706" t="s">
        <v>1841</v>
      </c>
      <c r="E961" s="706">
        <v>170</v>
      </c>
      <c r="F961" s="706" t="s">
        <v>28</v>
      </c>
      <c r="G961" s="706">
        <v>402609</v>
      </c>
      <c r="H961" s="1191">
        <v>44251</v>
      </c>
      <c r="I961" s="706" t="s">
        <v>2361</v>
      </c>
      <c r="M961" s="706"/>
      <c r="N961" s="706"/>
      <c r="O961" s="706"/>
      <c r="P961" s="706"/>
    </row>
    <row r="962" spans="1:16">
      <c r="A962" s="706">
        <v>104659</v>
      </c>
      <c r="B962" s="706" t="s">
        <v>2651</v>
      </c>
      <c r="D962" s="706" t="s">
        <v>1841</v>
      </c>
      <c r="H962" s="1191"/>
      <c r="I962" s="706" t="s">
        <v>2361</v>
      </c>
      <c r="M962" s="706"/>
      <c r="N962" s="706"/>
      <c r="O962" s="706"/>
      <c r="P962" s="706"/>
    </row>
    <row r="963" spans="1:16">
      <c r="A963" s="706">
        <v>104660</v>
      </c>
      <c r="B963" s="706" t="s">
        <v>2652</v>
      </c>
      <c r="D963" s="706" t="s">
        <v>1841</v>
      </c>
      <c r="H963" s="1191"/>
      <c r="I963" s="706" t="s">
        <v>2361</v>
      </c>
      <c r="M963" s="706"/>
      <c r="N963" s="706"/>
      <c r="O963" s="706"/>
      <c r="P963" s="706"/>
    </row>
    <row r="964" spans="1:16">
      <c r="A964" s="706">
        <v>104661</v>
      </c>
      <c r="B964" s="706" t="s">
        <v>2653</v>
      </c>
      <c r="D964" s="706" t="s">
        <v>1841</v>
      </c>
      <c r="H964" s="1191"/>
      <c r="I964" s="706" t="s">
        <v>2361</v>
      </c>
      <c r="M964" s="706"/>
      <c r="N964" s="706"/>
      <c r="O964" s="706"/>
      <c r="P964" s="706"/>
    </row>
    <row r="965" spans="1:16">
      <c r="A965" s="706">
        <v>104662</v>
      </c>
      <c r="B965" s="706" t="s">
        <v>2654</v>
      </c>
      <c r="D965" s="706" t="s">
        <v>1841</v>
      </c>
      <c r="H965" s="1191"/>
      <c r="I965" s="706" t="s">
        <v>2361</v>
      </c>
      <c r="M965" s="706"/>
      <c r="N965" s="706"/>
      <c r="O965" s="706"/>
      <c r="P965" s="706"/>
    </row>
    <row r="966" spans="1:16">
      <c r="A966" s="706">
        <v>104663</v>
      </c>
      <c r="B966" s="706" t="s">
        <v>2655</v>
      </c>
      <c r="D966" s="706" t="s">
        <v>1841</v>
      </c>
      <c r="H966" s="1191"/>
      <c r="I966" s="706" t="s">
        <v>2361</v>
      </c>
      <c r="M966" s="706"/>
      <c r="N966" s="706"/>
      <c r="O966" s="706"/>
      <c r="P966" s="706"/>
    </row>
    <row r="967" spans="1:16">
      <c r="A967" s="706">
        <v>104664</v>
      </c>
      <c r="B967" s="706" t="s">
        <v>2656</v>
      </c>
      <c r="C967" s="706" t="s">
        <v>8189</v>
      </c>
      <c r="D967" s="706" t="s">
        <v>1841</v>
      </c>
      <c r="E967" s="706">
        <v>286</v>
      </c>
      <c r="F967" s="706" t="s">
        <v>28</v>
      </c>
      <c r="G967" s="706">
        <v>405082</v>
      </c>
      <c r="H967" s="1191">
        <v>44707</v>
      </c>
      <c r="I967" s="706" t="s">
        <v>2361</v>
      </c>
      <c r="M967" s="706"/>
      <c r="N967" s="706"/>
      <c r="O967" s="706"/>
      <c r="P967" s="706"/>
    </row>
    <row r="968" spans="1:16">
      <c r="A968" s="706">
        <v>104665</v>
      </c>
      <c r="B968" s="706" t="s">
        <v>2657</v>
      </c>
      <c r="D968" s="706" t="s">
        <v>1841</v>
      </c>
      <c r="H968" s="1191"/>
      <c r="I968" s="706" t="s">
        <v>2361</v>
      </c>
      <c r="M968" s="706"/>
      <c r="N968" s="706"/>
      <c r="O968" s="706"/>
      <c r="P968" s="706"/>
    </row>
    <row r="969" spans="1:16">
      <c r="A969" s="706">
        <v>104666</v>
      </c>
      <c r="B969" s="706" t="s">
        <v>2658</v>
      </c>
      <c r="D969" s="706" t="s">
        <v>1841</v>
      </c>
      <c r="H969" s="1191"/>
      <c r="I969" s="706" t="s">
        <v>2361</v>
      </c>
      <c r="M969" s="706"/>
      <c r="N969" s="706"/>
      <c r="O969" s="706"/>
      <c r="P969" s="706"/>
    </row>
    <row r="970" spans="1:16">
      <c r="A970" s="706">
        <v>104667</v>
      </c>
      <c r="B970" s="706" t="s">
        <v>2659</v>
      </c>
      <c r="D970" s="706" t="s">
        <v>1841</v>
      </c>
      <c r="H970" s="1191"/>
      <c r="I970" s="706" t="s">
        <v>2361</v>
      </c>
      <c r="M970" s="706"/>
      <c r="N970" s="706"/>
      <c r="O970" s="706"/>
      <c r="P970" s="706"/>
    </row>
    <row r="971" spans="1:16">
      <c r="A971" s="706">
        <v>104668</v>
      </c>
      <c r="B971" s="706" t="s">
        <v>2660</v>
      </c>
      <c r="C971" s="706" t="s">
        <v>8189</v>
      </c>
      <c r="D971" s="706" t="s">
        <v>1841</v>
      </c>
      <c r="E971" s="706">
        <v>167</v>
      </c>
      <c r="F971" s="706" t="s">
        <v>28</v>
      </c>
      <c r="G971" s="706">
        <v>409430</v>
      </c>
      <c r="H971" s="1191">
        <v>45608</v>
      </c>
      <c r="I971" s="706" t="s">
        <v>2361</v>
      </c>
      <c r="M971" s="706"/>
      <c r="N971" s="706"/>
      <c r="O971" s="706"/>
      <c r="P971" s="706"/>
    </row>
    <row r="972" spans="1:16">
      <c r="A972" s="706">
        <v>104669</v>
      </c>
      <c r="B972" s="706" t="s">
        <v>2661</v>
      </c>
      <c r="D972" s="706" t="s">
        <v>1841</v>
      </c>
      <c r="H972" s="1191"/>
      <c r="I972" s="706" t="s">
        <v>2361</v>
      </c>
      <c r="M972" s="706"/>
      <c r="N972" s="706"/>
      <c r="O972" s="706"/>
      <c r="P972" s="706"/>
    </row>
    <row r="973" spans="1:16">
      <c r="A973" s="706">
        <v>104670</v>
      </c>
      <c r="B973" s="706" t="s">
        <v>2662</v>
      </c>
      <c r="D973" s="706" t="s">
        <v>1841</v>
      </c>
      <c r="H973" s="1191"/>
      <c r="I973" s="706" t="s">
        <v>2361</v>
      </c>
      <c r="M973" s="706"/>
      <c r="N973" s="706"/>
      <c r="O973" s="706"/>
      <c r="P973" s="706"/>
    </row>
    <row r="974" spans="1:16">
      <c r="A974" s="706">
        <v>104671</v>
      </c>
      <c r="B974" s="706" t="s">
        <v>2663</v>
      </c>
      <c r="D974" s="706" t="s">
        <v>1841</v>
      </c>
      <c r="H974" s="1191"/>
      <c r="I974" s="706" t="s">
        <v>2361</v>
      </c>
      <c r="M974" s="706"/>
      <c r="N974" s="706"/>
      <c r="O974" s="706"/>
      <c r="P974" s="706"/>
    </row>
    <row r="975" spans="1:16">
      <c r="A975" s="706">
        <v>104672</v>
      </c>
      <c r="B975" s="706" t="s">
        <v>2664</v>
      </c>
      <c r="D975" s="706" t="s">
        <v>1841</v>
      </c>
      <c r="H975" s="1191"/>
      <c r="I975" s="706" t="s">
        <v>2361</v>
      </c>
      <c r="M975" s="706"/>
      <c r="N975" s="706"/>
      <c r="O975" s="706"/>
      <c r="P975" s="706"/>
    </row>
    <row r="976" spans="1:16">
      <c r="A976" s="706">
        <v>104673</v>
      </c>
      <c r="B976" s="706" t="s">
        <v>2665</v>
      </c>
      <c r="D976" s="706" t="s">
        <v>1841</v>
      </c>
      <c r="H976" s="1191"/>
      <c r="I976" s="706" t="s">
        <v>2361</v>
      </c>
      <c r="M976" s="706"/>
      <c r="N976" s="706"/>
      <c r="O976" s="706"/>
      <c r="P976" s="706"/>
    </row>
    <row r="977" spans="1:16">
      <c r="A977" s="706">
        <v>104674</v>
      </c>
      <c r="B977" s="706" t="s">
        <v>2666</v>
      </c>
      <c r="C977" s="706" t="s">
        <v>8189</v>
      </c>
      <c r="D977" s="706" t="s">
        <v>1841</v>
      </c>
      <c r="E977" s="706">
        <v>130</v>
      </c>
      <c r="F977" s="706" t="s">
        <v>28</v>
      </c>
      <c r="G977" s="706">
        <v>403575</v>
      </c>
      <c r="H977" s="1191">
        <v>44407</v>
      </c>
      <c r="I977" s="706" t="s">
        <v>2361</v>
      </c>
      <c r="M977" s="706"/>
      <c r="N977" s="706"/>
      <c r="O977" s="706"/>
      <c r="P977" s="706"/>
    </row>
    <row r="978" spans="1:16">
      <c r="A978" s="706">
        <v>104675</v>
      </c>
      <c r="B978" s="706" t="s">
        <v>2667</v>
      </c>
      <c r="D978" s="706" t="s">
        <v>1841</v>
      </c>
      <c r="H978" s="1191"/>
      <c r="I978" s="706" t="s">
        <v>2361</v>
      </c>
      <c r="M978" s="706"/>
      <c r="N978" s="706"/>
      <c r="O978" s="706"/>
      <c r="P978" s="706"/>
    </row>
    <row r="979" spans="1:16">
      <c r="A979" s="706">
        <v>104676</v>
      </c>
      <c r="B979" s="706" t="s">
        <v>2668</v>
      </c>
      <c r="D979" s="706" t="s">
        <v>1841</v>
      </c>
      <c r="H979" s="1191"/>
      <c r="I979" s="706" t="s">
        <v>2361</v>
      </c>
      <c r="M979" s="706"/>
      <c r="N979" s="706"/>
      <c r="O979" s="706"/>
      <c r="P979" s="706"/>
    </row>
    <row r="980" spans="1:16">
      <c r="A980" s="706">
        <v>104677</v>
      </c>
      <c r="B980" s="706" t="s">
        <v>2669</v>
      </c>
      <c r="D980" s="706" t="s">
        <v>1841</v>
      </c>
      <c r="H980" s="1191"/>
      <c r="I980" s="706" t="s">
        <v>2361</v>
      </c>
      <c r="M980" s="706"/>
      <c r="N980" s="706"/>
      <c r="O980" s="706"/>
      <c r="P980" s="706"/>
    </row>
    <row r="981" spans="1:16">
      <c r="A981" s="706">
        <v>104678</v>
      </c>
      <c r="B981" s="706" t="s">
        <v>2670</v>
      </c>
      <c r="D981" s="706" t="s">
        <v>1841</v>
      </c>
      <c r="H981" s="1191"/>
      <c r="I981" s="706" t="s">
        <v>2361</v>
      </c>
      <c r="M981" s="706"/>
      <c r="N981" s="706"/>
      <c r="O981" s="706"/>
      <c r="P981" s="706"/>
    </row>
    <row r="982" spans="1:16">
      <c r="A982" s="706">
        <v>104679</v>
      </c>
      <c r="B982" s="706" t="s">
        <v>2671</v>
      </c>
      <c r="C982" s="706" t="s">
        <v>8189</v>
      </c>
      <c r="D982" s="706" t="s">
        <v>1841</v>
      </c>
      <c r="E982" s="706">
        <v>172</v>
      </c>
      <c r="F982" s="706" t="s">
        <v>28</v>
      </c>
      <c r="G982" s="706">
        <v>407741</v>
      </c>
      <c r="H982" s="1191">
        <v>45299</v>
      </c>
      <c r="I982" s="706" t="s">
        <v>2361</v>
      </c>
      <c r="M982" s="706"/>
      <c r="N982" s="706"/>
      <c r="O982" s="706"/>
      <c r="P982" s="706"/>
    </row>
    <row r="983" spans="1:16">
      <c r="A983" s="706">
        <v>104680</v>
      </c>
      <c r="B983" s="706" t="s">
        <v>2672</v>
      </c>
      <c r="D983" s="706" t="s">
        <v>1841</v>
      </c>
      <c r="H983" s="1191"/>
      <c r="I983" s="706" t="s">
        <v>2361</v>
      </c>
      <c r="M983" s="706"/>
      <c r="N983" s="706"/>
      <c r="O983" s="706"/>
      <c r="P983" s="706"/>
    </row>
    <row r="984" spans="1:16">
      <c r="A984" s="706">
        <v>104681</v>
      </c>
      <c r="B984" s="706" t="s">
        <v>2673</v>
      </c>
      <c r="D984" s="706" t="s">
        <v>1841</v>
      </c>
      <c r="H984" s="1191"/>
      <c r="I984" s="706" t="s">
        <v>2361</v>
      </c>
      <c r="M984" s="706"/>
      <c r="N984" s="706"/>
      <c r="O984" s="706"/>
      <c r="P984" s="706"/>
    </row>
    <row r="985" spans="1:16">
      <c r="A985" s="706">
        <v>104682</v>
      </c>
      <c r="B985" s="706" t="s">
        <v>2674</v>
      </c>
      <c r="D985" s="706" t="s">
        <v>1841</v>
      </c>
      <c r="H985" s="1191"/>
      <c r="I985" s="706" t="s">
        <v>2361</v>
      </c>
      <c r="M985" s="706"/>
      <c r="N985" s="706"/>
      <c r="O985" s="706"/>
      <c r="P985" s="706"/>
    </row>
    <row r="986" spans="1:16">
      <c r="A986" s="706">
        <v>104683</v>
      </c>
      <c r="B986" s="706" t="s">
        <v>2675</v>
      </c>
      <c r="D986" s="706" t="s">
        <v>1841</v>
      </c>
      <c r="H986" s="1191"/>
      <c r="I986" s="706" t="s">
        <v>2361</v>
      </c>
      <c r="M986" s="706"/>
      <c r="N986" s="706"/>
      <c r="O986" s="706"/>
      <c r="P986" s="706"/>
    </row>
    <row r="987" spans="1:16">
      <c r="A987" s="706">
        <v>104684</v>
      </c>
      <c r="B987" s="706" t="s">
        <v>2676</v>
      </c>
      <c r="D987" s="706" t="s">
        <v>1841</v>
      </c>
      <c r="H987" s="1191"/>
      <c r="I987" s="706" t="s">
        <v>2361</v>
      </c>
      <c r="M987" s="706"/>
      <c r="N987" s="706"/>
      <c r="O987" s="706"/>
      <c r="P987" s="706"/>
    </row>
    <row r="988" spans="1:16">
      <c r="A988" s="706">
        <v>104685</v>
      </c>
      <c r="B988" s="706" t="s">
        <v>2677</v>
      </c>
      <c r="C988" s="706" t="s">
        <v>8189</v>
      </c>
      <c r="D988" s="706" t="s">
        <v>1841</v>
      </c>
      <c r="E988" s="706">
        <v>162</v>
      </c>
      <c r="F988" s="706" t="s">
        <v>28</v>
      </c>
      <c r="G988" s="706">
        <v>407911</v>
      </c>
      <c r="H988" s="1191">
        <v>45323</v>
      </c>
      <c r="I988" s="706" t="s">
        <v>2361</v>
      </c>
      <c r="M988" s="706"/>
      <c r="N988" s="706"/>
      <c r="O988" s="706"/>
      <c r="P988" s="706"/>
    </row>
    <row r="989" spans="1:16">
      <c r="A989" s="706">
        <v>104686</v>
      </c>
      <c r="B989" s="706" t="s">
        <v>2678</v>
      </c>
      <c r="D989" s="706" t="s">
        <v>1841</v>
      </c>
      <c r="H989" s="1191"/>
      <c r="I989" s="706" t="s">
        <v>2361</v>
      </c>
      <c r="M989" s="706"/>
      <c r="N989" s="706"/>
      <c r="O989" s="706"/>
      <c r="P989" s="706"/>
    </row>
    <row r="990" spans="1:16">
      <c r="A990" s="706">
        <v>104687</v>
      </c>
      <c r="B990" s="706" t="s">
        <v>2679</v>
      </c>
      <c r="D990" s="706" t="s">
        <v>1841</v>
      </c>
      <c r="H990" s="1191"/>
      <c r="I990" s="706" t="s">
        <v>2361</v>
      </c>
      <c r="M990" s="706"/>
      <c r="N990" s="706"/>
      <c r="O990" s="706"/>
      <c r="P990" s="706"/>
    </row>
    <row r="991" spans="1:16">
      <c r="A991" s="706">
        <v>104688</v>
      </c>
      <c r="B991" s="706" t="s">
        <v>2680</v>
      </c>
      <c r="C991" s="706" t="s">
        <v>8189</v>
      </c>
      <c r="D991" s="706" t="s">
        <v>1841</v>
      </c>
      <c r="E991" s="706">
        <v>243.75</v>
      </c>
      <c r="F991" s="706" t="s">
        <v>28</v>
      </c>
      <c r="G991" s="706">
        <v>411011</v>
      </c>
      <c r="H991" s="1191">
        <v>45923</v>
      </c>
      <c r="I991" s="706" t="s">
        <v>2361</v>
      </c>
      <c r="M991" s="706"/>
      <c r="N991" s="706"/>
      <c r="O991" s="706"/>
      <c r="P991" s="706"/>
    </row>
    <row r="992" spans="1:16">
      <c r="A992" s="706">
        <v>104689</v>
      </c>
      <c r="B992" s="706" t="s">
        <v>2681</v>
      </c>
      <c r="C992" s="706" t="s">
        <v>8189</v>
      </c>
      <c r="D992" s="706" t="s">
        <v>1841</v>
      </c>
      <c r="E992" s="706">
        <v>138</v>
      </c>
      <c r="F992" s="706" t="s">
        <v>28</v>
      </c>
      <c r="G992" s="706">
        <v>403525</v>
      </c>
      <c r="H992" s="1191">
        <v>44398</v>
      </c>
      <c r="I992" s="706" t="s">
        <v>2361</v>
      </c>
      <c r="M992" s="706"/>
      <c r="N992" s="706"/>
      <c r="O992" s="706"/>
      <c r="P992" s="706"/>
    </row>
    <row r="993" spans="1:16">
      <c r="A993" s="706">
        <v>104690</v>
      </c>
      <c r="B993" s="706" t="s">
        <v>2682</v>
      </c>
      <c r="D993" s="706" t="s">
        <v>1841</v>
      </c>
      <c r="H993" s="1191"/>
      <c r="I993" s="706" t="s">
        <v>2361</v>
      </c>
      <c r="M993" s="706"/>
      <c r="N993" s="706"/>
      <c r="O993" s="706"/>
      <c r="P993" s="706"/>
    </row>
    <row r="994" spans="1:16">
      <c r="A994" s="706">
        <v>104691</v>
      </c>
      <c r="B994" s="706" t="s">
        <v>2683</v>
      </c>
      <c r="D994" s="706" t="s">
        <v>1841</v>
      </c>
      <c r="H994" s="1191"/>
      <c r="I994" s="706" t="s">
        <v>2361</v>
      </c>
      <c r="M994" s="706"/>
      <c r="N994" s="706"/>
      <c r="O994" s="706"/>
      <c r="P994" s="706"/>
    </row>
    <row r="995" spans="1:16">
      <c r="A995" s="706">
        <v>104692</v>
      </c>
      <c r="B995" s="706" t="s">
        <v>2684</v>
      </c>
      <c r="D995" s="706" t="s">
        <v>1841</v>
      </c>
      <c r="H995" s="1191"/>
      <c r="I995" s="706" t="s">
        <v>2361</v>
      </c>
      <c r="M995" s="706"/>
      <c r="N995" s="706"/>
      <c r="O995" s="706"/>
      <c r="P995" s="706"/>
    </row>
    <row r="996" spans="1:16">
      <c r="A996" s="706">
        <v>104693</v>
      </c>
      <c r="B996" s="706" t="s">
        <v>2685</v>
      </c>
      <c r="D996" s="706" t="s">
        <v>1841</v>
      </c>
      <c r="H996" s="1191"/>
      <c r="I996" s="706" t="s">
        <v>2361</v>
      </c>
      <c r="M996" s="706"/>
      <c r="N996" s="706"/>
      <c r="O996" s="706"/>
      <c r="P996" s="706"/>
    </row>
    <row r="997" spans="1:16">
      <c r="A997" s="706">
        <v>104694</v>
      </c>
      <c r="B997" s="706" t="s">
        <v>2686</v>
      </c>
      <c r="C997" s="706" t="s">
        <v>8189</v>
      </c>
      <c r="D997" s="706" t="s">
        <v>1841</v>
      </c>
      <c r="E997" s="706">
        <v>60</v>
      </c>
      <c r="F997" s="706" t="s">
        <v>28</v>
      </c>
      <c r="G997" s="706">
        <v>409231</v>
      </c>
      <c r="H997" s="1191">
        <v>45569</v>
      </c>
      <c r="I997" s="706" t="s">
        <v>2361</v>
      </c>
      <c r="M997" s="706"/>
      <c r="N997" s="706"/>
      <c r="O997" s="706"/>
      <c r="P997" s="706"/>
    </row>
    <row r="998" spans="1:16">
      <c r="A998" s="706">
        <v>104695</v>
      </c>
      <c r="B998" s="706" t="s">
        <v>2687</v>
      </c>
      <c r="C998" s="706" t="s">
        <v>8189</v>
      </c>
      <c r="D998" s="706" t="s">
        <v>1841</v>
      </c>
      <c r="E998" s="706">
        <v>182</v>
      </c>
      <c r="F998" s="706" t="s">
        <v>28</v>
      </c>
      <c r="G998" s="706">
        <v>408419</v>
      </c>
      <c r="H998" s="1191">
        <v>45412</v>
      </c>
      <c r="I998" s="706" t="s">
        <v>2361</v>
      </c>
      <c r="M998" s="706"/>
      <c r="N998" s="706"/>
      <c r="O998" s="706"/>
      <c r="P998" s="706"/>
    </row>
    <row r="999" spans="1:16">
      <c r="A999" s="706">
        <v>104696</v>
      </c>
      <c r="B999" s="706" t="s">
        <v>2688</v>
      </c>
      <c r="D999" s="706" t="s">
        <v>1841</v>
      </c>
      <c r="H999" s="1191"/>
      <c r="I999" s="706" t="s">
        <v>2361</v>
      </c>
      <c r="M999" s="706"/>
      <c r="N999" s="706"/>
      <c r="O999" s="706"/>
      <c r="P999" s="706"/>
    </row>
    <row r="1000" spans="1:16">
      <c r="A1000" s="706">
        <v>104697</v>
      </c>
      <c r="B1000" s="706" t="s">
        <v>2689</v>
      </c>
      <c r="C1000" s="706" t="s">
        <v>8189</v>
      </c>
      <c r="D1000" s="706" t="s">
        <v>1841</v>
      </c>
      <c r="E1000" s="706">
        <v>0</v>
      </c>
      <c r="F1000" s="706" t="s">
        <v>28</v>
      </c>
      <c r="G1000" s="706">
        <v>404224</v>
      </c>
      <c r="H1000" s="1191">
        <v>44544</v>
      </c>
      <c r="I1000" s="706" t="s">
        <v>2361</v>
      </c>
      <c r="M1000" s="706"/>
      <c r="N1000" s="706"/>
      <c r="O1000" s="706"/>
      <c r="P1000" s="706"/>
    </row>
    <row r="1001" spans="1:16">
      <c r="A1001" s="706">
        <v>104698</v>
      </c>
      <c r="B1001" s="706" t="s">
        <v>2690</v>
      </c>
      <c r="C1001" s="706" t="s">
        <v>8189</v>
      </c>
      <c r="D1001" s="706" t="s">
        <v>1841</v>
      </c>
      <c r="E1001" s="706">
        <v>69.007999999999996</v>
      </c>
      <c r="F1001" s="706" t="s">
        <v>28</v>
      </c>
      <c r="G1001" s="706">
        <v>31633</v>
      </c>
      <c r="H1001" s="1191">
        <v>43844</v>
      </c>
      <c r="I1001" s="706" t="s">
        <v>2361</v>
      </c>
      <c r="M1001" s="706"/>
      <c r="N1001" s="706"/>
      <c r="O1001" s="706"/>
      <c r="P1001" s="706"/>
    </row>
    <row r="1002" spans="1:16">
      <c r="A1002" s="706">
        <v>104699</v>
      </c>
      <c r="B1002" s="706" t="s">
        <v>2691</v>
      </c>
      <c r="C1002" s="706" t="s">
        <v>8189</v>
      </c>
      <c r="D1002" s="706" t="s">
        <v>1841</v>
      </c>
      <c r="E1002" s="706">
        <v>207</v>
      </c>
      <c r="F1002" s="706" t="s">
        <v>28</v>
      </c>
      <c r="G1002" s="706">
        <v>404936</v>
      </c>
      <c r="H1002" s="1191">
        <v>44680</v>
      </c>
      <c r="I1002" s="706" t="s">
        <v>2361</v>
      </c>
      <c r="M1002" s="706"/>
      <c r="N1002" s="706"/>
      <c r="O1002" s="706"/>
      <c r="P1002" s="706"/>
    </row>
    <row r="1003" spans="1:16">
      <c r="A1003" s="706">
        <v>104700</v>
      </c>
      <c r="B1003" s="706" t="s">
        <v>2692</v>
      </c>
      <c r="D1003" s="706" t="s">
        <v>1841</v>
      </c>
      <c r="H1003" s="1191"/>
      <c r="I1003" s="706" t="s">
        <v>2361</v>
      </c>
      <c r="M1003" s="706"/>
      <c r="N1003" s="706"/>
      <c r="O1003" s="706"/>
      <c r="P1003" s="706"/>
    </row>
    <row r="1004" spans="1:16">
      <c r="A1004" s="706">
        <v>104701</v>
      </c>
      <c r="B1004" s="706" t="s">
        <v>2693</v>
      </c>
      <c r="D1004" s="706" t="s">
        <v>1841</v>
      </c>
      <c r="H1004" s="1191"/>
      <c r="I1004" s="706" t="s">
        <v>2361</v>
      </c>
      <c r="M1004" s="706"/>
      <c r="N1004" s="706"/>
      <c r="O1004" s="706"/>
      <c r="P1004" s="706"/>
    </row>
    <row r="1005" spans="1:16">
      <c r="A1005" s="706">
        <v>104702</v>
      </c>
      <c r="B1005" s="706" t="s">
        <v>2694</v>
      </c>
      <c r="D1005" s="706" t="s">
        <v>1841</v>
      </c>
      <c r="H1005" s="1191"/>
      <c r="I1005" s="706" t="s">
        <v>2361</v>
      </c>
      <c r="M1005" s="706"/>
      <c r="N1005" s="706"/>
      <c r="O1005" s="706"/>
      <c r="P1005" s="706"/>
    </row>
    <row r="1006" spans="1:16">
      <c r="A1006" s="706">
        <v>104703</v>
      </c>
      <c r="B1006" s="706" t="s">
        <v>2695</v>
      </c>
      <c r="D1006" s="706" t="s">
        <v>1841</v>
      </c>
      <c r="H1006" s="1191"/>
      <c r="I1006" s="706" t="s">
        <v>2361</v>
      </c>
      <c r="M1006" s="706"/>
      <c r="N1006" s="706"/>
      <c r="O1006" s="706"/>
      <c r="P1006" s="706"/>
    </row>
    <row r="1007" spans="1:16">
      <c r="A1007" s="706">
        <v>104704</v>
      </c>
      <c r="B1007" s="706" t="s">
        <v>2696</v>
      </c>
      <c r="C1007" s="706" t="s">
        <v>8189</v>
      </c>
      <c r="D1007" s="706" t="s">
        <v>1841</v>
      </c>
      <c r="E1007" s="706">
        <v>114</v>
      </c>
      <c r="F1007" s="706" t="s">
        <v>28</v>
      </c>
      <c r="G1007" s="706">
        <v>407976</v>
      </c>
      <c r="H1007" s="1191">
        <v>45335</v>
      </c>
      <c r="I1007" s="706" t="s">
        <v>2361</v>
      </c>
      <c r="M1007" s="706"/>
      <c r="N1007" s="706"/>
      <c r="O1007" s="706"/>
      <c r="P1007" s="706"/>
    </row>
    <row r="1008" spans="1:16">
      <c r="A1008" s="706">
        <v>104705</v>
      </c>
      <c r="B1008" s="706" t="s">
        <v>2697</v>
      </c>
      <c r="D1008" s="706" t="s">
        <v>1841</v>
      </c>
      <c r="H1008" s="1191"/>
      <c r="I1008" s="706" t="s">
        <v>2361</v>
      </c>
      <c r="M1008" s="706"/>
      <c r="N1008" s="706"/>
      <c r="O1008" s="706"/>
      <c r="P1008" s="706"/>
    </row>
    <row r="1009" spans="1:16">
      <c r="A1009" s="706">
        <v>104706</v>
      </c>
      <c r="B1009" s="706" t="s">
        <v>2698</v>
      </c>
      <c r="D1009" s="706" t="s">
        <v>1841</v>
      </c>
      <c r="H1009" s="1191"/>
      <c r="I1009" s="706" t="s">
        <v>2361</v>
      </c>
      <c r="M1009" s="706"/>
      <c r="N1009" s="706"/>
      <c r="O1009" s="706"/>
      <c r="P1009" s="706"/>
    </row>
    <row r="1010" spans="1:16">
      <c r="A1010" s="706">
        <v>104707</v>
      </c>
      <c r="B1010" s="706" t="s">
        <v>2699</v>
      </c>
      <c r="D1010" s="706" t="s">
        <v>1841</v>
      </c>
      <c r="H1010" s="1191"/>
      <c r="I1010" s="706" t="s">
        <v>2361</v>
      </c>
      <c r="M1010" s="706"/>
      <c r="N1010" s="706"/>
      <c r="O1010" s="706"/>
      <c r="P1010" s="706"/>
    </row>
    <row r="1011" spans="1:16">
      <c r="A1011" s="706">
        <v>104708</v>
      </c>
      <c r="B1011" s="706" t="s">
        <v>2700</v>
      </c>
      <c r="C1011" s="706" t="s">
        <v>8189</v>
      </c>
      <c r="D1011" s="706" t="s">
        <v>1841</v>
      </c>
      <c r="E1011" s="706">
        <v>48.11</v>
      </c>
      <c r="F1011" s="706" t="s">
        <v>28</v>
      </c>
      <c r="G1011" s="706">
        <v>400329</v>
      </c>
      <c r="H1011" s="1191">
        <v>43950</v>
      </c>
      <c r="I1011" s="706" t="s">
        <v>2361</v>
      </c>
      <c r="M1011" s="706"/>
      <c r="N1011" s="706"/>
      <c r="O1011" s="706"/>
      <c r="P1011" s="706"/>
    </row>
    <row r="1012" spans="1:16">
      <c r="A1012" s="706">
        <v>104709</v>
      </c>
      <c r="B1012" s="706" t="s">
        <v>2701</v>
      </c>
      <c r="C1012" s="706" t="s">
        <v>8189</v>
      </c>
      <c r="D1012" s="706" t="s">
        <v>1841</v>
      </c>
      <c r="E1012" s="706">
        <v>218.75</v>
      </c>
      <c r="F1012" s="706" t="s">
        <v>28</v>
      </c>
      <c r="G1012" s="706">
        <v>410761</v>
      </c>
      <c r="H1012" s="1191">
        <v>45881</v>
      </c>
      <c r="I1012" s="706" t="s">
        <v>2361</v>
      </c>
      <c r="M1012" s="706"/>
      <c r="N1012" s="706"/>
      <c r="O1012" s="706"/>
      <c r="P1012" s="706"/>
    </row>
    <row r="1013" spans="1:16">
      <c r="A1013" s="706">
        <v>104710</v>
      </c>
      <c r="B1013" s="706" t="s">
        <v>2702</v>
      </c>
      <c r="D1013" s="706" t="s">
        <v>1841</v>
      </c>
      <c r="H1013" s="1191"/>
      <c r="I1013" s="706" t="s">
        <v>2361</v>
      </c>
      <c r="M1013" s="706"/>
      <c r="N1013" s="706"/>
      <c r="O1013" s="706"/>
      <c r="P1013" s="706"/>
    </row>
    <row r="1014" spans="1:16">
      <c r="A1014" s="706">
        <v>104711</v>
      </c>
      <c r="B1014" s="706" t="s">
        <v>2703</v>
      </c>
      <c r="D1014" s="706" t="s">
        <v>1841</v>
      </c>
      <c r="H1014" s="1191"/>
      <c r="I1014" s="706" t="s">
        <v>2361</v>
      </c>
      <c r="M1014" s="706"/>
      <c r="N1014" s="706"/>
      <c r="O1014" s="706"/>
      <c r="P1014" s="706"/>
    </row>
    <row r="1015" spans="1:16">
      <c r="A1015" s="706">
        <v>104712</v>
      </c>
      <c r="B1015" s="706" t="s">
        <v>2704</v>
      </c>
      <c r="C1015" s="706" t="s">
        <v>8189</v>
      </c>
      <c r="D1015" s="706" t="s">
        <v>1841</v>
      </c>
      <c r="E1015" s="706">
        <v>100</v>
      </c>
      <c r="F1015" s="706" t="s">
        <v>28</v>
      </c>
      <c r="G1015" s="706">
        <v>406357</v>
      </c>
      <c r="H1015" s="1191">
        <v>44999</v>
      </c>
      <c r="I1015" s="706" t="s">
        <v>2361</v>
      </c>
      <c r="M1015" s="706"/>
      <c r="N1015" s="706"/>
      <c r="O1015" s="706"/>
      <c r="P1015" s="706"/>
    </row>
    <row r="1016" spans="1:16">
      <c r="A1016" s="706">
        <v>104713</v>
      </c>
      <c r="B1016" s="706" t="s">
        <v>2705</v>
      </c>
      <c r="C1016" s="706" t="s">
        <v>8189</v>
      </c>
      <c r="D1016" s="706" t="s">
        <v>1841</v>
      </c>
      <c r="E1016" s="706">
        <v>78</v>
      </c>
      <c r="F1016" s="706" t="s">
        <v>28</v>
      </c>
      <c r="G1016" s="706">
        <v>411523</v>
      </c>
      <c r="H1016" s="1191">
        <v>46034</v>
      </c>
      <c r="I1016" s="706" t="s">
        <v>2361</v>
      </c>
      <c r="M1016" s="706"/>
      <c r="N1016" s="706"/>
      <c r="O1016" s="706"/>
      <c r="P1016" s="706"/>
    </row>
    <row r="1017" spans="1:16">
      <c r="A1017" s="706">
        <v>104714</v>
      </c>
      <c r="B1017" s="706" t="s">
        <v>2706</v>
      </c>
      <c r="C1017" s="706" t="s">
        <v>8189</v>
      </c>
      <c r="D1017" s="706" t="s">
        <v>1841</v>
      </c>
      <c r="E1017" s="706">
        <v>116.6666</v>
      </c>
      <c r="F1017" s="706" t="s">
        <v>28</v>
      </c>
      <c r="G1017" s="706">
        <v>409868</v>
      </c>
      <c r="H1017" s="1191">
        <v>45708</v>
      </c>
      <c r="I1017" s="706" t="s">
        <v>2361</v>
      </c>
      <c r="M1017" s="706"/>
      <c r="N1017" s="706"/>
      <c r="O1017" s="706"/>
      <c r="P1017" s="706"/>
    </row>
    <row r="1018" spans="1:16">
      <c r="A1018" s="706">
        <v>104715</v>
      </c>
      <c r="B1018" s="706" t="s">
        <v>2707</v>
      </c>
      <c r="D1018" s="706" t="s">
        <v>1841</v>
      </c>
      <c r="H1018" s="1191"/>
      <c r="I1018" s="706" t="s">
        <v>2361</v>
      </c>
      <c r="M1018" s="706"/>
      <c r="N1018" s="706"/>
      <c r="O1018" s="706"/>
      <c r="P1018" s="706"/>
    </row>
    <row r="1019" spans="1:16">
      <c r="A1019" s="706">
        <v>104716</v>
      </c>
      <c r="B1019" s="706" t="s">
        <v>2708</v>
      </c>
      <c r="D1019" s="706" t="s">
        <v>1841</v>
      </c>
      <c r="H1019" s="1191"/>
      <c r="I1019" s="706" t="s">
        <v>2361</v>
      </c>
      <c r="M1019" s="706"/>
      <c r="N1019" s="706"/>
      <c r="O1019" s="706"/>
      <c r="P1019" s="706"/>
    </row>
    <row r="1020" spans="1:16">
      <c r="A1020" s="706">
        <v>104717</v>
      </c>
      <c r="B1020" s="706" t="s">
        <v>2709</v>
      </c>
      <c r="D1020" s="706" t="s">
        <v>1841</v>
      </c>
      <c r="H1020" s="1191"/>
      <c r="I1020" s="706" t="s">
        <v>2361</v>
      </c>
      <c r="M1020" s="706"/>
      <c r="N1020" s="706"/>
      <c r="O1020" s="706"/>
      <c r="P1020" s="706"/>
    </row>
    <row r="1021" spans="1:16">
      <c r="A1021" s="706">
        <v>104718</v>
      </c>
      <c r="B1021" s="706" t="s">
        <v>2710</v>
      </c>
      <c r="D1021" s="706" t="s">
        <v>1841</v>
      </c>
      <c r="H1021" s="1191"/>
      <c r="I1021" s="706" t="s">
        <v>2361</v>
      </c>
      <c r="M1021" s="706"/>
      <c r="N1021" s="706"/>
      <c r="O1021" s="706"/>
      <c r="P1021" s="706"/>
    </row>
    <row r="1022" spans="1:16">
      <c r="A1022" s="706">
        <v>104719</v>
      </c>
      <c r="B1022" s="706" t="s">
        <v>2711</v>
      </c>
      <c r="C1022" s="706" t="s">
        <v>8189</v>
      </c>
      <c r="D1022" s="706" t="s">
        <v>1841</v>
      </c>
      <c r="E1022" s="706">
        <v>111</v>
      </c>
      <c r="F1022" s="706" t="s">
        <v>28</v>
      </c>
      <c r="G1022" s="706">
        <v>407741</v>
      </c>
      <c r="H1022" s="1191">
        <v>45299</v>
      </c>
      <c r="I1022" s="706" t="s">
        <v>2361</v>
      </c>
      <c r="M1022" s="706"/>
      <c r="N1022" s="706"/>
      <c r="O1022" s="706"/>
      <c r="P1022" s="706"/>
    </row>
    <row r="1023" spans="1:16">
      <c r="A1023" s="706">
        <v>104720</v>
      </c>
      <c r="B1023" s="706" t="s">
        <v>2712</v>
      </c>
      <c r="D1023" s="706" t="s">
        <v>1841</v>
      </c>
      <c r="H1023" s="1191"/>
      <c r="I1023" s="706" t="s">
        <v>2361</v>
      </c>
      <c r="M1023" s="706"/>
      <c r="N1023" s="706"/>
      <c r="O1023" s="706"/>
      <c r="P1023" s="706"/>
    </row>
    <row r="1024" spans="1:16">
      <c r="A1024" s="706">
        <v>104721</v>
      </c>
      <c r="B1024" s="706" t="s">
        <v>2713</v>
      </c>
      <c r="D1024" s="706" t="s">
        <v>1841</v>
      </c>
      <c r="H1024" s="1191"/>
      <c r="I1024" s="706" t="s">
        <v>2361</v>
      </c>
      <c r="M1024" s="706"/>
      <c r="N1024" s="706"/>
      <c r="O1024" s="706"/>
      <c r="P1024" s="706"/>
    </row>
    <row r="1025" spans="1:16">
      <c r="A1025" s="706">
        <v>104722</v>
      </c>
      <c r="B1025" s="706" t="s">
        <v>2714</v>
      </c>
      <c r="D1025" s="706" t="s">
        <v>1841</v>
      </c>
      <c r="H1025" s="1191"/>
      <c r="I1025" s="706" t="s">
        <v>2361</v>
      </c>
      <c r="M1025" s="706"/>
      <c r="N1025" s="706"/>
      <c r="O1025" s="706"/>
      <c r="P1025" s="706"/>
    </row>
    <row r="1026" spans="1:16">
      <c r="A1026" s="706">
        <v>104723</v>
      </c>
      <c r="B1026" s="706" t="s">
        <v>2715</v>
      </c>
      <c r="D1026" s="706" t="s">
        <v>1841</v>
      </c>
      <c r="H1026" s="1191"/>
      <c r="I1026" s="706" t="s">
        <v>2361</v>
      </c>
      <c r="M1026" s="706"/>
      <c r="N1026" s="706"/>
      <c r="O1026" s="706"/>
      <c r="P1026" s="706"/>
    </row>
    <row r="1027" spans="1:16">
      <c r="A1027" s="706">
        <v>104724</v>
      </c>
      <c r="B1027" s="706" t="s">
        <v>2716</v>
      </c>
      <c r="D1027" s="706" t="s">
        <v>1841</v>
      </c>
      <c r="H1027" s="1191"/>
      <c r="I1027" s="706" t="s">
        <v>2361</v>
      </c>
      <c r="M1027" s="706"/>
      <c r="N1027" s="706"/>
      <c r="O1027" s="706"/>
      <c r="P1027" s="706"/>
    </row>
    <row r="1028" spans="1:16">
      <c r="A1028" s="706">
        <v>104725</v>
      </c>
      <c r="B1028" s="706" t="s">
        <v>2717</v>
      </c>
      <c r="C1028" s="706" t="s">
        <v>8189</v>
      </c>
      <c r="D1028" s="706" t="s">
        <v>1841</v>
      </c>
      <c r="E1028" s="706">
        <v>114</v>
      </c>
      <c r="F1028" s="706" t="s">
        <v>28</v>
      </c>
      <c r="G1028" s="706">
        <v>410771</v>
      </c>
      <c r="H1028" s="1191">
        <v>45883</v>
      </c>
      <c r="I1028" s="706" t="s">
        <v>2361</v>
      </c>
      <c r="M1028" s="706"/>
      <c r="N1028" s="706"/>
      <c r="O1028" s="706"/>
      <c r="P1028" s="706"/>
    </row>
    <row r="1029" spans="1:16">
      <c r="A1029" s="706">
        <v>104726</v>
      </c>
      <c r="B1029" s="706" t="s">
        <v>2718</v>
      </c>
      <c r="C1029" s="706" t="s">
        <v>8189</v>
      </c>
      <c r="D1029" s="706" t="s">
        <v>1841</v>
      </c>
      <c r="E1029" s="706">
        <v>53</v>
      </c>
      <c r="F1029" s="706" t="s">
        <v>28</v>
      </c>
      <c r="G1029" s="706">
        <v>403159</v>
      </c>
      <c r="H1029" s="1191">
        <v>44342</v>
      </c>
      <c r="I1029" s="706" t="s">
        <v>2361</v>
      </c>
      <c r="M1029" s="706"/>
      <c r="N1029" s="706"/>
      <c r="O1029" s="706"/>
      <c r="P1029" s="706"/>
    </row>
    <row r="1030" spans="1:16">
      <c r="A1030" s="706">
        <v>104727</v>
      </c>
      <c r="B1030" s="706" t="s">
        <v>2719</v>
      </c>
      <c r="D1030" s="706" t="s">
        <v>1841</v>
      </c>
      <c r="H1030" s="1191"/>
      <c r="I1030" s="706" t="s">
        <v>2361</v>
      </c>
      <c r="M1030" s="706"/>
      <c r="N1030" s="706"/>
      <c r="O1030" s="706"/>
      <c r="P1030" s="706"/>
    </row>
    <row r="1031" spans="1:16">
      <c r="A1031" s="706">
        <v>104728</v>
      </c>
      <c r="B1031" s="706" t="s">
        <v>2720</v>
      </c>
      <c r="C1031" s="706" t="s">
        <v>8189</v>
      </c>
      <c r="D1031" s="706" t="s">
        <v>1841</v>
      </c>
      <c r="E1031" s="706">
        <v>200</v>
      </c>
      <c r="F1031" s="706" t="s">
        <v>28</v>
      </c>
      <c r="G1031" s="706">
        <v>408764</v>
      </c>
      <c r="H1031" s="1191">
        <v>45470</v>
      </c>
      <c r="I1031" s="706" t="s">
        <v>2361</v>
      </c>
      <c r="M1031" s="706"/>
      <c r="N1031" s="706"/>
      <c r="O1031" s="706"/>
      <c r="P1031" s="706"/>
    </row>
    <row r="1032" spans="1:16">
      <c r="A1032" s="706">
        <v>104729</v>
      </c>
      <c r="B1032" s="706" t="s">
        <v>2721</v>
      </c>
      <c r="C1032" s="706" t="s">
        <v>8189</v>
      </c>
      <c r="D1032" s="706" t="s">
        <v>1841</v>
      </c>
      <c r="E1032" s="706">
        <v>181.25</v>
      </c>
      <c r="F1032" s="706" t="s">
        <v>28</v>
      </c>
      <c r="G1032" s="706">
        <v>411139</v>
      </c>
      <c r="H1032" s="1191">
        <v>45950</v>
      </c>
      <c r="I1032" s="706" t="s">
        <v>2361</v>
      </c>
      <c r="M1032" s="706"/>
      <c r="N1032" s="706"/>
      <c r="O1032" s="706"/>
      <c r="P1032" s="706"/>
    </row>
    <row r="1033" spans="1:16">
      <c r="A1033" s="706">
        <v>104730</v>
      </c>
      <c r="B1033" s="706" t="s">
        <v>2722</v>
      </c>
      <c r="D1033" s="706" t="s">
        <v>1841</v>
      </c>
      <c r="H1033" s="1191"/>
      <c r="I1033" s="706" t="s">
        <v>2361</v>
      </c>
      <c r="M1033" s="706"/>
      <c r="N1033" s="706"/>
      <c r="O1033" s="706"/>
      <c r="P1033" s="706"/>
    </row>
    <row r="1034" spans="1:16">
      <c r="A1034" s="706">
        <v>104731</v>
      </c>
      <c r="B1034" s="706" t="s">
        <v>2723</v>
      </c>
      <c r="D1034" s="706" t="s">
        <v>1841</v>
      </c>
      <c r="H1034" s="1191"/>
      <c r="I1034" s="706" t="s">
        <v>2361</v>
      </c>
      <c r="M1034" s="706"/>
      <c r="N1034" s="706"/>
      <c r="O1034" s="706"/>
      <c r="P1034" s="706"/>
    </row>
    <row r="1035" spans="1:16">
      <c r="A1035" s="706">
        <v>104732</v>
      </c>
      <c r="B1035" s="706" t="s">
        <v>2724</v>
      </c>
      <c r="D1035" s="706" t="s">
        <v>1841</v>
      </c>
      <c r="H1035" s="1191"/>
      <c r="I1035" s="706" t="s">
        <v>2361</v>
      </c>
      <c r="M1035" s="706"/>
      <c r="N1035" s="706"/>
      <c r="O1035" s="706"/>
      <c r="P1035" s="706"/>
    </row>
    <row r="1036" spans="1:16">
      <c r="A1036" s="706">
        <v>104733</v>
      </c>
      <c r="B1036" s="706" t="s">
        <v>2725</v>
      </c>
      <c r="D1036" s="706" t="s">
        <v>1841</v>
      </c>
      <c r="H1036" s="1191"/>
      <c r="I1036" s="706" t="s">
        <v>2361</v>
      </c>
      <c r="M1036" s="706"/>
      <c r="N1036" s="706"/>
      <c r="O1036" s="706"/>
      <c r="P1036" s="706"/>
    </row>
    <row r="1037" spans="1:16">
      <c r="A1037" s="706">
        <v>104734</v>
      </c>
      <c r="B1037" s="706" t="s">
        <v>2726</v>
      </c>
      <c r="C1037" s="706" t="s">
        <v>8189</v>
      </c>
      <c r="D1037" s="706" t="s">
        <v>1841</v>
      </c>
      <c r="E1037" s="706">
        <v>131.89449999999999</v>
      </c>
      <c r="F1037" s="706" t="s">
        <v>28</v>
      </c>
      <c r="G1037" s="706">
        <v>409502</v>
      </c>
      <c r="H1037" s="1191">
        <v>45617</v>
      </c>
      <c r="I1037" s="706" t="s">
        <v>2361</v>
      </c>
      <c r="M1037" s="706"/>
      <c r="N1037" s="706"/>
      <c r="O1037" s="706"/>
      <c r="P1037" s="706"/>
    </row>
    <row r="1038" spans="1:16">
      <c r="A1038" s="706">
        <v>104735</v>
      </c>
      <c r="B1038" s="706" t="s">
        <v>2727</v>
      </c>
      <c r="C1038" s="706" t="s">
        <v>8189</v>
      </c>
      <c r="D1038" s="706" t="s">
        <v>1841</v>
      </c>
      <c r="E1038" s="706">
        <v>110</v>
      </c>
      <c r="F1038" s="706" t="s">
        <v>28</v>
      </c>
      <c r="G1038" s="706">
        <v>409418</v>
      </c>
      <c r="H1038" s="1191">
        <v>45607</v>
      </c>
      <c r="I1038" s="706" t="s">
        <v>2361</v>
      </c>
      <c r="M1038" s="706"/>
      <c r="N1038" s="706"/>
      <c r="O1038" s="706"/>
      <c r="P1038" s="706"/>
    </row>
    <row r="1039" spans="1:16">
      <c r="A1039" s="706">
        <v>104736</v>
      </c>
      <c r="B1039" s="706" t="s">
        <v>2728</v>
      </c>
      <c r="C1039" s="706" t="s">
        <v>8189</v>
      </c>
      <c r="D1039" s="706" t="s">
        <v>1841</v>
      </c>
      <c r="E1039" s="706">
        <v>59</v>
      </c>
      <c r="F1039" s="706" t="s">
        <v>28</v>
      </c>
      <c r="G1039" s="706">
        <v>409143</v>
      </c>
      <c r="H1039" s="1191">
        <v>45553</v>
      </c>
      <c r="I1039" s="706" t="s">
        <v>2361</v>
      </c>
      <c r="M1039" s="706"/>
      <c r="N1039" s="706"/>
      <c r="O1039" s="706"/>
      <c r="P1039" s="706"/>
    </row>
    <row r="1040" spans="1:16">
      <c r="A1040" s="706">
        <v>104737</v>
      </c>
      <c r="B1040" s="706" t="s">
        <v>2729</v>
      </c>
      <c r="D1040" s="706" t="s">
        <v>1841</v>
      </c>
      <c r="H1040" s="1191"/>
      <c r="I1040" s="706" t="s">
        <v>2361</v>
      </c>
      <c r="M1040" s="706"/>
      <c r="N1040" s="706"/>
      <c r="O1040" s="706"/>
      <c r="P1040" s="706"/>
    </row>
    <row r="1041" spans="1:16">
      <c r="A1041" s="706">
        <v>104738</v>
      </c>
      <c r="B1041" s="706" t="s">
        <v>2730</v>
      </c>
      <c r="C1041" s="706" t="s">
        <v>8189</v>
      </c>
      <c r="D1041" s="706" t="s">
        <v>1841</v>
      </c>
      <c r="E1041" s="706">
        <v>84</v>
      </c>
      <c r="F1041" s="706" t="s">
        <v>28</v>
      </c>
      <c r="G1041" s="706">
        <v>401393</v>
      </c>
      <c r="H1041" s="1191">
        <v>44068</v>
      </c>
      <c r="I1041" s="706" t="s">
        <v>2361</v>
      </c>
      <c r="M1041" s="706"/>
      <c r="N1041" s="706"/>
      <c r="O1041" s="706"/>
      <c r="P1041" s="706"/>
    </row>
    <row r="1042" spans="1:16">
      <c r="A1042" s="706">
        <v>104739</v>
      </c>
      <c r="B1042" s="706" t="s">
        <v>2731</v>
      </c>
      <c r="C1042" s="706" t="s">
        <v>8189</v>
      </c>
      <c r="D1042" s="706" t="s">
        <v>1841</v>
      </c>
      <c r="E1042" s="706">
        <v>102</v>
      </c>
      <c r="F1042" s="706" t="s">
        <v>28</v>
      </c>
      <c r="G1042" s="706">
        <v>409534</v>
      </c>
      <c r="H1042" s="1191">
        <v>45630</v>
      </c>
      <c r="I1042" s="706" t="s">
        <v>2361</v>
      </c>
      <c r="M1042" s="706"/>
      <c r="N1042" s="706"/>
      <c r="O1042" s="706"/>
      <c r="P1042" s="706"/>
    </row>
    <row r="1043" spans="1:16">
      <c r="A1043" s="706">
        <v>104740</v>
      </c>
      <c r="B1043" s="706" t="s">
        <v>2732</v>
      </c>
      <c r="D1043" s="706" t="s">
        <v>1841</v>
      </c>
      <c r="H1043" s="1191"/>
      <c r="I1043" s="706" t="s">
        <v>2361</v>
      </c>
      <c r="M1043" s="706"/>
      <c r="N1043" s="706"/>
      <c r="O1043" s="706"/>
      <c r="P1043" s="706"/>
    </row>
    <row r="1044" spans="1:16">
      <c r="A1044" s="706">
        <v>104741</v>
      </c>
      <c r="B1044" s="706" t="s">
        <v>2733</v>
      </c>
      <c r="D1044" s="706" t="s">
        <v>1841</v>
      </c>
      <c r="H1044" s="1191"/>
      <c r="I1044" s="706" t="s">
        <v>2361</v>
      </c>
      <c r="M1044" s="706"/>
      <c r="N1044" s="706"/>
      <c r="O1044" s="706"/>
      <c r="P1044" s="706"/>
    </row>
    <row r="1045" spans="1:16">
      <c r="A1045" s="706">
        <v>104742</v>
      </c>
      <c r="B1045" s="706" t="s">
        <v>2734</v>
      </c>
      <c r="D1045" s="706" t="s">
        <v>1841</v>
      </c>
      <c r="H1045" s="1191"/>
      <c r="I1045" s="706" t="s">
        <v>2361</v>
      </c>
      <c r="M1045" s="706"/>
      <c r="N1045" s="706"/>
      <c r="O1045" s="706"/>
      <c r="P1045" s="706"/>
    </row>
    <row r="1046" spans="1:16">
      <c r="A1046" s="706">
        <v>104743</v>
      </c>
      <c r="B1046" s="706" t="s">
        <v>2735</v>
      </c>
      <c r="D1046" s="706" t="s">
        <v>1841</v>
      </c>
      <c r="H1046" s="1191"/>
      <c r="I1046" s="706" t="s">
        <v>2361</v>
      </c>
      <c r="M1046" s="706"/>
      <c r="N1046" s="706"/>
      <c r="O1046" s="706"/>
      <c r="P1046" s="706"/>
    </row>
    <row r="1047" spans="1:16">
      <c r="A1047" s="706">
        <v>104744</v>
      </c>
      <c r="B1047" s="706" t="s">
        <v>2736</v>
      </c>
      <c r="C1047" s="706" t="s">
        <v>8189</v>
      </c>
      <c r="D1047" s="706" t="s">
        <v>1841</v>
      </c>
      <c r="E1047" s="706">
        <v>70</v>
      </c>
      <c r="F1047" s="706" t="s">
        <v>28</v>
      </c>
      <c r="G1047" s="706">
        <v>400819</v>
      </c>
      <c r="H1047" s="1191">
        <v>44008</v>
      </c>
      <c r="I1047" s="706" t="s">
        <v>2361</v>
      </c>
      <c r="M1047" s="706"/>
      <c r="N1047" s="706"/>
      <c r="O1047" s="706"/>
      <c r="P1047" s="706"/>
    </row>
    <row r="1048" spans="1:16">
      <c r="A1048" s="706">
        <v>104745</v>
      </c>
      <c r="B1048" s="706" t="s">
        <v>2737</v>
      </c>
      <c r="C1048" s="706" t="s">
        <v>8189</v>
      </c>
      <c r="D1048" s="706" t="s">
        <v>1841</v>
      </c>
      <c r="E1048" s="706">
        <v>95</v>
      </c>
      <c r="F1048" s="706" t="s">
        <v>28</v>
      </c>
      <c r="G1048" s="706">
        <v>411703</v>
      </c>
      <c r="H1048" s="1191">
        <v>46064</v>
      </c>
      <c r="I1048" s="706" t="s">
        <v>2361</v>
      </c>
      <c r="M1048" s="706"/>
      <c r="N1048" s="706"/>
      <c r="O1048" s="706"/>
      <c r="P1048" s="706"/>
    </row>
    <row r="1049" spans="1:16">
      <c r="A1049" s="706">
        <v>104746</v>
      </c>
      <c r="B1049" s="706" t="s">
        <v>2738</v>
      </c>
      <c r="D1049" s="706" t="s">
        <v>1841</v>
      </c>
      <c r="H1049" s="1191"/>
      <c r="I1049" s="706" t="s">
        <v>2361</v>
      </c>
      <c r="M1049" s="706"/>
      <c r="N1049" s="706"/>
      <c r="O1049" s="706"/>
      <c r="P1049" s="706"/>
    </row>
    <row r="1050" spans="1:16">
      <c r="A1050" s="706">
        <v>104747</v>
      </c>
      <c r="B1050" s="706" t="s">
        <v>2739</v>
      </c>
      <c r="D1050" s="706" t="s">
        <v>1841</v>
      </c>
      <c r="H1050" s="1191"/>
      <c r="I1050" s="706" t="s">
        <v>2361</v>
      </c>
      <c r="M1050" s="706"/>
      <c r="N1050" s="706"/>
      <c r="O1050" s="706"/>
      <c r="P1050" s="706"/>
    </row>
    <row r="1051" spans="1:16">
      <c r="A1051" s="706">
        <v>104748</v>
      </c>
      <c r="B1051" s="706" t="s">
        <v>2740</v>
      </c>
      <c r="C1051" s="706" t="s">
        <v>8189</v>
      </c>
      <c r="D1051" s="706" t="s">
        <v>1841</v>
      </c>
      <c r="E1051" s="706">
        <v>57</v>
      </c>
      <c r="F1051" s="706" t="s">
        <v>28</v>
      </c>
      <c r="G1051" s="706">
        <v>411671</v>
      </c>
      <c r="H1051" s="1191">
        <v>46058</v>
      </c>
      <c r="I1051" s="706" t="s">
        <v>2361</v>
      </c>
      <c r="M1051" s="706"/>
      <c r="N1051" s="706"/>
      <c r="O1051" s="706"/>
      <c r="P1051" s="706"/>
    </row>
    <row r="1052" spans="1:16">
      <c r="A1052" s="706">
        <v>104749</v>
      </c>
      <c r="B1052" s="706" t="s">
        <v>2741</v>
      </c>
      <c r="D1052" s="706" t="s">
        <v>1841</v>
      </c>
      <c r="H1052" s="1191"/>
      <c r="I1052" s="706" t="s">
        <v>2361</v>
      </c>
      <c r="M1052" s="706"/>
      <c r="N1052" s="706"/>
      <c r="O1052" s="706"/>
      <c r="P1052" s="706"/>
    </row>
    <row r="1053" spans="1:16">
      <c r="A1053" s="706">
        <v>104750</v>
      </c>
      <c r="B1053" s="706" t="s">
        <v>2742</v>
      </c>
      <c r="D1053" s="706" t="s">
        <v>1841</v>
      </c>
      <c r="H1053" s="1191"/>
      <c r="I1053" s="706" t="s">
        <v>2361</v>
      </c>
      <c r="M1053" s="706"/>
      <c r="N1053" s="706"/>
      <c r="O1053" s="706"/>
      <c r="P1053" s="706"/>
    </row>
    <row r="1054" spans="1:16">
      <c r="A1054" s="706">
        <v>104751</v>
      </c>
      <c r="B1054" s="706" t="s">
        <v>2743</v>
      </c>
      <c r="D1054" s="706" t="s">
        <v>1841</v>
      </c>
      <c r="H1054" s="1191"/>
      <c r="I1054" s="706" t="s">
        <v>2361</v>
      </c>
      <c r="M1054" s="706"/>
      <c r="N1054" s="706"/>
      <c r="O1054" s="706"/>
      <c r="P1054" s="706"/>
    </row>
    <row r="1055" spans="1:16">
      <c r="A1055" s="706">
        <v>104752</v>
      </c>
      <c r="B1055" s="706" t="s">
        <v>2744</v>
      </c>
      <c r="C1055" s="706" t="s">
        <v>8189</v>
      </c>
      <c r="D1055" s="706" t="s">
        <v>1841</v>
      </c>
      <c r="E1055" s="706">
        <v>20</v>
      </c>
      <c r="F1055" s="706" t="s">
        <v>28</v>
      </c>
      <c r="G1055" s="706">
        <v>410475</v>
      </c>
      <c r="H1055" s="1191">
        <v>45821</v>
      </c>
      <c r="I1055" s="706" t="s">
        <v>2361</v>
      </c>
      <c r="M1055" s="706"/>
      <c r="N1055" s="706"/>
      <c r="O1055" s="706"/>
      <c r="P1055" s="706"/>
    </row>
    <row r="1056" spans="1:16">
      <c r="A1056" s="706">
        <v>104753</v>
      </c>
      <c r="B1056" s="706" t="s">
        <v>2745</v>
      </c>
      <c r="D1056" s="706" t="s">
        <v>1841</v>
      </c>
      <c r="H1056" s="1191"/>
      <c r="I1056" s="706" t="s">
        <v>2361</v>
      </c>
      <c r="M1056" s="706"/>
      <c r="N1056" s="706"/>
      <c r="O1056" s="706"/>
      <c r="P1056" s="706"/>
    </row>
    <row r="1057" spans="1:16">
      <c r="A1057" s="706">
        <v>104754</v>
      </c>
      <c r="B1057" s="706" t="s">
        <v>2746</v>
      </c>
      <c r="D1057" s="706" t="s">
        <v>1841</v>
      </c>
      <c r="H1057" s="1191"/>
      <c r="I1057" s="706" t="s">
        <v>2361</v>
      </c>
      <c r="M1057" s="706"/>
      <c r="N1057" s="706"/>
      <c r="O1057" s="706"/>
      <c r="P1057" s="706"/>
    </row>
    <row r="1058" spans="1:16">
      <c r="A1058" s="706">
        <v>104755</v>
      </c>
      <c r="B1058" s="706" t="s">
        <v>2747</v>
      </c>
      <c r="C1058" s="706" t="s">
        <v>8189</v>
      </c>
      <c r="D1058" s="706" t="s">
        <v>1841</v>
      </c>
      <c r="E1058" s="706">
        <v>6.3</v>
      </c>
      <c r="F1058" s="706" t="s">
        <v>28</v>
      </c>
      <c r="G1058" s="706">
        <v>411821</v>
      </c>
      <c r="H1058" s="1191">
        <v>46078</v>
      </c>
      <c r="I1058" s="706" t="s">
        <v>2361</v>
      </c>
      <c r="M1058" s="706"/>
      <c r="N1058" s="706"/>
      <c r="O1058" s="706"/>
      <c r="P1058" s="706"/>
    </row>
    <row r="1059" spans="1:16">
      <c r="A1059" s="706">
        <v>104756</v>
      </c>
      <c r="B1059" s="706" t="s">
        <v>2748</v>
      </c>
      <c r="C1059" s="706" t="s">
        <v>8189</v>
      </c>
      <c r="D1059" s="706" t="s">
        <v>1841</v>
      </c>
      <c r="E1059" s="706">
        <v>4.25</v>
      </c>
      <c r="F1059" s="706" t="s">
        <v>28</v>
      </c>
      <c r="G1059" s="706">
        <v>411525</v>
      </c>
      <c r="H1059" s="1191">
        <v>46034</v>
      </c>
      <c r="I1059" s="706" t="s">
        <v>2361</v>
      </c>
      <c r="M1059" s="706"/>
      <c r="N1059" s="706"/>
      <c r="O1059" s="706"/>
      <c r="P1059" s="706"/>
    </row>
    <row r="1060" spans="1:16">
      <c r="A1060" s="706">
        <v>104757</v>
      </c>
      <c r="B1060" s="706" t="s">
        <v>2749</v>
      </c>
      <c r="C1060" s="706" t="s">
        <v>8189</v>
      </c>
      <c r="D1060" s="706" t="s">
        <v>1841</v>
      </c>
      <c r="E1060" s="706">
        <v>3.75</v>
      </c>
      <c r="F1060" s="706" t="s">
        <v>28</v>
      </c>
      <c r="G1060" s="706">
        <v>409142</v>
      </c>
      <c r="H1060" s="1191">
        <v>45553</v>
      </c>
      <c r="I1060" s="706" t="s">
        <v>2361</v>
      </c>
      <c r="M1060" s="706"/>
      <c r="N1060" s="706"/>
      <c r="O1060" s="706"/>
      <c r="P1060" s="706"/>
    </row>
    <row r="1061" spans="1:16">
      <c r="A1061" s="706">
        <v>104758</v>
      </c>
      <c r="B1061" s="706" t="s">
        <v>2750</v>
      </c>
      <c r="D1061" s="706" t="s">
        <v>1841</v>
      </c>
      <c r="H1061" s="1191"/>
      <c r="I1061" s="706" t="s">
        <v>2361</v>
      </c>
      <c r="M1061" s="706"/>
      <c r="N1061" s="706"/>
      <c r="O1061" s="706"/>
      <c r="P1061" s="706"/>
    </row>
    <row r="1062" spans="1:16">
      <c r="A1062" s="706">
        <v>104759</v>
      </c>
      <c r="B1062" s="706" t="s">
        <v>2751</v>
      </c>
      <c r="D1062" s="706" t="s">
        <v>1841</v>
      </c>
      <c r="H1062" s="1191"/>
      <c r="I1062" s="706" t="s">
        <v>2361</v>
      </c>
      <c r="M1062" s="706"/>
      <c r="N1062" s="706"/>
      <c r="O1062" s="706"/>
      <c r="P1062" s="706"/>
    </row>
    <row r="1063" spans="1:16">
      <c r="A1063" s="706">
        <v>104760</v>
      </c>
      <c r="B1063" s="706" t="s">
        <v>2752</v>
      </c>
      <c r="D1063" s="706" t="s">
        <v>1841</v>
      </c>
      <c r="H1063" s="1191"/>
      <c r="I1063" s="706" t="s">
        <v>2361</v>
      </c>
      <c r="M1063" s="706"/>
      <c r="N1063" s="706"/>
      <c r="O1063" s="706"/>
      <c r="P1063" s="706"/>
    </row>
    <row r="1064" spans="1:16">
      <c r="A1064" s="706">
        <v>104761</v>
      </c>
      <c r="B1064" s="706" t="s">
        <v>2753</v>
      </c>
      <c r="D1064" s="706" t="s">
        <v>1841</v>
      </c>
      <c r="H1064" s="1191"/>
      <c r="I1064" s="706" t="s">
        <v>2361</v>
      </c>
      <c r="M1064" s="706"/>
      <c r="N1064" s="706"/>
      <c r="O1064" s="706"/>
      <c r="P1064" s="706"/>
    </row>
    <row r="1065" spans="1:16">
      <c r="A1065" s="706">
        <v>104762</v>
      </c>
      <c r="B1065" s="706" t="s">
        <v>2754</v>
      </c>
      <c r="D1065" s="706" t="s">
        <v>1841</v>
      </c>
      <c r="H1065" s="1191"/>
      <c r="I1065" s="706" t="s">
        <v>2361</v>
      </c>
      <c r="M1065" s="706"/>
      <c r="N1065" s="706"/>
      <c r="O1065" s="706"/>
      <c r="P1065" s="706"/>
    </row>
    <row r="1066" spans="1:16">
      <c r="A1066" s="706">
        <v>104763</v>
      </c>
      <c r="B1066" s="706" t="s">
        <v>2755</v>
      </c>
      <c r="D1066" s="706" t="s">
        <v>1841</v>
      </c>
      <c r="H1066" s="1191"/>
      <c r="I1066" s="706" t="s">
        <v>2361</v>
      </c>
      <c r="M1066" s="706"/>
      <c r="N1066" s="706"/>
      <c r="O1066" s="706"/>
      <c r="P1066" s="706"/>
    </row>
    <row r="1067" spans="1:16">
      <c r="A1067" s="706">
        <v>104764</v>
      </c>
      <c r="B1067" s="706" t="s">
        <v>2756</v>
      </c>
      <c r="D1067" s="706" t="s">
        <v>1841</v>
      </c>
      <c r="H1067" s="1191"/>
      <c r="I1067" s="706" t="s">
        <v>2361</v>
      </c>
      <c r="M1067" s="706"/>
      <c r="N1067" s="706"/>
      <c r="O1067" s="706"/>
      <c r="P1067" s="706"/>
    </row>
    <row r="1068" spans="1:16">
      <c r="A1068" s="706">
        <v>104765</v>
      </c>
      <c r="B1068" s="706" t="s">
        <v>2757</v>
      </c>
      <c r="D1068" s="706" t="s">
        <v>1841</v>
      </c>
      <c r="H1068" s="1191"/>
      <c r="I1068" s="706" t="s">
        <v>2361</v>
      </c>
      <c r="M1068" s="706"/>
      <c r="N1068" s="706"/>
      <c r="O1068" s="706"/>
      <c r="P1068" s="706"/>
    </row>
    <row r="1069" spans="1:16">
      <c r="A1069" s="706">
        <v>104766</v>
      </c>
      <c r="B1069" s="706" t="s">
        <v>2758</v>
      </c>
      <c r="D1069" s="706" t="s">
        <v>1841</v>
      </c>
      <c r="H1069" s="1191"/>
      <c r="I1069" s="706" t="s">
        <v>2361</v>
      </c>
      <c r="M1069" s="706"/>
      <c r="N1069" s="706"/>
      <c r="O1069" s="706"/>
      <c r="P1069" s="706"/>
    </row>
    <row r="1070" spans="1:16">
      <c r="A1070" s="706">
        <v>104767</v>
      </c>
      <c r="B1070" s="706" t="s">
        <v>2759</v>
      </c>
      <c r="D1070" s="706" t="s">
        <v>1841</v>
      </c>
      <c r="H1070" s="1191"/>
      <c r="I1070" s="706" t="s">
        <v>2361</v>
      </c>
      <c r="M1070" s="706"/>
      <c r="N1070" s="706"/>
      <c r="O1070" s="706"/>
      <c r="P1070" s="706"/>
    </row>
    <row r="1071" spans="1:16">
      <c r="A1071" s="706">
        <v>104768</v>
      </c>
      <c r="B1071" s="706" t="s">
        <v>2760</v>
      </c>
      <c r="D1071" s="706" t="s">
        <v>1841</v>
      </c>
      <c r="H1071" s="1191"/>
      <c r="I1071" s="706" t="s">
        <v>2361</v>
      </c>
      <c r="M1071" s="706"/>
      <c r="N1071" s="706"/>
      <c r="O1071" s="706"/>
      <c r="P1071" s="706"/>
    </row>
    <row r="1072" spans="1:16">
      <c r="A1072" s="706">
        <v>104769</v>
      </c>
      <c r="B1072" s="706" t="s">
        <v>2761</v>
      </c>
      <c r="D1072" s="706" t="s">
        <v>1841</v>
      </c>
      <c r="H1072" s="1191"/>
      <c r="I1072" s="706" t="s">
        <v>2361</v>
      </c>
      <c r="M1072" s="706"/>
      <c r="N1072" s="706"/>
      <c r="O1072" s="706"/>
      <c r="P1072" s="706"/>
    </row>
    <row r="1073" spans="1:16">
      <c r="A1073" s="706">
        <v>104770</v>
      </c>
      <c r="B1073" s="706" t="s">
        <v>2762</v>
      </c>
      <c r="C1073" s="706" t="s">
        <v>8189</v>
      </c>
      <c r="D1073" s="706" t="s">
        <v>1841</v>
      </c>
      <c r="E1073" s="706">
        <v>1.6666000000000001</v>
      </c>
      <c r="F1073" s="706" t="s">
        <v>28</v>
      </c>
      <c r="G1073" s="706">
        <v>401365</v>
      </c>
      <c r="H1073" s="1191">
        <v>44063</v>
      </c>
      <c r="I1073" s="706" t="s">
        <v>2361</v>
      </c>
      <c r="M1073" s="706"/>
      <c r="N1073" s="706"/>
      <c r="O1073" s="706"/>
      <c r="P1073" s="706"/>
    </row>
    <row r="1074" spans="1:16">
      <c r="A1074" s="706">
        <v>104771</v>
      </c>
      <c r="B1074" s="706" t="s">
        <v>2763</v>
      </c>
      <c r="C1074" s="706" t="s">
        <v>8189</v>
      </c>
      <c r="D1074" s="706" t="s">
        <v>1841</v>
      </c>
      <c r="E1074" s="706">
        <v>4</v>
      </c>
      <c r="F1074" s="706" t="s">
        <v>28</v>
      </c>
      <c r="G1074" s="706">
        <v>403868</v>
      </c>
      <c r="H1074" s="1191">
        <v>44469</v>
      </c>
      <c r="I1074" s="706" t="s">
        <v>2361</v>
      </c>
      <c r="M1074" s="706"/>
      <c r="N1074" s="706"/>
      <c r="O1074" s="706"/>
      <c r="P1074" s="706"/>
    </row>
    <row r="1075" spans="1:16">
      <c r="A1075" s="706">
        <v>104772</v>
      </c>
      <c r="B1075" s="706" t="s">
        <v>2764</v>
      </c>
      <c r="D1075" s="706" t="s">
        <v>1841</v>
      </c>
      <c r="H1075" s="1191"/>
      <c r="I1075" s="706" t="s">
        <v>2361</v>
      </c>
      <c r="M1075" s="706"/>
      <c r="N1075" s="706"/>
      <c r="O1075" s="706"/>
      <c r="P1075" s="706"/>
    </row>
    <row r="1076" spans="1:16">
      <c r="A1076" s="706">
        <v>104773</v>
      </c>
      <c r="B1076" s="706" t="s">
        <v>2765</v>
      </c>
      <c r="C1076" s="706" t="s">
        <v>8189</v>
      </c>
      <c r="D1076" s="706" t="s">
        <v>1841</v>
      </c>
      <c r="E1076" s="706">
        <v>80</v>
      </c>
      <c r="F1076" s="706" t="s">
        <v>28</v>
      </c>
      <c r="G1076" s="706">
        <v>411041</v>
      </c>
      <c r="H1076" s="1191">
        <v>45929</v>
      </c>
      <c r="I1076" s="706" t="s">
        <v>2361</v>
      </c>
      <c r="M1076" s="706"/>
      <c r="N1076" s="706"/>
      <c r="O1076" s="706"/>
      <c r="P1076" s="706"/>
    </row>
    <row r="1077" spans="1:16">
      <c r="A1077" s="706">
        <v>104774</v>
      </c>
      <c r="B1077" s="706" t="s">
        <v>2766</v>
      </c>
      <c r="C1077" s="706" t="s">
        <v>8189</v>
      </c>
      <c r="D1077" s="706" t="s">
        <v>1841</v>
      </c>
      <c r="E1077" s="706">
        <v>25.5</v>
      </c>
      <c r="F1077" s="706" t="s">
        <v>28</v>
      </c>
      <c r="G1077" s="706">
        <v>403337</v>
      </c>
      <c r="H1077" s="1191">
        <v>44368</v>
      </c>
      <c r="I1077" s="706" t="s">
        <v>2361</v>
      </c>
      <c r="M1077" s="706"/>
      <c r="N1077" s="706"/>
      <c r="O1077" s="706"/>
      <c r="P1077" s="706"/>
    </row>
    <row r="1078" spans="1:16">
      <c r="A1078" s="706">
        <v>104775</v>
      </c>
      <c r="B1078" s="706" t="s">
        <v>2767</v>
      </c>
      <c r="D1078" s="706" t="s">
        <v>1841</v>
      </c>
      <c r="H1078" s="1191"/>
      <c r="I1078" s="706" t="s">
        <v>2361</v>
      </c>
      <c r="M1078" s="706"/>
      <c r="N1078" s="706"/>
      <c r="O1078" s="706"/>
      <c r="P1078" s="706"/>
    </row>
    <row r="1079" spans="1:16">
      <c r="A1079" s="706">
        <v>104776</v>
      </c>
      <c r="B1079" s="706" t="s">
        <v>2768</v>
      </c>
      <c r="C1079" s="706" t="s">
        <v>8189</v>
      </c>
      <c r="D1079" s="706" t="s">
        <v>1841</v>
      </c>
      <c r="E1079" s="706">
        <v>45</v>
      </c>
      <c r="F1079" s="706" t="s">
        <v>28</v>
      </c>
      <c r="G1079" s="706">
        <v>411793</v>
      </c>
      <c r="H1079" s="1191">
        <v>46076</v>
      </c>
      <c r="I1079" s="706" t="s">
        <v>2361</v>
      </c>
      <c r="M1079" s="706"/>
      <c r="N1079" s="706"/>
      <c r="O1079" s="706"/>
      <c r="P1079" s="706"/>
    </row>
    <row r="1080" spans="1:16">
      <c r="A1080" s="706">
        <v>104777</v>
      </c>
      <c r="B1080" s="706" t="s">
        <v>2769</v>
      </c>
      <c r="D1080" s="706" t="s">
        <v>1841</v>
      </c>
      <c r="H1080" s="1191"/>
      <c r="I1080" s="706" t="s">
        <v>2361</v>
      </c>
      <c r="M1080" s="706"/>
      <c r="N1080" s="706"/>
      <c r="O1080" s="706"/>
      <c r="P1080" s="706"/>
    </row>
    <row r="1081" spans="1:16">
      <c r="A1081" s="706">
        <v>104778</v>
      </c>
      <c r="B1081" s="706" t="s">
        <v>2770</v>
      </c>
      <c r="D1081" s="706" t="s">
        <v>1841</v>
      </c>
      <c r="H1081" s="1191"/>
      <c r="I1081" s="706" t="s">
        <v>2361</v>
      </c>
      <c r="M1081" s="706"/>
      <c r="N1081" s="706"/>
      <c r="O1081" s="706"/>
      <c r="P1081" s="706"/>
    </row>
    <row r="1082" spans="1:16">
      <c r="A1082" s="706">
        <v>104779</v>
      </c>
      <c r="B1082" s="706" t="s">
        <v>2771</v>
      </c>
      <c r="D1082" s="706" t="s">
        <v>1841</v>
      </c>
      <c r="H1082" s="1191"/>
      <c r="I1082" s="706" t="s">
        <v>2361</v>
      </c>
      <c r="M1082" s="706"/>
      <c r="N1082" s="706"/>
      <c r="O1082" s="706"/>
      <c r="P1082" s="706"/>
    </row>
    <row r="1083" spans="1:16">
      <c r="A1083" s="706">
        <v>104780</v>
      </c>
      <c r="B1083" s="706" t="s">
        <v>2772</v>
      </c>
      <c r="C1083" s="706" t="s">
        <v>8189</v>
      </c>
      <c r="D1083" s="706" t="s">
        <v>1841</v>
      </c>
      <c r="E1083" s="706">
        <v>44.5</v>
      </c>
      <c r="F1083" s="706" t="s">
        <v>28</v>
      </c>
      <c r="G1083" s="706">
        <v>408876</v>
      </c>
      <c r="H1083" s="1191">
        <v>45496</v>
      </c>
      <c r="I1083" s="706" t="s">
        <v>2361</v>
      </c>
      <c r="M1083" s="706"/>
      <c r="N1083" s="706"/>
      <c r="O1083" s="706"/>
      <c r="P1083" s="706"/>
    </row>
    <row r="1084" spans="1:16">
      <c r="A1084" s="706">
        <v>104781</v>
      </c>
      <c r="B1084" s="706" t="s">
        <v>2773</v>
      </c>
      <c r="C1084" s="706" t="s">
        <v>8189</v>
      </c>
      <c r="D1084" s="706" t="s">
        <v>1841</v>
      </c>
      <c r="E1084" s="706">
        <v>73.529399999999995</v>
      </c>
      <c r="F1084" s="706" t="s">
        <v>28</v>
      </c>
      <c r="G1084" s="706">
        <v>407188</v>
      </c>
      <c r="H1084" s="1191">
        <v>45189</v>
      </c>
      <c r="I1084" s="706" t="s">
        <v>2361</v>
      </c>
      <c r="M1084" s="706"/>
      <c r="N1084" s="706"/>
      <c r="O1084" s="706"/>
      <c r="P1084" s="706"/>
    </row>
    <row r="1085" spans="1:16">
      <c r="A1085" s="706">
        <v>104782</v>
      </c>
      <c r="B1085" s="706" t="s">
        <v>2774</v>
      </c>
      <c r="C1085" s="706" t="s">
        <v>8189</v>
      </c>
      <c r="D1085" s="706" t="s">
        <v>1841</v>
      </c>
      <c r="E1085" s="706">
        <v>25</v>
      </c>
      <c r="F1085" s="706" t="s">
        <v>28</v>
      </c>
      <c r="G1085" s="706">
        <v>410599</v>
      </c>
      <c r="H1085" s="1191">
        <v>45853</v>
      </c>
      <c r="I1085" s="706" t="s">
        <v>2361</v>
      </c>
      <c r="M1085" s="706"/>
      <c r="N1085" s="706"/>
      <c r="O1085" s="706"/>
      <c r="P1085" s="706"/>
    </row>
    <row r="1086" spans="1:16">
      <c r="A1086" s="706">
        <v>104783</v>
      </c>
      <c r="B1086" s="706" t="s">
        <v>2775</v>
      </c>
      <c r="C1086" s="706" t="s">
        <v>8189</v>
      </c>
      <c r="D1086" s="706" t="s">
        <v>1841</v>
      </c>
      <c r="E1086" s="706">
        <v>4.5</v>
      </c>
      <c r="F1086" s="706" t="s">
        <v>28</v>
      </c>
      <c r="G1086" s="706">
        <v>411340</v>
      </c>
      <c r="H1086" s="1191">
        <v>45993</v>
      </c>
      <c r="I1086" s="706" t="s">
        <v>2361</v>
      </c>
      <c r="M1086" s="706"/>
      <c r="N1086" s="706"/>
      <c r="O1086" s="706"/>
      <c r="P1086" s="706"/>
    </row>
    <row r="1087" spans="1:16">
      <c r="A1087" s="706">
        <v>104784</v>
      </c>
      <c r="B1087" s="706" t="s">
        <v>2776</v>
      </c>
      <c r="C1087" s="706" t="s">
        <v>8189</v>
      </c>
      <c r="D1087" s="706" t="s">
        <v>1841</v>
      </c>
      <c r="E1087" s="706">
        <v>4</v>
      </c>
      <c r="F1087" s="706" t="s">
        <v>28</v>
      </c>
      <c r="G1087" s="706">
        <v>405037</v>
      </c>
      <c r="H1087" s="1191">
        <v>44699</v>
      </c>
      <c r="I1087" s="706" t="s">
        <v>2361</v>
      </c>
      <c r="M1087" s="706"/>
      <c r="N1087" s="706"/>
      <c r="O1087" s="706"/>
      <c r="P1087" s="706"/>
    </row>
    <row r="1088" spans="1:16">
      <c r="A1088" s="706">
        <v>104785</v>
      </c>
      <c r="B1088" s="706" t="s">
        <v>2777</v>
      </c>
      <c r="D1088" s="706" t="s">
        <v>1841</v>
      </c>
      <c r="H1088" s="1191"/>
      <c r="I1088" s="706" t="s">
        <v>2361</v>
      </c>
      <c r="M1088" s="706"/>
      <c r="N1088" s="706"/>
      <c r="O1088" s="706"/>
      <c r="P1088" s="706"/>
    </row>
    <row r="1089" spans="1:16">
      <c r="A1089" s="706">
        <v>104786</v>
      </c>
      <c r="B1089" s="706" t="s">
        <v>2778</v>
      </c>
      <c r="D1089" s="706" t="s">
        <v>1841</v>
      </c>
      <c r="H1089" s="1191"/>
      <c r="I1089" s="706" t="s">
        <v>2361</v>
      </c>
      <c r="M1089" s="706"/>
      <c r="N1089" s="706"/>
      <c r="O1089" s="706"/>
      <c r="P1089" s="706"/>
    </row>
    <row r="1090" spans="1:16">
      <c r="A1090" s="706">
        <v>104787</v>
      </c>
      <c r="B1090" s="706" t="s">
        <v>2779</v>
      </c>
      <c r="C1090" s="706" t="s">
        <v>8189</v>
      </c>
      <c r="D1090" s="706" t="s">
        <v>1841</v>
      </c>
      <c r="E1090" s="706">
        <v>156.25</v>
      </c>
      <c r="F1090" s="706" t="s">
        <v>28</v>
      </c>
      <c r="G1090" s="706">
        <v>411607</v>
      </c>
      <c r="H1090" s="1191">
        <v>46047</v>
      </c>
      <c r="I1090" s="706" t="s">
        <v>2361</v>
      </c>
      <c r="M1090" s="706"/>
      <c r="N1090" s="706"/>
      <c r="O1090" s="706"/>
      <c r="P1090" s="706"/>
    </row>
    <row r="1091" spans="1:16">
      <c r="A1091" s="706">
        <v>104788</v>
      </c>
      <c r="B1091" s="706" t="s">
        <v>2780</v>
      </c>
      <c r="D1091" s="706" t="s">
        <v>1841</v>
      </c>
      <c r="H1091" s="1191"/>
      <c r="I1091" s="706" t="s">
        <v>2361</v>
      </c>
      <c r="M1091" s="706"/>
      <c r="N1091" s="706"/>
      <c r="O1091" s="706"/>
      <c r="P1091" s="706"/>
    </row>
    <row r="1092" spans="1:16">
      <c r="A1092" s="706">
        <v>104789</v>
      </c>
      <c r="B1092" s="706" t="s">
        <v>2781</v>
      </c>
      <c r="C1092" s="706" t="s">
        <v>8189</v>
      </c>
      <c r="D1092" s="706" t="s">
        <v>1841</v>
      </c>
      <c r="E1092" s="706">
        <v>18</v>
      </c>
      <c r="F1092" s="706" t="s">
        <v>28</v>
      </c>
      <c r="G1092" s="706">
        <v>400092</v>
      </c>
      <c r="H1092" s="1191">
        <v>43928</v>
      </c>
      <c r="I1092" s="706" t="s">
        <v>2361</v>
      </c>
      <c r="M1092" s="706"/>
      <c r="N1092" s="706"/>
      <c r="O1092" s="706"/>
      <c r="P1092" s="706"/>
    </row>
    <row r="1093" spans="1:16">
      <c r="A1093" s="706">
        <v>104790</v>
      </c>
      <c r="B1093" s="706" t="s">
        <v>2782</v>
      </c>
      <c r="D1093" s="706" t="s">
        <v>1841</v>
      </c>
      <c r="H1093" s="1191"/>
      <c r="I1093" s="706" t="s">
        <v>2361</v>
      </c>
      <c r="M1093" s="706"/>
      <c r="N1093" s="706"/>
      <c r="O1093" s="706"/>
      <c r="P1093" s="706"/>
    </row>
    <row r="1094" spans="1:16">
      <c r="A1094" s="706">
        <v>104791</v>
      </c>
      <c r="B1094" s="706" t="s">
        <v>2783</v>
      </c>
      <c r="D1094" s="706" t="s">
        <v>1841</v>
      </c>
      <c r="H1094" s="1191"/>
      <c r="I1094" s="706" t="s">
        <v>2361</v>
      </c>
      <c r="M1094" s="706"/>
      <c r="N1094" s="706"/>
      <c r="O1094" s="706"/>
      <c r="P1094" s="706"/>
    </row>
    <row r="1095" spans="1:16">
      <c r="A1095" s="706">
        <v>104792</v>
      </c>
      <c r="B1095" s="706" t="s">
        <v>2784</v>
      </c>
      <c r="D1095" s="706" t="s">
        <v>1841</v>
      </c>
      <c r="H1095" s="1191"/>
      <c r="I1095" s="706" t="s">
        <v>2361</v>
      </c>
      <c r="M1095" s="706"/>
      <c r="N1095" s="706"/>
      <c r="O1095" s="706"/>
      <c r="P1095" s="706"/>
    </row>
    <row r="1096" spans="1:16">
      <c r="A1096" s="706">
        <v>104793</v>
      </c>
      <c r="B1096" s="706" t="s">
        <v>2785</v>
      </c>
      <c r="D1096" s="706" t="s">
        <v>1841</v>
      </c>
      <c r="H1096" s="1191"/>
      <c r="I1096" s="706" t="s">
        <v>2361</v>
      </c>
      <c r="M1096" s="706"/>
      <c r="N1096" s="706"/>
      <c r="O1096" s="706"/>
      <c r="P1096" s="706"/>
    </row>
    <row r="1097" spans="1:16">
      <c r="A1097" s="706">
        <v>104794</v>
      </c>
      <c r="B1097" s="706" t="s">
        <v>2786</v>
      </c>
      <c r="C1097" s="706" t="s">
        <v>8189</v>
      </c>
      <c r="D1097" s="706" t="s">
        <v>1841</v>
      </c>
      <c r="E1097" s="706">
        <v>84</v>
      </c>
      <c r="F1097" s="706" t="s">
        <v>28</v>
      </c>
      <c r="G1097" s="706">
        <v>411533</v>
      </c>
      <c r="H1097" s="1191">
        <v>46035</v>
      </c>
      <c r="I1097" s="706" t="s">
        <v>2361</v>
      </c>
      <c r="M1097" s="706"/>
      <c r="N1097" s="706"/>
      <c r="O1097" s="706"/>
      <c r="P1097" s="706"/>
    </row>
    <row r="1098" spans="1:16">
      <c r="A1098" s="706">
        <v>104795</v>
      </c>
      <c r="B1098" s="706" t="s">
        <v>2787</v>
      </c>
      <c r="D1098" s="706" t="s">
        <v>1841</v>
      </c>
      <c r="H1098" s="1191"/>
      <c r="I1098" s="706" t="s">
        <v>2361</v>
      </c>
      <c r="M1098" s="706"/>
      <c r="N1098" s="706"/>
      <c r="O1098" s="706"/>
      <c r="P1098" s="706"/>
    </row>
    <row r="1099" spans="1:16">
      <c r="A1099" s="706">
        <v>104796</v>
      </c>
      <c r="B1099" s="706" t="s">
        <v>2788</v>
      </c>
      <c r="C1099" s="706" t="s">
        <v>8189</v>
      </c>
      <c r="D1099" s="706" t="s">
        <v>1841</v>
      </c>
      <c r="E1099" s="706">
        <v>18</v>
      </c>
      <c r="F1099" s="706" t="s">
        <v>28</v>
      </c>
      <c r="G1099" s="706">
        <v>405977</v>
      </c>
      <c r="H1099" s="1191">
        <v>44922</v>
      </c>
      <c r="I1099" s="706" t="s">
        <v>2361</v>
      </c>
      <c r="M1099" s="706"/>
      <c r="N1099" s="706"/>
      <c r="O1099" s="706"/>
      <c r="P1099" s="706"/>
    </row>
    <row r="1100" spans="1:16">
      <c r="A1100" s="706">
        <v>104797</v>
      </c>
      <c r="B1100" s="706" t="s">
        <v>2789</v>
      </c>
      <c r="C1100" s="706" t="s">
        <v>8189</v>
      </c>
      <c r="D1100" s="706" t="s">
        <v>1841</v>
      </c>
      <c r="E1100" s="706">
        <v>4</v>
      </c>
      <c r="F1100" s="706" t="s">
        <v>28</v>
      </c>
      <c r="G1100" s="706">
        <v>402960</v>
      </c>
      <c r="H1100" s="1191">
        <v>44308</v>
      </c>
      <c r="I1100" s="706" t="s">
        <v>2361</v>
      </c>
      <c r="M1100" s="706"/>
      <c r="N1100" s="706"/>
      <c r="O1100" s="706"/>
      <c r="P1100" s="706"/>
    </row>
    <row r="1101" spans="1:16">
      <c r="A1101" s="706">
        <v>104798</v>
      </c>
      <c r="B1101" s="706" t="s">
        <v>2790</v>
      </c>
      <c r="C1101" s="706" t="s">
        <v>8187</v>
      </c>
      <c r="D1101" s="706" t="s">
        <v>1841</v>
      </c>
      <c r="E1101" s="706">
        <v>6.335</v>
      </c>
      <c r="F1101" s="706" t="s">
        <v>28</v>
      </c>
      <c r="G1101" s="706">
        <v>406819</v>
      </c>
      <c r="H1101" s="1191">
        <v>45106</v>
      </c>
      <c r="I1101" s="706" t="s">
        <v>2361</v>
      </c>
      <c r="M1101" s="706"/>
      <c r="N1101" s="706"/>
      <c r="O1101" s="706"/>
      <c r="P1101" s="706"/>
    </row>
    <row r="1102" spans="1:16">
      <c r="A1102" s="706">
        <v>104799</v>
      </c>
      <c r="B1102" s="706" t="s">
        <v>2791</v>
      </c>
      <c r="D1102" s="706" t="s">
        <v>1841</v>
      </c>
      <c r="H1102" s="1191"/>
      <c r="I1102" s="706" t="s">
        <v>2361</v>
      </c>
      <c r="M1102" s="706"/>
      <c r="N1102" s="706"/>
      <c r="O1102" s="706"/>
      <c r="P1102" s="706"/>
    </row>
    <row r="1103" spans="1:16">
      <c r="A1103" s="706">
        <v>104800</v>
      </c>
      <c r="B1103" s="706" t="s">
        <v>2792</v>
      </c>
      <c r="D1103" s="706" t="s">
        <v>1841</v>
      </c>
      <c r="H1103" s="1191"/>
      <c r="I1103" s="706" t="s">
        <v>2361</v>
      </c>
      <c r="M1103" s="706"/>
      <c r="N1103" s="706"/>
      <c r="O1103" s="706"/>
      <c r="P1103" s="706"/>
    </row>
    <row r="1104" spans="1:16">
      <c r="A1104" s="706">
        <v>104801</v>
      </c>
      <c r="B1104" s="706" t="s">
        <v>2793</v>
      </c>
      <c r="C1104" s="706" t="s">
        <v>8189</v>
      </c>
      <c r="D1104" s="706" t="s">
        <v>1841</v>
      </c>
      <c r="E1104" s="706">
        <v>178</v>
      </c>
      <c r="F1104" s="706" t="s">
        <v>28</v>
      </c>
      <c r="G1104" s="706">
        <v>401968</v>
      </c>
      <c r="H1104" s="1191">
        <v>44139</v>
      </c>
      <c r="I1104" s="706" t="s">
        <v>2794</v>
      </c>
      <c r="M1104" s="706"/>
      <c r="N1104" s="706"/>
      <c r="O1104" s="706"/>
      <c r="P1104" s="706"/>
    </row>
    <row r="1105" spans="1:16">
      <c r="A1105" s="706">
        <v>104802</v>
      </c>
      <c r="B1105" s="706" t="s">
        <v>2795</v>
      </c>
      <c r="C1105" s="706" t="s">
        <v>8189</v>
      </c>
      <c r="D1105" s="706" t="s">
        <v>1841</v>
      </c>
      <c r="E1105" s="706">
        <v>881.25</v>
      </c>
      <c r="F1105" s="706" t="s">
        <v>28</v>
      </c>
      <c r="G1105" s="706">
        <v>402381</v>
      </c>
      <c r="H1105" s="1191">
        <v>44218</v>
      </c>
      <c r="I1105" s="706" t="s">
        <v>2361</v>
      </c>
      <c r="M1105" s="706"/>
      <c r="N1105" s="706"/>
      <c r="O1105" s="706"/>
      <c r="P1105" s="706"/>
    </row>
    <row r="1106" spans="1:16">
      <c r="A1106" s="706">
        <v>104803</v>
      </c>
      <c r="B1106" s="706" t="s">
        <v>2796</v>
      </c>
      <c r="D1106" s="706" t="s">
        <v>1841</v>
      </c>
      <c r="H1106" s="1191"/>
      <c r="I1106" s="706" t="s">
        <v>2361</v>
      </c>
      <c r="M1106" s="706"/>
      <c r="N1106" s="706"/>
      <c r="O1106" s="706"/>
      <c r="P1106" s="706"/>
    </row>
    <row r="1107" spans="1:16">
      <c r="A1107" s="706">
        <v>104804</v>
      </c>
      <c r="B1107" s="706" t="s">
        <v>2797</v>
      </c>
      <c r="D1107" s="706" t="s">
        <v>1841</v>
      </c>
      <c r="H1107" s="1191"/>
      <c r="I1107" s="706" t="s">
        <v>2361</v>
      </c>
      <c r="M1107" s="706"/>
      <c r="N1107" s="706"/>
      <c r="O1107" s="706"/>
      <c r="P1107" s="706"/>
    </row>
    <row r="1108" spans="1:16">
      <c r="A1108" s="706">
        <v>104805</v>
      </c>
      <c r="B1108" s="706" t="s">
        <v>2798</v>
      </c>
      <c r="D1108" s="706" t="s">
        <v>1841</v>
      </c>
      <c r="H1108" s="1191"/>
      <c r="I1108" s="706" t="s">
        <v>2361</v>
      </c>
      <c r="M1108" s="706"/>
      <c r="N1108" s="706"/>
      <c r="O1108" s="706"/>
      <c r="P1108" s="706"/>
    </row>
    <row r="1109" spans="1:16">
      <c r="A1109" s="706">
        <v>104806</v>
      </c>
      <c r="B1109" s="706" t="s">
        <v>2799</v>
      </c>
      <c r="C1109" s="706" t="s">
        <v>8189</v>
      </c>
      <c r="D1109" s="706" t="s">
        <v>1841</v>
      </c>
      <c r="E1109" s="706">
        <v>25</v>
      </c>
      <c r="F1109" s="706" t="s">
        <v>28</v>
      </c>
      <c r="G1109" s="706">
        <v>410142</v>
      </c>
      <c r="H1109" s="1191">
        <v>45756</v>
      </c>
      <c r="I1109" s="706" t="s">
        <v>2361</v>
      </c>
      <c r="M1109" s="706"/>
      <c r="N1109" s="706"/>
      <c r="O1109" s="706"/>
      <c r="P1109" s="706"/>
    </row>
    <row r="1110" spans="1:16">
      <c r="A1110" s="706">
        <v>104807</v>
      </c>
      <c r="B1110" s="706" t="s">
        <v>2800</v>
      </c>
      <c r="D1110" s="706" t="s">
        <v>1841</v>
      </c>
      <c r="H1110" s="1191"/>
      <c r="I1110" s="706" t="s">
        <v>2361</v>
      </c>
      <c r="M1110" s="706"/>
      <c r="N1110" s="706"/>
      <c r="O1110" s="706"/>
      <c r="P1110" s="706"/>
    </row>
    <row r="1111" spans="1:16">
      <c r="A1111" s="706">
        <v>104808</v>
      </c>
      <c r="B1111" s="706" t="s">
        <v>2801</v>
      </c>
      <c r="C1111" s="706" t="s">
        <v>8189</v>
      </c>
      <c r="D1111" s="706" t="s">
        <v>1841</v>
      </c>
      <c r="E1111" s="706">
        <v>8.3332999999999995</v>
      </c>
      <c r="F1111" s="706" t="s">
        <v>28</v>
      </c>
      <c r="G1111" s="706">
        <v>403265</v>
      </c>
      <c r="H1111" s="1191">
        <v>44357</v>
      </c>
      <c r="I1111" s="706" t="s">
        <v>2361</v>
      </c>
      <c r="M1111" s="706"/>
      <c r="N1111" s="706"/>
      <c r="O1111" s="706"/>
      <c r="P1111" s="706"/>
    </row>
    <row r="1112" spans="1:16">
      <c r="A1112" s="706">
        <v>104809</v>
      </c>
      <c r="B1112" s="706" t="s">
        <v>2802</v>
      </c>
      <c r="D1112" s="706" t="s">
        <v>1841</v>
      </c>
      <c r="H1112" s="1191"/>
      <c r="I1112" s="706" t="s">
        <v>2361</v>
      </c>
      <c r="M1112" s="706"/>
      <c r="N1112" s="706"/>
      <c r="O1112" s="706"/>
      <c r="P1112" s="706"/>
    </row>
    <row r="1113" spans="1:16">
      <c r="A1113" s="706">
        <v>104810</v>
      </c>
      <c r="B1113" s="706" t="s">
        <v>2803</v>
      </c>
      <c r="C1113" s="706" t="s">
        <v>8189</v>
      </c>
      <c r="D1113" s="706" t="s">
        <v>1841</v>
      </c>
      <c r="E1113" s="706">
        <v>43.73</v>
      </c>
      <c r="F1113" s="706" t="s">
        <v>28</v>
      </c>
      <c r="G1113" s="706">
        <v>404321</v>
      </c>
      <c r="H1113" s="1191">
        <v>44572</v>
      </c>
      <c r="I1113" s="706" t="s">
        <v>2361</v>
      </c>
      <c r="M1113" s="706"/>
      <c r="N1113" s="706"/>
      <c r="O1113" s="706"/>
      <c r="P1113" s="706"/>
    </row>
    <row r="1114" spans="1:16">
      <c r="A1114" s="706">
        <v>104811</v>
      </c>
      <c r="B1114" s="706" t="s">
        <v>2804</v>
      </c>
      <c r="C1114" s="706" t="s">
        <v>8189</v>
      </c>
      <c r="D1114" s="706" t="s">
        <v>1841</v>
      </c>
      <c r="E1114" s="706">
        <v>340</v>
      </c>
      <c r="F1114" s="706" t="s">
        <v>28</v>
      </c>
      <c r="G1114" s="706">
        <v>404576</v>
      </c>
      <c r="H1114" s="1191">
        <v>44616</v>
      </c>
      <c r="I1114" s="706" t="s">
        <v>2805</v>
      </c>
      <c r="M1114" s="706"/>
      <c r="N1114" s="706"/>
      <c r="O1114" s="706"/>
      <c r="P1114" s="706"/>
    </row>
    <row r="1115" spans="1:16">
      <c r="A1115" s="706">
        <v>104812</v>
      </c>
      <c r="B1115" s="706" t="s">
        <v>2806</v>
      </c>
      <c r="D1115" s="706" t="s">
        <v>1841</v>
      </c>
      <c r="H1115" s="1191"/>
      <c r="I1115" s="706" t="s">
        <v>2293</v>
      </c>
      <c r="M1115" s="706"/>
      <c r="N1115" s="706"/>
      <c r="O1115" s="706"/>
      <c r="P1115" s="706"/>
    </row>
    <row r="1116" spans="1:16">
      <c r="A1116" s="706">
        <v>104813</v>
      </c>
      <c r="B1116" s="706" t="s">
        <v>2807</v>
      </c>
      <c r="C1116" s="706" t="s">
        <v>8189</v>
      </c>
      <c r="D1116" s="706" t="s">
        <v>1841</v>
      </c>
      <c r="E1116" s="706">
        <v>6.25</v>
      </c>
      <c r="F1116" s="706" t="s">
        <v>28</v>
      </c>
      <c r="G1116" s="706">
        <v>410932</v>
      </c>
      <c r="H1116" s="1191">
        <v>45909</v>
      </c>
      <c r="I1116" s="706" t="s">
        <v>2361</v>
      </c>
      <c r="M1116" s="706"/>
      <c r="N1116" s="706"/>
      <c r="O1116" s="706"/>
      <c r="P1116" s="706"/>
    </row>
    <row r="1117" spans="1:16">
      <c r="A1117" s="706">
        <v>104814</v>
      </c>
      <c r="B1117" s="706" t="s">
        <v>2808</v>
      </c>
      <c r="D1117" s="706" t="s">
        <v>1841</v>
      </c>
      <c r="H1117" s="1191"/>
      <c r="I1117" s="706" t="s">
        <v>2809</v>
      </c>
      <c r="M1117" s="706"/>
      <c r="N1117" s="706"/>
      <c r="O1117" s="706"/>
      <c r="P1117" s="706"/>
    </row>
    <row r="1118" spans="1:16">
      <c r="A1118" s="706">
        <v>104900</v>
      </c>
      <c r="B1118" s="706" t="s">
        <v>2810</v>
      </c>
      <c r="C1118" s="706" t="s">
        <v>8187</v>
      </c>
      <c r="D1118" s="706" t="s">
        <v>1841</v>
      </c>
      <c r="E1118" s="706">
        <v>0.43080000000000002</v>
      </c>
      <c r="F1118" s="706" t="s">
        <v>30</v>
      </c>
      <c r="G1118" s="706">
        <v>408154</v>
      </c>
      <c r="H1118" s="1191">
        <v>45364</v>
      </c>
      <c r="I1118" s="706" t="s">
        <v>2811</v>
      </c>
      <c r="M1118" s="706"/>
      <c r="N1118" s="706"/>
      <c r="O1118" s="706"/>
      <c r="P1118" s="706"/>
    </row>
    <row r="1119" spans="1:16">
      <c r="A1119" s="706">
        <v>104998</v>
      </c>
      <c r="B1119" s="706" t="s">
        <v>8193</v>
      </c>
      <c r="C1119" s="706" t="s">
        <v>8189</v>
      </c>
      <c r="D1119" s="706" t="s">
        <v>1841</v>
      </c>
      <c r="E1119" s="706">
        <v>99</v>
      </c>
      <c r="F1119" s="706" t="s">
        <v>28</v>
      </c>
      <c r="G1119" s="706">
        <v>411671</v>
      </c>
      <c r="H1119" s="1191">
        <v>46058</v>
      </c>
      <c r="I1119" s="706" t="s">
        <v>2359</v>
      </c>
      <c r="M1119" s="706"/>
      <c r="N1119" s="706"/>
      <c r="O1119" s="706"/>
      <c r="P1119" s="706"/>
    </row>
    <row r="1120" spans="1:16">
      <c r="A1120" s="706">
        <v>104999</v>
      </c>
      <c r="B1120" s="706" t="s">
        <v>2812</v>
      </c>
      <c r="C1120" s="706" t="s">
        <v>8189</v>
      </c>
      <c r="D1120" s="706" t="s">
        <v>1841</v>
      </c>
      <c r="E1120" s="706">
        <v>335</v>
      </c>
      <c r="F1120" s="706" t="s">
        <v>28</v>
      </c>
      <c r="G1120" s="706">
        <v>410124</v>
      </c>
      <c r="H1120" s="1191">
        <v>45755</v>
      </c>
      <c r="I1120" s="706" t="s">
        <v>2293</v>
      </c>
      <c r="M1120" s="706"/>
      <c r="N1120" s="706"/>
      <c r="O1120" s="706"/>
      <c r="P1120" s="706"/>
    </row>
    <row r="1121" spans="1:16">
      <c r="A1121" s="706">
        <v>105025</v>
      </c>
      <c r="B1121" s="706" t="s">
        <v>2813</v>
      </c>
      <c r="C1121" s="706" t="s">
        <v>8187</v>
      </c>
      <c r="D1121" s="706" t="s">
        <v>2814</v>
      </c>
      <c r="E1121" s="706">
        <v>0.29499999999999998</v>
      </c>
      <c r="F1121" s="706" t="s">
        <v>30</v>
      </c>
      <c r="G1121" s="706">
        <v>410678</v>
      </c>
      <c r="H1121" s="1191">
        <v>45869</v>
      </c>
      <c r="I1121" s="706" t="s">
        <v>2815</v>
      </c>
      <c r="M1121" s="706"/>
      <c r="N1121" s="706"/>
      <c r="O1121" s="706"/>
      <c r="P1121" s="706"/>
    </row>
    <row r="1122" spans="1:16">
      <c r="A1122" s="706">
        <v>105049</v>
      </c>
      <c r="B1122" s="706" t="s">
        <v>8194</v>
      </c>
      <c r="C1122" s="706" t="s">
        <v>8187</v>
      </c>
      <c r="D1122" s="706" t="s">
        <v>1841</v>
      </c>
      <c r="E1122" s="706">
        <v>0.18079999999999999</v>
      </c>
      <c r="F1122" s="706" t="s">
        <v>30</v>
      </c>
      <c r="G1122" s="706">
        <v>410836</v>
      </c>
      <c r="H1122" s="1191">
        <v>45890</v>
      </c>
      <c r="I1122" s="706" t="s">
        <v>8195</v>
      </c>
      <c r="M1122" s="706"/>
      <c r="N1122" s="706"/>
      <c r="O1122" s="706"/>
      <c r="P1122" s="706"/>
    </row>
    <row r="1123" spans="1:16">
      <c r="A1123" s="706">
        <v>105050</v>
      </c>
      <c r="B1123" s="706" t="s">
        <v>2816</v>
      </c>
      <c r="C1123" s="706" t="s">
        <v>8187</v>
      </c>
      <c r="D1123" s="706" t="s">
        <v>1841</v>
      </c>
      <c r="E1123" s="706">
        <v>0.27479999999999999</v>
      </c>
      <c r="F1123" s="706" t="s">
        <v>30</v>
      </c>
      <c r="G1123" s="706">
        <v>410462</v>
      </c>
      <c r="H1123" s="1191">
        <v>45819</v>
      </c>
      <c r="I1123" s="706" t="s">
        <v>2817</v>
      </c>
      <c r="M1123" s="706"/>
      <c r="N1123" s="706"/>
      <c r="O1123" s="706"/>
      <c r="P1123" s="706"/>
    </row>
    <row r="1124" spans="1:16">
      <c r="A1124" s="706">
        <v>105100</v>
      </c>
      <c r="B1124" s="706" t="s">
        <v>2818</v>
      </c>
      <c r="D1124" s="706" t="s">
        <v>1841</v>
      </c>
      <c r="H1124" s="1191"/>
      <c r="I1124" s="706" t="s">
        <v>1993</v>
      </c>
      <c r="M1124" s="706"/>
      <c r="N1124" s="706"/>
      <c r="O1124" s="706"/>
      <c r="P1124" s="706"/>
    </row>
    <row r="1125" spans="1:16">
      <c r="A1125" s="706">
        <v>105437</v>
      </c>
      <c r="B1125" s="706" t="s">
        <v>8196</v>
      </c>
      <c r="C1125" s="706" t="s">
        <v>8189</v>
      </c>
      <c r="D1125" s="706" t="s">
        <v>1841</v>
      </c>
      <c r="E1125" s="706">
        <v>29.166599999999999</v>
      </c>
      <c r="F1125" s="706" t="s">
        <v>30</v>
      </c>
      <c r="G1125" s="706">
        <v>411720</v>
      </c>
      <c r="H1125" s="1191">
        <v>46066</v>
      </c>
      <c r="I1125" s="706" t="s">
        <v>2820</v>
      </c>
      <c r="M1125" s="706"/>
      <c r="N1125" s="706"/>
      <c r="O1125" s="706"/>
      <c r="P1125" s="706"/>
    </row>
    <row r="1126" spans="1:16">
      <c r="A1126" s="706">
        <v>105438</v>
      </c>
      <c r="B1126" s="706" t="s">
        <v>2819</v>
      </c>
      <c r="D1126" s="706" t="s">
        <v>1841</v>
      </c>
      <c r="H1126" s="1191"/>
      <c r="I1126" s="706" t="s">
        <v>2820</v>
      </c>
      <c r="M1126" s="706"/>
      <c r="N1126" s="706"/>
      <c r="O1126" s="706"/>
      <c r="P1126" s="706"/>
    </row>
    <row r="1127" spans="1:16">
      <c r="A1127" s="706">
        <v>105439</v>
      </c>
      <c r="B1127" s="706" t="s">
        <v>2821</v>
      </c>
      <c r="D1127" s="706" t="s">
        <v>1841</v>
      </c>
      <c r="H1127" s="1191"/>
      <c r="I1127" s="706" t="s">
        <v>2820</v>
      </c>
      <c r="M1127" s="706"/>
      <c r="N1127" s="706"/>
      <c r="O1127" s="706"/>
      <c r="P1127" s="706"/>
    </row>
    <row r="1128" spans="1:16">
      <c r="A1128" s="706">
        <v>105440</v>
      </c>
      <c r="B1128" s="706" t="s">
        <v>2822</v>
      </c>
      <c r="C1128" s="706" t="s">
        <v>8189</v>
      </c>
      <c r="D1128" s="706" t="s">
        <v>1841</v>
      </c>
      <c r="E1128" s="706">
        <v>270</v>
      </c>
      <c r="F1128" s="706" t="s">
        <v>28</v>
      </c>
      <c r="G1128" s="706">
        <v>408339</v>
      </c>
      <c r="H1128" s="1191">
        <v>45399</v>
      </c>
      <c r="I1128" s="706" t="s">
        <v>2820</v>
      </c>
      <c r="M1128" s="706"/>
      <c r="N1128" s="706"/>
      <c r="O1128" s="706"/>
      <c r="P1128" s="706"/>
    </row>
    <row r="1129" spans="1:16">
      <c r="A1129" s="706">
        <v>105441</v>
      </c>
      <c r="B1129" s="706" t="s">
        <v>2823</v>
      </c>
      <c r="D1129" s="706" t="s">
        <v>1841</v>
      </c>
      <c r="H1129" s="1191"/>
      <c r="I1129" s="706" t="s">
        <v>2820</v>
      </c>
      <c r="M1129" s="706"/>
      <c r="N1129" s="706"/>
      <c r="O1129" s="706"/>
      <c r="P1129" s="706"/>
    </row>
    <row r="1130" spans="1:16">
      <c r="A1130" s="706">
        <v>105442</v>
      </c>
      <c r="B1130" s="706" t="s">
        <v>2824</v>
      </c>
      <c r="D1130" s="706" t="s">
        <v>1841</v>
      </c>
      <c r="H1130" s="1191"/>
      <c r="I1130" s="706" t="s">
        <v>2820</v>
      </c>
      <c r="M1130" s="706"/>
      <c r="N1130" s="706"/>
      <c r="O1130" s="706"/>
      <c r="P1130" s="706"/>
    </row>
    <row r="1131" spans="1:16">
      <c r="A1131" s="706">
        <v>105443</v>
      </c>
      <c r="B1131" s="706" t="s">
        <v>2825</v>
      </c>
      <c r="D1131" s="706" t="s">
        <v>1841</v>
      </c>
      <c r="H1131" s="1191"/>
      <c r="I1131" s="706" t="s">
        <v>2820</v>
      </c>
      <c r="M1131" s="706"/>
      <c r="N1131" s="706"/>
      <c r="O1131" s="706"/>
      <c r="P1131" s="706"/>
    </row>
    <row r="1132" spans="1:16">
      <c r="A1132" s="706">
        <v>105444</v>
      </c>
      <c r="B1132" s="706" t="s">
        <v>2826</v>
      </c>
      <c r="D1132" s="706" t="s">
        <v>1841</v>
      </c>
      <c r="H1132" s="1191"/>
      <c r="I1132" s="706" t="s">
        <v>2820</v>
      </c>
      <c r="M1132" s="706"/>
      <c r="N1132" s="706"/>
      <c r="O1132" s="706"/>
      <c r="P1132" s="706"/>
    </row>
    <row r="1133" spans="1:16">
      <c r="A1133" s="706">
        <v>105445</v>
      </c>
      <c r="B1133" s="706" t="s">
        <v>2827</v>
      </c>
      <c r="D1133" s="706" t="s">
        <v>1841</v>
      </c>
      <c r="H1133" s="1191"/>
      <c r="I1133" s="706" t="s">
        <v>2820</v>
      </c>
      <c r="J1133" s="707"/>
      <c r="M1133" s="706"/>
      <c r="N1133" s="706"/>
      <c r="O1133" s="706"/>
      <c r="P1133" s="706"/>
    </row>
    <row r="1134" spans="1:16">
      <c r="A1134" s="706">
        <v>105446</v>
      </c>
      <c r="B1134" s="706" t="s">
        <v>2828</v>
      </c>
      <c r="C1134" s="706" t="s">
        <v>8189</v>
      </c>
      <c r="D1134" s="706" t="s">
        <v>1841</v>
      </c>
      <c r="E1134" s="706">
        <v>398</v>
      </c>
      <c r="F1134" s="706" t="s">
        <v>28</v>
      </c>
      <c r="G1134" s="706">
        <v>404175</v>
      </c>
      <c r="H1134" s="1191">
        <v>44530</v>
      </c>
      <c r="I1134" s="706" t="s">
        <v>2820</v>
      </c>
      <c r="J1134" s="707"/>
      <c r="M1134" s="706"/>
      <c r="N1134" s="706"/>
      <c r="O1134" s="706"/>
      <c r="P1134" s="706"/>
    </row>
    <row r="1135" spans="1:16">
      <c r="A1135" s="706">
        <v>105447</v>
      </c>
      <c r="B1135" s="706" t="s">
        <v>2829</v>
      </c>
      <c r="D1135" s="706" t="s">
        <v>1841</v>
      </c>
      <c r="H1135" s="1191"/>
      <c r="I1135" s="706" t="s">
        <v>2820</v>
      </c>
    </row>
    <row r="1136" spans="1:16">
      <c r="A1136" s="706">
        <v>105448</v>
      </c>
      <c r="B1136" s="706" t="s">
        <v>2830</v>
      </c>
      <c r="D1136" s="706" t="s">
        <v>1841</v>
      </c>
      <c r="H1136" s="1191"/>
      <c r="I1136" s="706" t="s">
        <v>2820</v>
      </c>
    </row>
    <row r="1137" spans="1:9">
      <c r="A1137" s="706">
        <v>105449</v>
      </c>
      <c r="B1137" s="706" t="s">
        <v>2831</v>
      </c>
      <c r="D1137" s="706" t="s">
        <v>1841</v>
      </c>
      <c r="H1137" s="1191"/>
      <c r="I1137" s="706" t="s">
        <v>2820</v>
      </c>
    </row>
    <row r="1138" spans="1:9">
      <c r="A1138" s="706">
        <v>105450</v>
      </c>
      <c r="B1138" s="706" t="s">
        <v>2832</v>
      </c>
      <c r="D1138" s="706" t="s">
        <v>1841</v>
      </c>
      <c r="H1138" s="1191"/>
      <c r="I1138" s="706" t="s">
        <v>2820</v>
      </c>
    </row>
    <row r="1139" spans="1:9">
      <c r="A1139" s="706">
        <v>105451</v>
      </c>
      <c r="B1139" s="706" t="s">
        <v>2833</v>
      </c>
      <c r="C1139" s="706" t="s">
        <v>1852</v>
      </c>
      <c r="D1139" s="706" t="s">
        <v>1841</v>
      </c>
      <c r="E1139" s="706">
        <v>302</v>
      </c>
      <c r="F1139" s="706" t="s">
        <v>28</v>
      </c>
      <c r="G1139" s="706">
        <v>404245</v>
      </c>
      <c r="H1139" s="1191">
        <v>44545</v>
      </c>
      <c r="I1139" s="706" t="s">
        <v>2820</v>
      </c>
    </row>
    <row r="1140" spans="1:9">
      <c r="A1140" s="706">
        <v>105452</v>
      </c>
      <c r="B1140" s="706" t="s">
        <v>2834</v>
      </c>
      <c r="D1140" s="706" t="s">
        <v>1841</v>
      </c>
      <c r="H1140" s="1191"/>
      <c r="I1140" s="706" t="s">
        <v>2820</v>
      </c>
    </row>
    <row r="1141" spans="1:9">
      <c r="A1141" s="706">
        <v>105453</v>
      </c>
      <c r="B1141" s="706" t="s">
        <v>2835</v>
      </c>
      <c r="C1141" s="706" t="s">
        <v>8189</v>
      </c>
      <c r="D1141" s="706" t="s">
        <v>1841</v>
      </c>
      <c r="E1141" s="706">
        <v>245</v>
      </c>
      <c r="F1141" s="706" t="s">
        <v>28</v>
      </c>
      <c r="G1141" s="706">
        <v>411311</v>
      </c>
      <c r="H1141" s="1191">
        <v>45985</v>
      </c>
      <c r="I1141" s="706" t="s">
        <v>2820</v>
      </c>
    </row>
    <row r="1142" spans="1:9">
      <c r="A1142" s="706">
        <v>105454</v>
      </c>
      <c r="B1142" s="706" t="s">
        <v>2836</v>
      </c>
      <c r="C1142" s="706" t="s">
        <v>8189</v>
      </c>
      <c r="D1142" s="706" t="s">
        <v>1841</v>
      </c>
      <c r="E1142" s="706">
        <v>6</v>
      </c>
      <c r="F1142" s="706" t="s">
        <v>28</v>
      </c>
      <c r="G1142" s="706">
        <v>404642</v>
      </c>
      <c r="H1142" s="1191">
        <v>44629</v>
      </c>
      <c r="I1142" s="706" t="s">
        <v>2820</v>
      </c>
    </row>
    <row r="1143" spans="1:9">
      <c r="A1143" s="706">
        <v>105455</v>
      </c>
      <c r="B1143" s="706" t="s">
        <v>2837</v>
      </c>
      <c r="D1143" s="706" t="s">
        <v>1841</v>
      </c>
      <c r="H1143" s="1191"/>
      <c r="I1143" s="706" t="s">
        <v>2820</v>
      </c>
    </row>
    <row r="1144" spans="1:9">
      <c r="A1144" s="706">
        <v>105456</v>
      </c>
      <c r="B1144" s="706" t="s">
        <v>2838</v>
      </c>
      <c r="D1144" s="706" t="s">
        <v>1841</v>
      </c>
      <c r="H1144" s="1191"/>
      <c r="I1144" s="706" t="s">
        <v>2820</v>
      </c>
    </row>
    <row r="1145" spans="1:9">
      <c r="A1145" s="706">
        <v>105457</v>
      </c>
      <c r="B1145" s="706" t="s">
        <v>2839</v>
      </c>
      <c r="D1145" s="706" t="s">
        <v>1841</v>
      </c>
      <c r="H1145" s="1191"/>
      <c r="I1145" s="706" t="s">
        <v>2820</v>
      </c>
    </row>
    <row r="1146" spans="1:9">
      <c r="A1146" s="706">
        <v>105458</v>
      </c>
      <c r="B1146" s="706" t="s">
        <v>2840</v>
      </c>
      <c r="D1146" s="706" t="s">
        <v>1841</v>
      </c>
      <c r="H1146" s="1191"/>
      <c r="I1146" s="706" t="s">
        <v>2820</v>
      </c>
    </row>
    <row r="1147" spans="1:9">
      <c r="A1147" s="706">
        <v>105459</v>
      </c>
      <c r="B1147" s="706" t="s">
        <v>2841</v>
      </c>
      <c r="D1147" s="706" t="s">
        <v>1841</v>
      </c>
      <c r="H1147" s="1191"/>
      <c r="I1147" s="706" t="s">
        <v>2820</v>
      </c>
    </row>
    <row r="1148" spans="1:9">
      <c r="A1148" s="706">
        <v>105460</v>
      </c>
      <c r="B1148" s="706" t="s">
        <v>2842</v>
      </c>
      <c r="D1148" s="706" t="s">
        <v>1841</v>
      </c>
      <c r="H1148" s="1191"/>
      <c r="I1148" s="706" t="s">
        <v>2820</v>
      </c>
    </row>
    <row r="1149" spans="1:9">
      <c r="A1149" s="706">
        <v>105461</v>
      </c>
      <c r="B1149" s="706" t="s">
        <v>2843</v>
      </c>
      <c r="D1149" s="706" t="s">
        <v>1841</v>
      </c>
      <c r="H1149" s="1191"/>
      <c r="I1149" s="706" t="s">
        <v>2820</v>
      </c>
    </row>
    <row r="1150" spans="1:9">
      <c r="A1150" s="706">
        <v>105462</v>
      </c>
      <c r="B1150" s="706" t="s">
        <v>2844</v>
      </c>
      <c r="C1150" s="706" t="s">
        <v>8189</v>
      </c>
      <c r="D1150" s="706" t="s">
        <v>1841</v>
      </c>
      <c r="E1150" s="706">
        <v>116.7728</v>
      </c>
      <c r="F1150" s="706" t="s">
        <v>28</v>
      </c>
      <c r="G1150" s="706">
        <v>408942</v>
      </c>
      <c r="H1150" s="1191">
        <v>45510</v>
      </c>
      <c r="I1150" s="706" t="s">
        <v>2820</v>
      </c>
    </row>
    <row r="1151" spans="1:9">
      <c r="A1151" s="706">
        <v>105463</v>
      </c>
      <c r="B1151" s="706" t="s">
        <v>2845</v>
      </c>
      <c r="D1151" s="706" t="s">
        <v>1841</v>
      </c>
      <c r="H1151" s="1191"/>
      <c r="I1151" s="706" t="s">
        <v>2820</v>
      </c>
    </row>
    <row r="1152" spans="1:9">
      <c r="A1152" s="706">
        <v>105464</v>
      </c>
      <c r="B1152" s="706" t="s">
        <v>2846</v>
      </c>
      <c r="C1152" s="706" t="s">
        <v>8189</v>
      </c>
      <c r="D1152" s="706" t="s">
        <v>1841</v>
      </c>
      <c r="E1152" s="706">
        <v>185</v>
      </c>
      <c r="F1152" s="706" t="s">
        <v>28</v>
      </c>
      <c r="G1152" s="706">
        <v>407740</v>
      </c>
      <c r="H1152" s="1191">
        <v>45295</v>
      </c>
      <c r="I1152" s="706" t="s">
        <v>2820</v>
      </c>
    </row>
    <row r="1153" spans="1:9">
      <c r="A1153" s="706">
        <v>105465</v>
      </c>
      <c r="B1153" s="706" t="s">
        <v>2847</v>
      </c>
      <c r="C1153" s="706" t="s">
        <v>8189</v>
      </c>
      <c r="D1153" s="706" t="s">
        <v>1841</v>
      </c>
      <c r="E1153" s="706">
        <v>165.28919999999999</v>
      </c>
      <c r="F1153" s="706" t="s">
        <v>28</v>
      </c>
      <c r="G1153" s="706">
        <v>407888</v>
      </c>
      <c r="H1153" s="1191">
        <v>45321</v>
      </c>
      <c r="I1153" s="706" t="s">
        <v>2820</v>
      </c>
    </row>
    <row r="1154" spans="1:9">
      <c r="A1154" s="706">
        <v>105466</v>
      </c>
      <c r="B1154" s="706" t="s">
        <v>2848</v>
      </c>
      <c r="C1154" s="706" t="s">
        <v>8189</v>
      </c>
      <c r="D1154" s="706" t="s">
        <v>1841</v>
      </c>
      <c r="E1154" s="706">
        <v>33</v>
      </c>
      <c r="F1154" s="706" t="s">
        <v>28</v>
      </c>
      <c r="G1154" s="706">
        <v>408470</v>
      </c>
      <c r="H1154" s="1191">
        <v>45418</v>
      </c>
      <c r="I1154" s="706" t="s">
        <v>2820</v>
      </c>
    </row>
    <row r="1155" spans="1:9">
      <c r="A1155" s="706">
        <v>105467</v>
      </c>
      <c r="B1155" s="706" t="s">
        <v>2849</v>
      </c>
      <c r="C1155" s="706" t="s">
        <v>8189</v>
      </c>
      <c r="D1155" s="706" t="s">
        <v>1841</v>
      </c>
      <c r="E1155" s="706">
        <v>97.5</v>
      </c>
      <c r="F1155" s="706" t="s">
        <v>28</v>
      </c>
      <c r="G1155" s="706">
        <v>410243</v>
      </c>
      <c r="H1155" s="1191">
        <v>45776</v>
      </c>
      <c r="I1155" s="706" t="s">
        <v>2820</v>
      </c>
    </row>
    <row r="1156" spans="1:9">
      <c r="A1156" s="706">
        <v>105468</v>
      </c>
      <c r="B1156" s="706" t="s">
        <v>2850</v>
      </c>
      <c r="C1156" s="706" t="s">
        <v>8189</v>
      </c>
      <c r="D1156" s="706" t="s">
        <v>1841</v>
      </c>
      <c r="E1156" s="706">
        <v>80</v>
      </c>
      <c r="F1156" s="706" t="s">
        <v>28</v>
      </c>
      <c r="G1156" s="706">
        <v>407915</v>
      </c>
      <c r="H1156" s="1191">
        <v>45323</v>
      </c>
      <c r="I1156" s="706" t="s">
        <v>2820</v>
      </c>
    </row>
    <row r="1157" spans="1:9">
      <c r="A1157" s="706">
        <v>105469</v>
      </c>
      <c r="B1157" s="706" t="s">
        <v>2851</v>
      </c>
      <c r="D1157" s="706" t="s">
        <v>1841</v>
      </c>
      <c r="H1157" s="1191"/>
      <c r="I1157" s="706" t="s">
        <v>2820</v>
      </c>
    </row>
    <row r="1158" spans="1:9">
      <c r="A1158" s="706">
        <v>105470</v>
      </c>
      <c r="B1158" s="706" t="s">
        <v>2852</v>
      </c>
      <c r="D1158" s="706" t="s">
        <v>1841</v>
      </c>
      <c r="H1158" s="1191"/>
      <c r="I1158" s="706" t="s">
        <v>2820</v>
      </c>
    </row>
    <row r="1159" spans="1:9">
      <c r="A1159" s="706">
        <v>105471</v>
      </c>
      <c r="B1159" s="706" t="s">
        <v>2853</v>
      </c>
      <c r="C1159" s="706" t="s">
        <v>8189</v>
      </c>
      <c r="D1159" s="706" t="s">
        <v>1841</v>
      </c>
      <c r="E1159" s="706">
        <v>269.46100000000001</v>
      </c>
      <c r="F1159" s="706" t="s">
        <v>28</v>
      </c>
      <c r="G1159" s="706">
        <v>403808</v>
      </c>
      <c r="H1159" s="1191">
        <v>44455</v>
      </c>
      <c r="I1159" s="706" t="s">
        <v>2820</v>
      </c>
    </row>
    <row r="1160" spans="1:9">
      <c r="A1160" s="706">
        <v>105473</v>
      </c>
      <c r="B1160" s="706" t="s">
        <v>2854</v>
      </c>
      <c r="D1160" s="706" t="s">
        <v>1841</v>
      </c>
      <c r="H1160" s="1191"/>
      <c r="I1160" s="706" t="s">
        <v>2820</v>
      </c>
    </row>
    <row r="1161" spans="1:9">
      <c r="A1161" s="706">
        <v>105474</v>
      </c>
      <c r="B1161" s="706" t="s">
        <v>2855</v>
      </c>
      <c r="C1161" s="706" t="s">
        <v>8189</v>
      </c>
      <c r="D1161" s="706" t="s">
        <v>1841</v>
      </c>
      <c r="E1161" s="706">
        <v>12.5</v>
      </c>
      <c r="F1161" s="706" t="s">
        <v>28</v>
      </c>
      <c r="G1161" s="706">
        <v>410641</v>
      </c>
      <c r="H1161" s="1191">
        <v>45861</v>
      </c>
      <c r="I1161" s="706" t="s">
        <v>2820</v>
      </c>
    </row>
    <row r="1162" spans="1:9">
      <c r="A1162" s="706">
        <v>105475</v>
      </c>
      <c r="B1162" s="706" t="s">
        <v>2856</v>
      </c>
      <c r="D1162" s="706" t="s">
        <v>1841</v>
      </c>
      <c r="H1162" s="1191"/>
      <c r="I1162" s="706" t="s">
        <v>2820</v>
      </c>
    </row>
    <row r="1163" spans="1:9">
      <c r="A1163" s="706">
        <v>105476</v>
      </c>
      <c r="B1163" s="706" t="s">
        <v>2857</v>
      </c>
      <c r="D1163" s="706" t="s">
        <v>1841</v>
      </c>
      <c r="H1163" s="1191"/>
      <c r="I1163" s="706" t="s">
        <v>2820</v>
      </c>
    </row>
    <row r="1164" spans="1:9">
      <c r="A1164" s="706">
        <v>105477</v>
      </c>
      <c r="B1164" s="706" t="s">
        <v>2858</v>
      </c>
      <c r="D1164" s="706" t="s">
        <v>1841</v>
      </c>
      <c r="H1164" s="1191"/>
      <c r="I1164" s="706" t="s">
        <v>2820</v>
      </c>
    </row>
    <row r="1165" spans="1:9">
      <c r="A1165" s="706">
        <v>105478</v>
      </c>
      <c r="B1165" s="706" t="s">
        <v>2859</v>
      </c>
      <c r="D1165" s="706" t="s">
        <v>1841</v>
      </c>
      <c r="H1165" s="1191"/>
      <c r="I1165" s="706" t="s">
        <v>2820</v>
      </c>
    </row>
    <row r="1166" spans="1:9">
      <c r="A1166" s="706">
        <v>105479</v>
      </c>
      <c r="B1166" s="706" t="s">
        <v>2860</v>
      </c>
      <c r="D1166" s="706" t="s">
        <v>1841</v>
      </c>
      <c r="H1166" s="1191"/>
      <c r="I1166" s="706" t="s">
        <v>2820</v>
      </c>
    </row>
    <row r="1167" spans="1:9">
      <c r="A1167" s="706">
        <v>105480</v>
      </c>
      <c r="B1167" s="706" t="s">
        <v>2861</v>
      </c>
      <c r="C1167" s="706" t="s">
        <v>8189</v>
      </c>
      <c r="D1167" s="706" t="s">
        <v>1841</v>
      </c>
      <c r="E1167" s="706">
        <v>4</v>
      </c>
      <c r="F1167" s="706" t="s">
        <v>28</v>
      </c>
      <c r="G1167" s="706">
        <v>409418</v>
      </c>
      <c r="H1167" s="1191">
        <v>45607</v>
      </c>
      <c r="I1167" s="706" t="s">
        <v>2820</v>
      </c>
    </row>
    <row r="1168" spans="1:9">
      <c r="A1168" s="706">
        <v>105481</v>
      </c>
      <c r="B1168" s="706" t="s">
        <v>2862</v>
      </c>
      <c r="C1168" s="706" t="s">
        <v>8187</v>
      </c>
      <c r="D1168" s="706" t="s">
        <v>1841</v>
      </c>
      <c r="E1168" s="706">
        <v>16.05</v>
      </c>
      <c r="F1168" s="706" t="s">
        <v>28</v>
      </c>
      <c r="G1168" s="706">
        <v>405632</v>
      </c>
      <c r="H1168" s="1191">
        <v>44823</v>
      </c>
      <c r="I1168" s="706" t="s">
        <v>2820</v>
      </c>
    </row>
    <row r="1169" spans="1:9">
      <c r="A1169" s="706">
        <v>105482</v>
      </c>
      <c r="B1169" s="706" t="s">
        <v>2863</v>
      </c>
      <c r="D1169" s="706" t="s">
        <v>1841</v>
      </c>
      <c r="H1169" s="1191"/>
      <c r="I1169" s="706" t="s">
        <v>2820</v>
      </c>
    </row>
    <row r="1170" spans="1:9">
      <c r="A1170" s="706">
        <v>105483</v>
      </c>
      <c r="B1170" s="706" t="s">
        <v>2838</v>
      </c>
      <c r="C1170" s="706" t="s">
        <v>8189</v>
      </c>
      <c r="D1170" s="706" t="s">
        <v>1841</v>
      </c>
      <c r="E1170" s="706">
        <v>2.6</v>
      </c>
      <c r="F1170" s="706" t="s">
        <v>28</v>
      </c>
      <c r="G1170" s="706">
        <v>401078</v>
      </c>
      <c r="H1170" s="1191">
        <v>44034</v>
      </c>
      <c r="I1170" s="706" t="s">
        <v>2820</v>
      </c>
    </row>
    <row r="1171" spans="1:9">
      <c r="A1171" s="706">
        <v>105484</v>
      </c>
      <c r="B1171" s="706" t="s">
        <v>2864</v>
      </c>
      <c r="C1171" s="706" t="s">
        <v>8187</v>
      </c>
      <c r="D1171" s="706" t="s">
        <v>1841</v>
      </c>
      <c r="E1171" s="706">
        <v>10.87</v>
      </c>
      <c r="F1171" s="706" t="s">
        <v>28</v>
      </c>
      <c r="G1171" s="706">
        <v>405833</v>
      </c>
      <c r="H1171" s="1191">
        <v>44874</v>
      </c>
      <c r="I1171" s="706" t="s">
        <v>2820</v>
      </c>
    </row>
    <row r="1172" spans="1:9">
      <c r="A1172" s="706">
        <v>105485</v>
      </c>
      <c r="B1172" s="706" t="s">
        <v>2865</v>
      </c>
      <c r="D1172" s="706" t="s">
        <v>1841</v>
      </c>
      <c r="H1172" s="1191"/>
      <c r="I1172" s="706" t="s">
        <v>2820</v>
      </c>
    </row>
    <row r="1173" spans="1:9">
      <c r="A1173" s="706">
        <v>105486</v>
      </c>
      <c r="B1173" s="706" t="s">
        <v>2866</v>
      </c>
      <c r="D1173" s="706" t="s">
        <v>1841</v>
      </c>
      <c r="H1173" s="1191"/>
      <c r="I1173" s="706" t="s">
        <v>2820</v>
      </c>
    </row>
    <row r="1174" spans="1:9">
      <c r="A1174" s="706">
        <v>105487</v>
      </c>
      <c r="B1174" s="706" t="s">
        <v>2867</v>
      </c>
      <c r="C1174" s="706" t="s">
        <v>1852</v>
      </c>
      <c r="D1174" s="706" t="s">
        <v>1841</v>
      </c>
      <c r="E1174" s="706">
        <v>390</v>
      </c>
      <c r="F1174" s="706" t="s">
        <v>28</v>
      </c>
      <c r="G1174" s="706">
        <v>411541</v>
      </c>
      <c r="H1174" s="1191">
        <v>46036</v>
      </c>
      <c r="I1174" s="706" t="s">
        <v>2820</v>
      </c>
    </row>
    <row r="1175" spans="1:9">
      <c r="A1175" s="706">
        <v>105488</v>
      </c>
      <c r="B1175" s="706" t="s">
        <v>2868</v>
      </c>
      <c r="D1175" s="706" t="s">
        <v>1841</v>
      </c>
      <c r="H1175" s="1191"/>
      <c r="I1175" s="706" t="s">
        <v>2820</v>
      </c>
    </row>
    <row r="1176" spans="1:9">
      <c r="A1176" s="706">
        <v>105489</v>
      </c>
      <c r="B1176" s="706" t="s">
        <v>2869</v>
      </c>
      <c r="C1176" s="706" t="s">
        <v>1852</v>
      </c>
      <c r="D1176" s="706" t="s">
        <v>1841</v>
      </c>
      <c r="E1176" s="706">
        <v>215.4</v>
      </c>
      <c r="F1176" s="706" t="s">
        <v>28</v>
      </c>
      <c r="G1176" s="706">
        <v>410740</v>
      </c>
      <c r="H1176" s="1191">
        <v>45881</v>
      </c>
      <c r="I1176" s="706" t="s">
        <v>2820</v>
      </c>
    </row>
    <row r="1177" spans="1:9">
      <c r="A1177" s="706">
        <v>105490</v>
      </c>
      <c r="B1177" s="706" t="s">
        <v>2870</v>
      </c>
      <c r="D1177" s="706" t="s">
        <v>1841</v>
      </c>
      <c r="H1177" s="1191"/>
      <c r="I1177" s="706" t="s">
        <v>2820</v>
      </c>
    </row>
    <row r="1178" spans="1:9">
      <c r="A1178" s="706">
        <v>105491</v>
      </c>
      <c r="B1178" s="706" t="s">
        <v>2871</v>
      </c>
      <c r="D1178" s="706" t="s">
        <v>1841</v>
      </c>
      <c r="H1178" s="1191"/>
      <c r="I1178" s="706" t="s">
        <v>2820</v>
      </c>
    </row>
    <row r="1179" spans="1:9">
      <c r="A1179" s="706">
        <v>105492</v>
      </c>
      <c r="B1179" s="706" t="s">
        <v>2872</v>
      </c>
      <c r="D1179" s="706" t="s">
        <v>1841</v>
      </c>
      <c r="H1179" s="1191"/>
      <c r="I1179" s="706" t="s">
        <v>2820</v>
      </c>
    </row>
    <row r="1180" spans="1:9">
      <c r="A1180" s="706">
        <v>105493</v>
      </c>
      <c r="B1180" s="706" t="s">
        <v>2873</v>
      </c>
      <c r="D1180" s="706" t="s">
        <v>1841</v>
      </c>
      <c r="H1180" s="1191"/>
      <c r="I1180" s="706" t="s">
        <v>2820</v>
      </c>
    </row>
    <row r="1181" spans="1:9">
      <c r="A1181" s="706">
        <v>105494</v>
      </c>
      <c r="B1181" s="706" t="s">
        <v>2874</v>
      </c>
      <c r="C1181" s="706" t="s">
        <v>8197</v>
      </c>
      <c r="D1181" s="706" t="s">
        <v>1841</v>
      </c>
      <c r="E1181" s="706">
        <v>163.85</v>
      </c>
      <c r="F1181" s="706" t="s">
        <v>28</v>
      </c>
      <c r="G1181" s="706">
        <v>409141</v>
      </c>
      <c r="H1181" s="1191">
        <v>45553</v>
      </c>
      <c r="I1181" s="706" t="s">
        <v>2820</v>
      </c>
    </row>
    <row r="1182" spans="1:9">
      <c r="A1182" s="706">
        <v>105495</v>
      </c>
      <c r="B1182" s="706" t="s">
        <v>2875</v>
      </c>
      <c r="D1182" s="706" t="s">
        <v>1841</v>
      </c>
      <c r="H1182" s="1191"/>
      <c r="I1182" s="706" t="s">
        <v>2820</v>
      </c>
    </row>
    <row r="1183" spans="1:9">
      <c r="A1183" s="706">
        <v>105496</v>
      </c>
      <c r="B1183" s="706" t="s">
        <v>2876</v>
      </c>
      <c r="D1183" s="706" t="s">
        <v>1841</v>
      </c>
      <c r="H1183" s="1191"/>
      <c r="I1183" s="706" t="s">
        <v>2820</v>
      </c>
    </row>
    <row r="1184" spans="1:9">
      <c r="A1184" s="706">
        <v>105497</v>
      </c>
      <c r="B1184" s="706" t="s">
        <v>2877</v>
      </c>
      <c r="C1184" s="706" t="s">
        <v>8189</v>
      </c>
      <c r="D1184" s="706" t="s">
        <v>1841</v>
      </c>
      <c r="E1184" s="706">
        <v>225</v>
      </c>
      <c r="F1184" s="706" t="s">
        <v>28</v>
      </c>
      <c r="G1184" s="706">
        <v>403808</v>
      </c>
      <c r="H1184" s="1191">
        <v>44455</v>
      </c>
      <c r="I1184" s="706" t="s">
        <v>2820</v>
      </c>
    </row>
    <row r="1185" spans="1:9">
      <c r="A1185" s="706">
        <v>105498</v>
      </c>
      <c r="B1185" s="706" t="s">
        <v>2878</v>
      </c>
      <c r="D1185" s="706" t="s">
        <v>1841</v>
      </c>
      <c r="H1185" s="1191"/>
      <c r="I1185" s="706" t="s">
        <v>2820</v>
      </c>
    </row>
    <row r="1186" spans="1:9">
      <c r="A1186" s="706">
        <v>105499</v>
      </c>
      <c r="B1186" s="706" t="s">
        <v>2879</v>
      </c>
      <c r="C1186" s="706" t="s">
        <v>8189</v>
      </c>
      <c r="D1186" s="706" t="s">
        <v>1841</v>
      </c>
      <c r="E1186" s="706">
        <v>190</v>
      </c>
      <c r="F1186" s="706" t="s">
        <v>28</v>
      </c>
      <c r="G1186" s="706">
        <v>411079</v>
      </c>
      <c r="H1186" s="1191">
        <v>45936</v>
      </c>
      <c r="I1186" s="706" t="s">
        <v>2820</v>
      </c>
    </row>
    <row r="1187" spans="1:9">
      <c r="A1187" s="706">
        <v>105500</v>
      </c>
      <c r="B1187" s="706" t="s">
        <v>2880</v>
      </c>
      <c r="D1187" s="706" t="s">
        <v>1841</v>
      </c>
      <c r="H1187" s="1191"/>
      <c r="I1187" s="706" t="s">
        <v>2820</v>
      </c>
    </row>
    <row r="1188" spans="1:9">
      <c r="A1188" s="706">
        <v>105501</v>
      </c>
      <c r="B1188" s="706" t="s">
        <v>2881</v>
      </c>
      <c r="D1188" s="706" t="s">
        <v>1841</v>
      </c>
      <c r="H1188" s="1191"/>
      <c r="I1188" s="706" t="s">
        <v>2820</v>
      </c>
    </row>
    <row r="1189" spans="1:9">
      <c r="A1189" s="706">
        <v>105502</v>
      </c>
      <c r="B1189" s="706" t="s">
        <v>2882</v>
      </c>
      <c r="D1189" s="706" t="s">
        <v>1841</v>
      </c>
      <c r="H1189" s="1191"/>
      <c r="I1189" s="706" t="s">
        <v>2820</v>
      </c>
    </row>
    <row r="1190" spans="1:9">
      <c r="A1190" s="706">
        <v>105503</v>
      </c>
      <c r="B1190" s="706" t="s">
        <v>2883</v>
      </c>
      <c r="D1190" s="706" t="s">
        <v>1841</v>
      </c>
      <c r="H1190" s="1191"/>
      <c r="I1190" s="706" t="s">
        <v>2820</v>
      </c>
    </row>
    <row r="1191" spans="1:9">
      <c r="A1191" s="706">
        <v>105504</v>
      </c>
      <c r="B1191" s="706" t="s">
        <v>2884</v>
      </c>
      <c r="C1191" s="706" t="s">
        <v>1852</v>
      </c>
      <c r="D1191" s="706" t="s">
        <v>1841</v>
      </c>
      <c r="E1191" s="706">
        <v>305</v>
      </c>
      <c r="F1191" s="706" t="s">
        <v>28</v>
      </c>
      <c r="G1191" s="706">
        <v>411432</v>
      </c>
      <c r="H1191" s="1191">
        <v>46009</v>
      </c>
      <c r="I1191" s="706" t="s">
        <v>2820</v>
      </c>
    </row>
    <row r="1192" spans="1:9">
      <c r="A1192" s="706">
        <v>105505</v>
      </c>
      <c r="B1192" s="706" t="s">
        <v>2885</v>
      </c>
      <c r="D1192" s="706" t="s">
        <v>1841</v>
      </c>
      <c r="H1192" s="1191"/>
      <c r="I1192" s="706" t="s">
        <v>2820</v>
      </c>
    </row>
    <row r="1193" spans="1:9">
      <c r="A1193" s="706">
        <v>105506</v>
      </c>
      <c r="B1193" s="706" t="s">
        <v>2886</v>
      </c>
      <c r="D1193" s="706" t="s">
        <v>1841</v>
      </c>
      <c r="H1193" s="1191"/>
      <c r="I1193" s="706" t="s">
        <v>2820</v>
      </c>
    </row>
    <row r="1194" spans="1:9">
      <c r="A1194" s="706">
        <v>105507</v>
      </c>
      <c r="B1194" s="706" t="s">
        <v>2887</v>
      </c>
      <c r="D1194" s="706" t="s">
        <v>1841</v>
      </c>
      <c r="H1194" s="1191"/>
      <c r="I1194" s="706" t="s">
        <v>2820</v>
      </c>
    </row>
    <row r="1195" spans="1:9">
      <c r="A1195" s="706">
        <v>105508</v>
      </c>
      <c r="B1195" s="706" t="s">
        <v>2888</v>
      </c>
      <c r="D1195" s="706" t="s">
        <v>1841</v>
      </c>
      <c r="H1195" s="1191"/>
      <c r="I1195" s="706" t="s">
        <v>2820</v>
      </c>
    </row>
    <row r="1196" spans="1:9">
      <c r="A1196" s="706">
        <v>105509</v>
      </c>
      <c r="B1196" s="706" t="s">
        <v>2889</v>
      </c>
      <c r="D1196" s="706" t="s">
        <v>1841</v>
      </c>
      <c r="H1196" s="1191"/>
      <c r="I1196" s="706" t="s">
        <v>2820</v>
      </c>
    </row>
    <row r="1197" spans="1:9">
      <c r="A1197" s="706">
        <v>105510</v>
      </c>
      <c r="B1197" s="706" t="s">
        <v>2890</v>
      </c>
      <c r="D1197" s="706" t="s">
        <v>1841</v>
      </c>
      <c r="H1197" s="1191"/>
      <c r="I1197" s="706" t="s">
        <v>2820</v>
      </c>
    </row>
    <row r="1198" spans="1:9">
      <c r="A1198" s="706">
        <v>105511</v>
      </c>
      <c r="B1198" s="706" t="s">
        <v>2891</v>
      </c>
      <c r="D1198" s="706" t="s">
        <v>1841</v>
      </c>
      <c r="H1198" s="1191"/>
      <c r="I1198" s="706" t="s">
        <v>2820</v>
      </c>
    </row>
    <row r="1199" spans="1:9">
      <c r="A1199" s="706">
        <v>105512</v>
      </c>
      <c r="B1199" s="706" t="s">
        <v>2892</v>
      </c>
      <c r="D1199" s="706" t="s">
        <v>1841</v>
      </c>
      <c r="H1199" s="1191"/>
      <c r="I1199" s="706" t="s">
        <v>2820</v>
      </c>
    </row>
    <row r="1200" spans="1:9">
      <c r="A1200" s="706">
        <v>105513</v>
      </c>
      <c r="B1200" s="706" t="s">
        <v>2893</v>
      </c>
      <c r="D1200" s="706" t="s">
        <v>1841</v>
      </c>
      <c r="H1200" s="1191"/>
      <c r="I1200" s="706" t="s">
        <v>2820</v>
      </c>
    </row>
    <row r="1201" spans="1:9">
      <c r="A1201" s="706">
        <v>105514</v>
      </c>
      <c r="B1201" s="706" t="s">
        <v>2894</v>
      </c>
      <c r="D1201" s="706" t="s">
        <v>1841</v>
      </c>
      <c r="H1201" s="1191"/>
      <c r="I1201" s="706" t="s">
        <v>2820</v>
      </c>
    </row>
    <row r="1202" spans="1:9">
      <c r="A1202" s="706">
        <v>105515</v>
      </c>
      <c r="B1202" s="706" t="s">
        <v>2895</v>
      </c>
      <c r="D1202" s="706" t="s">
        <v>1841</v>
      </c>
      <c r="H1202" s="1191"/>
      <c r="I1202" s="706" t="s">
        <v>2820</v>
      </c>
    </row>
    <row r="1203" spans="1:9">
      <c r="A1203" s="706">
        <v>105516</v>
      </c>
      <c r="B1203" s="706" t="s">
        <v>2896</v>
      </c>
      <c r="D1203" s="706" t="s">
        <v>1841</v>
      </c>
      <c r="H1203" s="1191"/>
      <c r="I1203" s="706" t="s">
        <v>2820</v>
      </c>
    </row>
    <row r="1204" spans="1:9">
      <c r="A1204" s="706">
        <v>105517</v>
      </c>
      <c r="B1204" s="706" t="s">
        <v>2897</v>
      </c>
      <c r="D1204" s="706" t="s">
        <v>1841</v>
      </c>
      <c r="H1204" s="1191"/>
      <c r="I1204" s="706" t="s">
        <v>2820</v>
      </c>
    </row>
    <row r="1205" spans="1:9">
      <c r="A1205" s="706">
        <v>105518</v>
      </c>
      <c r="B1205" s="706" t="s">
        <v>2854</v>
      </c>
      <c r="D1205" s="706" t="s">
        <v>1841</v>
      </c>
      <c r="H1205" s="1191"/>
      <c r="I1205" s="706" t="s">
        <v>2820</v>
      </c>
    </row>
    <row r="1206" spans="1:9">
      <c r="A1206" s="706">
        <v>105519</v>
      </c>
      <c r="B1206" s="706" t="s">
        <v>2855</v>
      </c>
      <c r="C1206" s="706" t="s">
        <v>8189</v>
      </c>
      <c r="D1206" s="706" t="s">
        <v>1841</v>
      </c>
      <c r="E1206" s="706">
        <v>5</v>
      </c>
      <c r="F1206" s="706" t="s">
        <v>28</v>
      </c>
      <c r="G1206" s="706">
        <v>402874</v>
      </c>
      <c r="H1206" s="1191">
        <v>44292</v>
      </c>
      <c r="I1206" s="706" t="s">
        <v>2820</v>
      </c>
    </row>
    <row r="1207" spans="1:9">
      <c r="A1207" s="706">
        <v>105520</v>
      </c>
      <c r="B1207" s="706" t="s">
        <v>2856</v>
      </c>
      <c r="D1207" s="706" t="s">
        <v>1841</v>
      </c>
      <c r="H1207" s="1191"/>
      <c r="I1207" s="706" t="s">
        <v>2820</v>
      </c>
    </row>
    <row r="1208" spans="1:9">
      <c r="A1208" s="706">
        <v>105521</v>
      </c>
      <c r="B1208" s="706" t="s">
        <v>2898</v>
      </c>
      <c r="D1208" s="706" t="s">
        <v>1841</v>
      </c>
      <c r="H1208" s="1191"/>
      <c r="I1208" s="706" t="s">
        <v>2820</v>
      </c>
    </row>
    <row r="1209" spans="1:9">
      <c r="A1209" s="706">
        <v>105522</v>
      </c>
      <c r="B1209" s="706" t="s">
        <v>2857</v>
      </c>
      <c r="D1209" s="706" t="s">
        <v>1841</v>
      </c>
      <c r="H1209" s="1191"/>
      <c r="I1209" s="706" t="s">
        <v>2820</v>
      </c>
    </row>
    <row r="1210" spans="1:9">
      <c r="A1210" s="706">
        <v>105523</v>
      </c>
      <c r="B1210" s="706" t="s">
        <v>2858</v>
      </c>
      <c r="D1210" s="706" t="s">
        <v>1841</v>
      </c>
      <c r="H1210" s="1191"/>
      <c r="I1210" s="706" t="s">
        <v>2820</v>
      </c>
    </row>
    <row r="1211" spans="1:9">
      <c r="A1211" s="706">
        <v>105524</v>
      </c>
      <c r="B1211" s="706" t="s">
        <v>2859</v>
      </c>
      <c r="D1211" s="706" t="s">
        <v>1841</v>
      </c>
      <c r="H1211" s="1191"/>
      <c r="I1211" s="706" t="s">
        <v>2820</v>
      </c>
    </row>
    <row r="1212" spans="1:9">
      <c r="A1212" s="706">
        <v>105525</v>
      </c>
      <c r="B1212" s="706" t="s">
        <v>2899</v>
      </c>
      <c r="D1212" s="706" t="s">
        <v>1841</v>
      </c>
      <c r="H1212" s="1191"/>
      <c r="I1212" s="706" t="s">
        <v>2820</v>
      </c>
    </row>
    <row r="1213" spans="1:9">
      <c r="A1213" s="706">
        <v>105526</v>
      </c>
      <c r="B1213" s="706" t="s">
        <v>2860</v>
      </c>
      <c r="D1213" s="706" t="s">
        <v>1841</v>
      </c>
      <c r="H1213" s="1191"/>
      <c r="I1213" s="706" t="s">
        <v>2820</v>
      </c>
    </row>
    <row r="1214" spans="1:9">
      <c r="A1214" s="706">
        <v>105527</v>
      </c>
      <c r="B1214" s="706" t="s">
        <v>2861</v>
      </c>
      <c r="C1214" s="706" t="s">
        <v>8189</v>
      </c>
      <c r="D1214" s="706" t="s">
        <v>1841</v>
      </c>
      <c r="E1214" s="706">
        <v>2.5</v>
      </c>
      <c r="F1214" s="706" t="s">
        <v>28</v>
      </c>
      <c r="G1214" s="706">
        <v>400967</v>
      </c>
      <c r="H1214" s="1191">
        <v>44025</v>
      </c>
      <c r="I1214" s="706" t="s">
        <v>2820</v>
      </c>
    </row>
    <row r="1215" spans="1:9">
      <c r="A1215" s="706">
        <v>105528</v>
      </c>
      <c r="B1215" s="706" t="s">
        <v>2862</v>
      </c>
      <c r="D1215" s="706" t="s">
        <v>1841</v>
      </c>
      <c r="H1215" s="1191"/>
      <c r="I1215" s="706" t="s">
        <v>2820</v>
      </c>
    </row>
    <row r="1216" spans="1:9">
      <c r="A1216" s="706">
        <v>105529</v>
      </c>
      <c r="B1216" s="706" t="s">
        <v>2900</v>
      </c>
      <c r="D1216" s="706" t="s">
        <v>1841</v>
      </c>
      <c r="H1216" s="1191"/>
      <c r="I1216" s="706" t="s">
        <v>2820</v>
      </c>
    </row>
    <row r="1217" spans="1:9">
      <c r="A1217" s="706">
        <v>105530</v>
      </c>
      <c r="B1217" s="706" t="s">
        <v>2863</v>
      </c>
      <c r="D1217" s="706" t="s">
        <v>1841</v>
      </c>
      <c r="H1217" s="1191"/>
      <c r="I1217" s="706" t="s">
        <v>2820</v>
      </c>
    </row>
    <row r="1218" spans="1:9">
      <c r="A1218" s="706">
        <v>105531</v>
      </c>
      <c r="B1218" s="706" t="s">
        <v>2901</v>
      </c>
      <c r="D1218" s="706" t="s">
        <v>1841</v>
      </c>
      <c r="H1218" s="1191"/>
      <c r="I1218" s="706" t="s">
        <v>2820</v>
      </c>
    </row>
    <row r="1219" spans="1:9">
      <c r="A1219" s="706">
        <v>105532</v>
      </c>
      <c r="B1219" s="706" t="s">
        <v>2864</v>
      </c>
      <c r="D1219" s="706" t="s">
        <v>1841</v>
      </c>
      <c r="H1219" s="1191"/>
      <c r="I1219" s="706" t="s">
        <v>2820</v>
      </c>
    </row>
    <row r="1220" spans="1:9">
      <c r="A1220" s="706">
        <v>105533</v>
      </c>
      <c r="B1220" s="706" t="s">
        <v>2902</v>
      </c>
      <c r="D1220" s="706" t="s">
        <v>1841</v>
      </c>
      <c r="H1220" s="1191"/>
      <c r="I1220" s="706" t="s">
        <v>2820</v>
      </c>
    </row>
    <row r="1221" spans="1:9">
      <c r="A1221" s="706">
        <v>105534</v>
      </c>
      <c r="B1221" s="706" t="s">
        <v>2903</v>
      </c>
      <c r="D1221" s="706" t="s">
        <v>1841</v>
      </c>
      <c r="H1221" s="1191"/>
      <c r="I1221" s="706" t="s">
        <v>2820</v>
      </c>
    </row>
    <row r="1222" spans="1:9">
      <c r="A1222" s="706">
        <v>105535</v>
      </c>
      <c r="B1222" s="706" t="s">
        <v>2904</v>
      </c>
      <c r="D1222" s="706" t="s">
        <v>1841</v>
      </c>
      <c r="H1222" s="1191"/>
      <c r="I1222" s="706" t="s">
        <v>2820</v>
      </c>
    </row>
    <row r="1223" spans="1:9">
      <c r="A1223" s="706">
        <v>105536</v>
      </c>
      <c r="B1223" s="706" t="s">
        <v>2905</v>
      </c>
      <c r="C1223" s="706" t="s">
        <v>8189</v>
      </c>
      <c r="D1223" s="706" t="s">
        <v>1841</v>
      </c>
      <c r="E1223" s="706">
        <v>182</v>
      </c>
      <c r="F1223" s="706" t="s">
        <v>28</v>
      </c>
      <c r="G1223" s="706">
        <v>407823</v>
      </c>
      <c r="H1223" s="1191">
        <v>45313</v>
      </c>
      <c r="I1223" s="706" t="s">
        <v>2820</v>
      </c>
    </row>
    <row r="1224" spans="1:9">
      <c r="A1224" s="706">
        <v>105537</v>
      </c>
      <c r="B1224" s="706" t="s">
        <v>2906</v>
      </c>
      <c r="D1224" s="706" t="s">
        <v>1841</v>
      </c>
      <c r="H1224" s="1191"/>
      <c r="I1224" s="706" t="s">
        <v>2820</v>
      </c>
    </row>
    <row r="1225" spans="1:9">
      <c r="A1225" s="706">
        <v>105538</v>
      </c>
      <c r="B1225" s="706" t="s">
        <v>2907</v>
      </c>
      <c r="D1225" s="706" t="s">
        <v>1841</v>
      </c>
      <c r="H1225" s="1191"/>
      <c r="I1225" s="706" t="s">
        <v>2820</v>
      </c>
    </row>
    <row r="1226" spans="1:9">
      <c r="A1226" s="706">
        <v>105539</v>
      </c>
      <c r="B1226" s="706" t="s">
        <v>2908</v>
      </c>
      <c r="D1226" s="706" t="s">
        <v>1841</v>
      </c>
      <c r="H1226" s="1191"/>
      <c r="I1226" s="706" t="s">
        <v>2820</v>
      </c>
    </row>
    <row r="1227" spans="1:9">
      <c r="A1227" s="706">
        <v>105540</v>
      </c>
      <c r="B1227" s="706" t="s">
        <v>2909</v>
      </c>
      <c r="D1227" s="706" t="s">
        <v>1841</v>
      </c>
      <c r="H1227" s="1191"/>
      <c r="I1227" s="706" t="s">
        <v>2820</v>
      </c>
    </row>
    <row r="1228" spans="1:9">
      <c r="A1228" s="706">
        <v>105541</v>
      </c>
      <c r="B1228" s="706" t="s">
        <v>2910</v>
      </c>
      <c r="D1228" s="706" t="s">
        <v>1841</v>
      </c>
      <c r="H1228" s="1191"/>
      <c r="I1228" s="706" t="s">
        <v>2820</v>
      </c>
    </row>
    <row r="1229" spans="1:9">
      <c r="A1229" s="706">
        <v>105542</v>
      </c>
      <c r="B1229" s="706" t="s">
        <v>2911</v>
      </c>
      <c r="D1229" s="706" t="s">
        <v>1841</v>
      </c>
      <c r="H1229" s="1191"/>
      <c r="I1229" s="706" t="s">
        <v>2820</v>
      </c>
    </row>
    <row r="1230" spans="1:9">
      <c r="A1230" s="706">
        <v>105543</v>
      </c>
      <c r="B1230" s="706" t="s">
        <v>2912</v>
      </c>
      <c r="D1230" s="706" t="s">
        <v>1841</v>
      </c>
      <c r="H1230" s="1191"/>
      <c r="I1230" s="706" t="s">
        <v>2820</v>
      </c>
    </row>
    <row r="1231" spans="1:9">
      <c r="A1231" s="706">
        <v>105544</v>
      </c>
      <c r="B1231" s="706" t="s">
        <v>2913</v>
      </c>
      <c r="D1231" s="706" t="s">
        <v>1841</v>
      </c>
      <c r="H1231" s="1191"/>
      <c r="I1231" s="706" t="s">
        <v>2820</v>
      </c>
    </row>
    <row r="1232" spans="1:9">
      <c r="A1232" s="706">
        <v>105545</v>
      </c>
      <c r="B1232" s="706" t="s">
        <v>2914</v>
      </c>
      <c r="C1232" s="706" t="s">
        <v>8189</v>
      </c>
      <c r="D1232" s="706" t="s">
        <v>1841</v>
      </c>
      <c r="E1232" s="706">
        <v>347.8</v>
      </c>
      <c r="F1232" s="706" t="s">
        <v>28</v>
      </c>
      <c r="G1232" s="706">
        <v>405001</v>
      </c>
      <c r="H1232" s="1191">
        <v>44693</v>
      </c>
      <c r="I1232" s="706" t="s">
        <v>2820</v>
      </c>
    </row>
    <row r="1233" spans="1:9">
      <c r="A1233" s="706">
        <v>105546</v>
      </c>
      <c r="B1233" s="706" t="s">
        <v>2915</v>
      </c>
      <c r="C1233" s="706" t="s">
        <v>8189</v>
      </c>
      <c r="D1233" s="706" t="s">
        <v>1841</v>
      </c>
      <c r="E1233" s="706">
        <v>330</v>
      </c>
      <c r="F1233" s="706" t="s">
        <v>28</v>
      </c>
      <c r="G1233" s="706">
        <v>408339</v>
      </c>
      <c r="H1233" s="1191">
        <v>45399</v>
      </c>
      <c r="I1233" s="706" t="s">
        <v>2820</v>
      </c>
    </row>
    <row r="1234" spans="1:9">
      <c r="A1234" s="706">
        <v>105547</v>
      </c>
      <c r="B1234" s="706" t="s">
        <v>2916</v>
      </c>
      <c r="C1234" s="706" t="s">
        <v>8189</v>
      </c>
      <c r="D1234" s="706" t="s">
        <v>1841</v>
      </c>
      <c r="E1234" s="706">
        <v>127.3408</v>
      </c>
      <c r="F1234" s="706" t="s">
        <v>28</v>
      </c>
      <c r="G1234" s="706">
        <v>400111</v>
      </c>
      <c r="H1234" s="1191">
        <v>43929</v>
      </c>
      <c r="I1234" s="706" t="s">
        <v>2820</v>
      </c>
    </row>
    <row r="1235" spans="1:9">
      <c r="A1235" s="706">
        <v>105548</v>
      </c>
      <c r="B1235" s="706" t="s">
        <v>2917</v>
      </c>
      <c r="D1235" s="706" t="s">
        <v>1841</v>
      </c>
      <c r="H1235" s="1191"/>
      <c r="I1235" s="706" t="s">
        <v>2820</v>
      </c>
    </row>
    <row r="1236" spans="1:9">
      <c r="A1236" s="706">
        <v>105549</v>
      </c>
      <c r="B1236" s="706" t="s">
        <v>2918</v>
      </c>
      <c r="D1236" s="706" t="s">
        <v>1841</v>
      </c>
      <c r="H1236" s="1191"/>
      <c r="I1236" s="706" t="s">
        <v>2820</v>
      </c>
    </row>
    <row r="1237" spans="1:9">
      <c r="A1237" s="706">
        <v>105550</v>
      </c>
      <c r="B1237" s="706" t="s">
        <v>2919</v>
      </c>
      <c r="D1237" s="706" t="s">
        <v>1841</v>
      </c>
      <c r="H1237" s="1191"/>
      <c r="I1237" s="706" t="s">
        <v>2820</v>
      </c>
    </row>
    <row r="1238" spans="1:9">
      <c r="A1238" s="706">
        <v>105551</v>
      </c>
      <c r="B1238" s="706" t="s">
        <v>2920</v>
      </c>
      <c r="D1238" s="706" t="s">
        <v>1841</v>
      </c>
      <c r="H1238" s="1191"/>
      <c r="I1238" s="706" t="s">
        <v>2820</v>
      </c>
    </row>
    <row r="1239" spans="1:9">
      <c r="A1239" s="706">
        <v>105552</v>
      </c>
      <c r="B1239" s="706" t="s">
        <v>2921</v>
      </c>
      <c r="C1239" s="706" t="s">
        <v>8189</v>
      </c>
      <c r="D1239" s="706" t="s">
        <v>1841</v>
      </c>
      <c r="E1239" s="706">
        <v>150</v>
      </c>
      <c r="F1239" s="706" t="s">
        <v>28</v>
      </c>
      <c r="G1239" s="706">
        <v>403802</v>
      </c>
      <c r="H1239" s="1191">
        <v>44454</v>
      </c>
      <c r="I1239" s="706" t="s">
        <v>2820</v>
      </c>
    </row>
    <row r="1240" spans="1:9">
      <c r="A1240" s="706">
        <v>105553</v>
      </c>
      <c r="B1240" s="706" t="s">
        <v>2922</v>
      </c>
      <c r="D1240" s="706" t="s">
        <v>1841</v>
      </c>
      <c r="H1240" s="1191"/>
      <c r="I1240" s="706" t="s">
        <v>2820</v>
      </c>
    </row>
    <row r="1241" spans="1:9">
      <c r="A1241" s="706">
        <v>105554</v>
      </c>
      <c r="B1241" s="706" t="s">
        <v>2923</v>
      </c>
      <c r="D1241" s="706" t="s">
        <v>1841</v>
      </c>
      <c r="H1241" s="1191"/>
      <c r="I1241" s="706" t="s">
        <v>2820</v>
      </c>
    </row>
    <row r="1242" spans="1:9">
      <c r="A1242" s="706">
        <v>105555</v>
      </c>
      <c r="B1242" s="706" t="s">
        <v>2924</v>
      </c>
      <c r="D1242" s="706" t="s">
        <v>1841</v>
      </c>
      <c r="H1242" s="1191"/>
      <c r="I1242" s="706" t="s">
        <v>2820</v>
      </c>
    </row>
    <row r="1243" spans="1:9">
      <c r="A1243" s="706">
        <v>105556</v>
      </c>
      <c r="B1243" s="706" t="s">
        <v>2925</v>
      </c>
      <c r="D1243" s="706" t="s">
        <v>1841</v>
      </c>
      <c r="H1243" s="1191"/>
      <c r="I1243" s="706" t="s">
        <v>2820</v>
      </c>
    </row>
    <row r="1244" spans="1:9">
      <c r="A1244" s="706">
        <v>105557</v>
      </c>
      <c r="B1244" s="706" t="s">
        <v>2926</v>
      </c>
      <c r="D1244" s="706" t="s">
        <v>1841</v>
      </c>
      <c r="H1244" s="1191"/>
      <c r="I1244" s="706" t="s">
        <v>2820</v>
      </c>
    </row>
    <row r="1245" spans="1:9">
      <c r="A1245" s="706">
        <v>105558</v>
      </c>
      <c r="B1245" s="706" t="s">
        <v>2927</v>
      </c>
      <c r="D1245" s="706" t="s">
        <v>1841</v>
      </c>
      <c r="H1245" s="1191"/>
      <c r="I1245" s="706" t="s">
        <v>2820</v>
      </c>
    </row>
    <row r="1246" spans="1:9">
      <c r="A1246" s="706">
        <v>105559</v>
      </c>
      <c r="B1246" s="706" t="s">
        <v>2928</v>
      </c>
      <c r="D1246" s="706" t="s">
        <v>1841</v>
      </c>
      <c r="H1246" s="1191"/>
      <c r="I1246" s="706" t="s">
        <v>2820</v>
      </c>
    </row>
    <row r="1247" spans="1:9">
      <c r="A1247" s="706">
        <v>105560</v>
      </c>
      <c r="B1247" s="706" t="s">
        <v>2929</v>
      </c>
      <c r="D1247" s="706" t="s">
        <v>1841</v>
      </c>
      <c r="H1247" s="1191"/>
      <c r="I1247" s="706" t="s">
        <v>2820</v>
      </c>
    </row>
    <row r="1248" spans="1:9">
      <c r="A1248" s="706">
        <v>105561</v>
      </c>
      <c r="B1248" s="706" t="s">
        <v>2930</v>
      </c>
      <c r="D1248" s="706" t="s">
        <v>1841</v>
      </c>
      <c r="H1248" s="1191"/>
      <c r="I1248" s="706" t="s">
        <v>2820</v>
      </c>
    </row>
    <row r="1249" spans="1:9">
      <c r="A1249" s="706">
        <v>105562</v>
      </c>
      <c r="B1249" s="706" t="s">
        <v>2931</v>
      </c>
      <c r="D1249" s="706" t="s">
        <v>1841</v>
      </c>
      <c r="H1249" s="1191"/>
      <c r="I1249" s="706" t="s">
        <v>2820</v>
      </c>
    </row>
    <row r="1250" spans="1:9">
      <c r="A1250" s="706">
        <v>105563</v>
      </c>
      <c r="B1250" s="706" t="s">
        <v>2932</v>
      </c>
      <c r="D1250" s="706" t="s">
        <v>1841</v>
      </c>
      <c r="H1250" s="1191"/>
      <c r="I1250" s="706" t="s">
        <v>2820</v>
      </c>
    </row>
    <row r="1251" spans="1:9">
      <c r="A1251" s="706">
        <v>105564</v>
      </c>
      <c r="B1251" s="706" t="s">
        <v>2933</v>
      </c>
      <c r="D1251" s="706" t="s">
        <v>1841</v>
      </c>
      <c r="H1251" s="1191"/>
      <c r="I1251" s="706" t="s">
        <v>2820</v>
      </c>
    </row>
    <row r="1252" spans="1:9">
      <c r="A1252" s="706">
        <v>105565</v>
      </c>
      <c r="B1252" s="706" t="s">
        <v>2934</v>
      </c>
      <c r="C1252" s="706" t="s">
        <v>8189</v>
      </c>
      <c r="D1252" s="706" t="s">
        <v>1841</v>
      </c>
      <c r="E1252" s="706">
        <v>150</v>
      </c>
      <c r="F1252" s="706" t="s">
        <v>28</v>
      </c>
      <c r="G1252" s="706">
        <v>401185</v>
      </c>
      <c r="H1252" s="1191">
        <v>44048</v>
      </c>
      <c r="I1252" s="706" t="s">
        <v>2820</v>
      </c>
    </row>
    <row r="1253" spans="1:9">
      <c r="A1253" s="706">
        <v>105566</v>
      </c>
      <c r="B1253" s="706" t="s">
        <v>2935</v>
      </c>
      <c r="C1253" s="706" t="s">
        <v>8189</v>
      </c>
      <c r="D1253" s="706" t="s">
        <v>1841</v>
      </c>
      <c r="E1253" s="706">
        <v>124</v>
      </c>
      <c r="F1253" s="706" t="s">
        <v>28</v>
      </c>
      <c r="G1253" s="706">
        <v>409408</v>
      </c>
      <c r="H1253" s="1191">
        <v>45604</v>
      </c>
      <c r="I1253" s="706" t="s">
        <v>2820</v>
      </c>
    </row>
    <row r="1254" spans="1:9">
      <c r="A1254" s="706">
        <v>105567</v>
      </c>
      <c r="B1254" s="706" t="s">
        <v>2936</v>
      </c>
      <c r="C1254" s="706" t="s">
        <v>8189</v>
      </c>
      <c r="D1254" s="706" t="s">
        <v>1841</v>
      </c>
      <c r="E1254" s="706">
        <v>190</v>
      </c>
      <c r="F1254" s="706" t="s">
        <v>28</v>
      </c>
      <c r="G1254" s="706">
        <v>404723</v>
      </c>
      <c r="H1254" s="1191">
        <v>44641</v>
      </c>
      <c r="I1254" s="706" t="s">
        <v>2820</v>
      </c>
    </row>
    <row r="1255" spans="1:9">
      <c r="A1255" s="706">
        <v>105568</v>
      </c>
      <c r="B1255" s="706" t="s">
        <v>2937</v>
      </c>
      <c r="D1255" s="706" t="s">
        <v>1841</v>
      </c>
      <c r="H1255" s="1191"/>
      <c r="I1255" s="706" t="s">
        <v>2820</v>
      </c>
    </row>
    <row r="1256" spans="1:9">
      <c r="A1256" s="706">
        <v>105569</v>
      </c>
      <c r="B1256" s="706" t="s">
        <v>2938</v>
      </c>
      <c r="D1256" s="706" t="s">
        <v>1841</v>
      </c>
      <c r="H1256" s="1191"/>
      <c r="I1256" s="706" t="s">
        <v>2820</v>
      </c>
    </row>
    <row r="1257" spans="1:9">
      <c r="A1257" s="706">
        <v>105570</v>
      </c>
      <c r="B1257" s="706" t="s">
        <v>2939</v>
      </c>
      <c r="C1257" s="706" t="s">
        <v>8189</v>
      </c>
      <c r="D1257" s="706" t="s">
        <v>1841</v>
      </c>
      <c r="E1257" s="706">
        <v>100</v>
      </c>
      <c r="F1257" s="706" t="s">
        <v>28</v>
      </c>
      <c r="G1257" s="706">
        <v>402198</v>
      </c>
      <c r="H1257" s="1191">
        <v>44187</v>
      </c>
      <c r="I1257" s="706" t="s">
        <v>2820</v>
      </c>
    </row>
    <row r="1258" spans="1:9">
      <c r="A1258" s="706">
        <v>105571</v>
      </c>
      <c r="B1258" s="706" t="s">
        <v>2940</v>
      </c>
      <c r="D1258" s="706" t="s">
        <v>1841</v>
      </c>
      <c r="H1258" s="1191"/>
      <c r="I1258" s="706" t="s">
        <v>2820</v>
      </c>
    </row>
    <row r="1259" spans="1:9">
      <c r="A1259" s="706">
        <v>105572</v>
      </c>
      <c r="B1259" s="706" t="s">
        <v>2941</v>
      </c>
      <c r="D1259" s="706" t="s">
        <v>1841</v>
      </c>
      <c r="H1259" s="1191"/>
      <c r="I1259" s="706" t="s">
        <v>2820</v>
      </c>
    </row>
    <row r="1260" spans="1:9">
      <c r="A1260" s="706">
        <v>105573</v>
      </c>
      <c r="B1260" s="706" t="s">
        <v>2942</v>
      </c>
      <c r="D1260" s="706" t="s">
        <v>1841</v>
      </c>
      <c r="H1260" s="1191"/>
      <c r="I1260" s="706" t="s">
        <v>2820</v>
      </c>
    </row>
    <row r="1261" spans="1:9">
      <c r="A1261" s="706">
        <v>105574</v>
      </c>
      <c r="B1261" s="706" t="s">
        <v>2943</v>
      </c>
      <c r="D1261" s="706" t="s">
        <v>1841</v>
      </c>
      <c r="H1261" s="1191"/>
      <c r="I1261" s="706" t="s">
        <v>2820</v>
      </c>
    </row>
    <row r="1262" spans="1:9">
      <c r="A1262" s="706">
        <v>105575</v>
      </c>
      <c r="B1262" s="706" t="s">
        <v>2944</v>
      </c>
      <c r="C1262" s="706" t="s">
        <v>8189</v>
      </c>
      <c r="D1262" s="706" t="s">
        <v>1841</v>
      </c>
      <c r="E1262" s="706">
        <v>246.30539999999999</v>
      </c>
      <c r="F1262" s="706" t="s">
        <v>28</v>
      </c>
      <c r="G1262" s="706">
        <v>407410</v>
      </c>
      <c r="H1262" s="1191">
        <v>45225</v>
      </c>
      <c r="I1262" s="706" t="s">
        <v>2820</v>
      </c>
    </row>
    <row r="1263" spans="1:9">
      <c r="A1263" s="706">
        <v>105576</v>
      </c>
      <c r="B1263" s="706" t="s">
        <v>2945</v>
      </c>
      <c r="C1263" s="706" t="s">
        <v>8189</v>
      </c>
      <c r="D1263" s="706" t="s">
        <v>1841</v>
      </c>
      <c r="E1263" s="706">
        <v>131.24</v>
      </c>
      <c r="F1263" s="706" t="s">
        <v>28</v>
      </c>
      <c r="G1263" s="706">
        <v>411757</v>
      </c>
      <c r="H1263" s="1191">
        <v>46072</v>
      </c>
      <c r="I1263" s="706" t="s">
        <v>2820</v>
      </c>
    </row>
    <row r="1264" spans="1:9">
      <c r="A1264" s="706">
        <v>105577</v>
      </c>
      <c r="B1264" s="706" t="s">
        <v>2946</v>
      </c>
      <c r="C1264" s="706" t="s">
        <v>8189</v>
      </c>
      <c r="D1264" s="706" t="s">
        <v>1841</v>
      </c>
      <c r="E1264" s="706">
        <v>80</v>
      </c>
      <c r="F1264" s="706" t="s">
        <v>28</v>
      </c>
      <c r="G1264" s="706">
        <v>410789</v>
      </c>
      <c r="H1264" s="1191">
        <v>45887</v>
      </c>
      <c r="I1264" s="706" t="s">
        <v>2820</v>
      </c>
    </row>
    <row r="1265" spans="1:9">
      <c r="A1265" s="706">
        <v>105578</v>
      </c>
      <c r="B1265" s="706" t="s">
        <v>2947</v>
      </c>
      <c r="D1265" s="706" t="s">
        <v>1841</v>
      </c>
      <c r="H1265" s="1191"/>
      <c r="I1265" s="706" t="s">
        <v>2820</v>
      </c>
    </row>
    <row r="1266" spans="1:9">
      <c r="A1266" s="706">
        <v>105579</v>
      </c>
      <c r="B1266" s="706" t="s">
        <v>2948</v>
      </c>
      <c r="D1266" s="706" t="s">
        <v>1841</v>
      </c>
      <c r="H1266" s="1191"/>
      <c r="I1266" s="706" t="s">
        <v>2820</v>
      </c>
    </row>
    <row r="1267" spans="1:9">
      <c r="A1267" s="706">
        <v>105580</v>
      </c>
      <c r="B1267" s="706" t="s">
        <v>2949</v>
      </c>
      <c r="D1267" s="706" t="s">
        <v>1841</v>
      </c>
      <c r="H1267" s="1191"/>
      <c r="I1267" s="706" t="s">
        <v>2820</v>
      </c>
    </row>
    <row r="1268" spans="1:9">
      <c r="A1268" s="706">
        <v>105581</v>
      </c>
      <c r="B1268" s="706" t="s">
        <v>2950</v>
      </c>
      <c r="D1268" s="706" t="s">
        <v>1841</v>
      </c>
      <c r="H1268" s="1191"/>
      <c r="I1268" s="706" t="s">
        <v>2820</v>
      </c>
    </row>
    <row r="1269" spans="1:9">
      <c r="A1269" s="706">
        <v>105582</v>
      </c>
      <c r="B1269" s="706" t="s">
        <v>2951</v>
      </c>
      <c r="D1269" s="706" t="s">
        <v>1841</v>
      </c>
      <c r="H1269" s="1191"/>
      <c r="I1269" s="706" t="s">
        <v>2820</v>
      </c>
    </row>
    <row r="1270" spans="1:9">
      <c r="A1270" s="706">
        <v>105583</v>
      </c>
      <c r="B1270" s="706" t="s">
        <v>2952</v>
      </c>
      <c r="D1270" s="706" t="s">
        <v>1841</v>
      </c>
      <c r="H1270" s="1191"/>
      <c r="I1270" s="706" t="s">
        <v>2820</v>
      </c>
    </row>
    <row r="1271" spans="1:9">
      <c r="A1271" s="706">
        <v>105584</v>
      </c>
      <c r="B1271" s="706" t="s">
        <v>2953</v>
      </c>
      <c r="C1271" s="706" t="s">
        <v>8189</v>
      </c>
      <c r="D1271" s="706" t="s">
        <v>1841</v>
      </c>
      <c r="E1271" s="706">
        <v>350</v>
      </c>
      <c r="F1271" s="706" t="s">
        <v>28</v>
      </c>
      <c r="G1271" s="706">
        <v>404380</v>
      </c>
      <c r="H1271" s="1191">
        <v>44580</v>
      </c>
      <c r="I1271" s="706" t="s">
        <v>2820</v>
      </c>
    </row>
    <row r="1272" spans="1:9">
      <c r="A1272" s="706">
        <v>105585</v>
      </c>
      <c r="B1272" s="706" t="s">
        <v>2954</v>
      </c>
      <c r="C1272" s="706" t="s">
        <v>8189</v>
      </c>
      <c r="D1272" s="706" t="s">
        <v>1841</v>
      </c>
      <c r="E1272" s="706">
        <v>178.7234</v>
      </c>
      <c r="F1272" s="706" t="s">
        <v>28</v>
      </c>
      <c r="G1272" s="706">
        <v>408066</v>
      </c>
      <c r="H1272" s="1191">
        <v>45351</v>
      </c>
      <c r="I1272" s="706" t="s">
        <v>2820</v>
      </c>
    </row>
    <row r="1273" spans="1:9">
      <c r="A1273" s="706">
        <v>105586</v>
      </c>
      <c r="B1273" s="706" t="s">
        <v>2955</v>
      </c>
      <c r="C1273" s="706" t="s">
        <v>8189</v>
      </c>
      <c r="D1273" s="706" t="s">
        <v>1841</v>
      </c>
      <c r="E1273" s="706">
        <v>110</v>
      </c>
      <c r="F1273" s="706" t="s">
        <v>28</v>
      </c>
      <c r="G1273" s="706">
        <v>411816</v>
      </c>
      <c r="H1273" s="1191">
        <v>46078</v>
      </c>
      <c r="I1273" s="706" t="s">
        <v>2820</v>
      </c>
    </row>
    <row r="1274" spans="1:9">
      <c r="A1274" s="706">
        <v>105587</v>
      </c>
      <c r="B1274" s="706" t="s">
        <v>2956</v>
      </c>
      <c r="C1274" s="706" t="s">
        <v>8189</v>
      </c>
      <c r="D1274" s="706" t="s">
        <v>1841</v>
      </c>
      <c r="E1274" s="706">
        <v>72</v>
      </c>
      <c r="F1274" s="706" t="s">
        <v>28</v>
      </c>
      <c r="G1274" s="706">
        <v>407811</v>
      </c>
      <c r="H1274" s="1191">
        <v>45310</v>
      </c>
      <c r="I1274" s="706" t="s">
        <v>2820</v>
      </c>
    </row>
    <row r="1275" spans="1:9">
      <c r="A1275" s="706">
        <v>105588</v>
      </c>
      <c r="B1275" s="706" t="s">
        <v>2957</v>
      </c>
      <c r="D1275" s="706" t="s">
        <v>1841</v>
      </c>
      <c r="H1275" s="1191"/>
      <c r="I1275" s="706" t="s">
        <v>2820</v>
      </c>
    </row>
    <row r="1276" spans="1:9">
      <c r="A1276" s="706">
        <v>105589</v>
      </c>
      <c r="B1276" s="706" t="s">
        <v>2958</v>
      </c>
      <c r="D1276" s="706" t="s">
        <v>1841</v>
      </c>
      <c r="H1276" s="1191"/>
      <c r="I1276" s="706" t="s">
        <v>2820</v>
      </c>
    </row>
    <row r="1277" spans="1:9">
      <c r="A1277" s="706">
        <v>105590</v>
      </c>
      <c r="B1277" s="706" t="s">
        <v>2959</v>
      </c>
      <c r="C1277" s="706" t="s">
        <v>8189</v>
      </c>
      <c r="D1277" s="706" t="s">
        <v>1841</v>
      </c>
      <c r="E1277" s="706">
        <v>261.19400000000002</v>
      </c>
      <c r="F1277" s="706" t="s">
        <v>28</v>
      </c>
      <c r="G1277" s="706">
        <v>405832</v>
      </c>
      <c r="H1277" s="1191">
        <v>44874</v>
      </c>
      <c r="I1277" s="706" t="s">
        <v>2820</v>
      </c>
    </row>
    <row r="1278" spans="1:9">
      <c r="A1278" s="706">
        <v>105591</v>
      </c>
      <c r="B1278" s="706" t="s">
        <v>2960</v>
      </c>
      <c r="C1278" s="706" t="s">
        <v>8189</v>
      </c>
      <c r="D1278" s="706" t="s">
        <v>1841</v>
      </c>
      <c r="E1278" s="706">
        <v>150</v>
      </c>
      <c r="F1278" s="706" t="s">
        <v>28</v>
      </c>
      <c r="G1278" s="706">
        <v>404364</v>
      </c>
      <c r="H1278" s="1191">
        <v>44579</v>
      </c>
      <c r="I1278" s="706" t="s">
        <v>2820</v>
      </c>
    </row>
    <row r="1279" spans="1:9">
      <c r="A1279" s="706">
        <v>105592</v>
      </c>
      <c r="B1279" s="706" t="s">
        <v>2961</v>
      </c>
      <c r="D1279" s="706" t="s">
        <v>1841</v>
      </c>
      <c r="H1279" s="1191"/>
      <c r="I1279" s="706" t="s">
        <v>2820</v>
      </c>
    </row>
    <row r="1280" spans="1:9">
      <c r="A1280" s="706">
        <v>105593</v>
      </c>
      <c r="B1280" s="706" t="s">
        <v>2962</v>
      </c>
      <c r="C1280" s="706" t="s">
        <v>8189</v>
      </c>
      <c r="D1280" s="706" t="s">
        <v>1841</v>
      </c>
      <c r="E1280" s="706">
        <v>108.42</v>
      </c>
      <c r="F1280" s="706" t="s">
        <v>28</v>
      </c>
      <c r="G1280" s="706">
        <v>411757</v>
      </c>
      <c r="H1280" s="1191">
        <v>46072</v>
      </c>
      <c r="I1280" s="706" t="s">
        <v>2820</v>
      </c>
    </row>
    <row r="1281" spans="1:9">
      <c r="A1281" s="706">
        <v>105594</v>
      </c>
      <c r="B1281" s="706" t="s">
        <v>2963</v>
      </c>
      <c r="D1281" s="706" t="s">
        <v>1841</v>
      </c>
      <c r="H1281" s="1191"/>
      <c r="I1281" s="706" t="s">
        <v>2820</v>
      </c>
    </row>
    <row r="1282" spans="1:9">
      <c r="A1282" s="706">
        <v>105595</v>
      </c>
      <c r="B1282" s="706" t="s">
        <v>2964</v>
      </c>
      <c r="C1282" s="706" t="s">
        <v>8189</v>
      </c>
      <c r="D1282" s="706" t="s">
        <v>1841</v>
      </c>
      <c r="E1282" s="706">
        <v>167</v>
      </c>
      <c r="F1282" s="706" t="s">
        <v>28</v>
      </c>
      <c r="G1282" s="706">
        <v>411115</v>
      </c>
      <c r="H1282" s="1191">
        <v>45944</v>
      </c>
      <c r="I1282" s="706" t="s">
        <v>2820</v>
      </c>
    </row>
    <row r="1283" spans="1:9">
      <c r="A1283" s="706">
        <v>105596</v>
      </c>
      <c r="B1283" s="706" t="s">
        <v>2965</v>
      </c>
      <c r="C1283" s="706" t="s">
        <v>8189</v>
      </c>
      <c r="D1283" s="706" t="s">
        <v>1841</v>
      </c>
      <c r="E1283" s="706">
        <v>76</v>
      </c>
      <c r="F1283" s="706" t="s">
        <v>28</v>
      </c>
      <c r="G1283" s="706">
        <v>407765</v>
      </c>
      <c r="H1283" s="1191">
        <v>45302</v>
      </c>
      <c r="I1283" s="706" t="s">
        <v>2820</v>
      </c>
    </row>
    <row r="1284" spans="1:9">
      <c r="A1284" s="706">
        <v>105597</v>
      </c>
      <c r="B1284" s="706" t="s">
        <v>2966</v>
      </c>
      <c r="D1284" s="706" t="s">
        <v>1841</v>
      </c>
      <c r="H1284" s="1191"/>
      <c r="I1284" s="706" t="s">
        <v>2820</v>
      </c>
    </row>
    <row r="1285" spans="1:9">
      <c r="A1285" s="706">
        <v>105598</v>
      </c>
      <c r="B1285" s="706" t="s">
        <v>2967</v>
      </c>
      <c r="D1285" s="706" t="s">
        <v>1841</v>
      </c>
      <c r="H1285" s="1191"/>
      <c r="I1285" s="706" t="s">
        <v>2820</v>
      </c>
    </row>
    <row r="1286" spans="1:9">
      <c r="A1286" s="706">
        <v>105599</v>
      </c>
      <c r="B1286" s="706" t="s">
        <v>2968</v>
      </c>
      <c r="D1286" s="706" t="s">
        <v>1841</v>
      </c>
      <c r="H1286" s="1191"/>
      <c r="I1286" s="706" t="s">
        <v>2820</v>
      </c>
    </row>
    <row r="1287" spans="1:9">
      <c r="A1287" s="706">
        <v>105600</v>
      </c>
      <c r="B1287" s="706" t="s">
        <v>2969</v>
      </c>
      <c r="D1287" s="706" t="s">
        <v>1841</v>
      </c>
      <c r="H1287" s="1191"/>
      <c r="I1287" s="706" t="s">
        <v>2820</v>
      </c>
    </row>
    <row r="1288" spans="1:9">
      <c r="A1288" s="706">
        <v>105601</v>
      </c>
      <c r="B1288" s="706" t="s">
        <v>2970</v>
      </c>
      <c r="C1288" s="706" t="s">
        <v>8189</v>
      </c>
      <c r="D1288" s="706" t="s">
        <v>1841</v>
      </c>
      <c r="E1288" s="706">
        <v>87</v>
      </c>
      <c r="F1288" s="706" t="s">
        <v>28</v>
      </c>
      <c r="G1288" s="706">
        <v>411816</v>
      </c>
      <c r="H1288" s="1191">
        <v>46078</v>
      </c>
      <c r="I1288" s="706" t="s">
        <v>2820</v>
      </c>
    </row>
    <row r="1289" spans="1:9">
      <c r="A1289" s="706">
        <v>105602</v>
      </c>
      <c r="B1289" s="706" t="s">
        <v>2971</v>
      </c>
      <c r="D1289" s="706" t="s">
        <v>1841</v>
      </c>
      <c r="H1289" s="1191"/>
      <c r="I1289" s="706" t="s">
        <v>2820</v>
      </c>
    </row>
    <row r="1290" spans="1:9">
      <c r="A1290" s="706">
        <v>105603</v>
      </c>
      <c r="B1290" s="706" t="s">
        <v>2972</v>
      </c>
      <c r="C1290" s="706" t="s">
        <v>8189</v>
      </c>
      <c r="D1290" s="706" t="s">
        <v>1841</v>
      </c>
      <c r="E1290" s="706">
        <v>118</v>
      </c>
      <c r="F1290" s="706" t="s">
        <v>28</v>
      </c>
      <c r="G1290" s="706">
        <v>410868</v>
      </c>
      <c r="H1290" s="1191">
        <v>45897</v>
      </c>
      <c r="I1290" s="706" t="s">
        <v>2820</v>
      </c>
    </row>
    <row r="1291" spans="1:9">
      <c r="A1291" s="706">
        <v>105604</v>
      </c>
      <c r="B1291" s="706" t="s">
        <v>2973</v>
      </c>
      <c r="C1291" s="706" t="s">
        <v>8189</v>
      </c>
      <c r="D1291" s="706" t="s">
        <v>1841</v>
      </c>
      <c r="E1291" s="706">
        <v>104.1666</v>
      </c>
      <c r="F1291" s="706" t="s">
        <v>28</v>
      </c>
      <c r="G1291" s="706">
        <v>408258</v>
      </c>
      <c r="H1291" s="1191">
        <v>45384</v>
      </c>
      <c r="I1291" s="706" t="s">
        <v>2820</v>
      </c>
    </row>
    <row r="1292" spans="1:9">
      <c r="A1292" s="706">
        <v>105605</v>
      </c>
      <c r="B1292" s="706" t="s">
        <v>2974</v>
      </c>
      <c r="D1292" s="706" t="s">
        <v>1841</v>
      </c>
      <c r="H1292" s="1191"/>
      <c r="I1292" s="706" t="s">
        <v>2820</v>
      </c>
    </row>
    <row r="1293" spans="1:9">
      <c r="A1293" s="706">
        <v>105606</v>
      </c>
      <c r="B1293" s="706" t="s">
        <v>2975</v>
      </c>
      <c r="C1293" s="706" t="s">
        <v>8189</v>
      </c>
      <c r="D1293" s="706" t="s">
        <v>1841</v>
      </c>
      <c r="E1293" s="706">
        <v>148.51480000000001</v>
      </c>
      <c r="F1293" s="706" t="s">
        <v>28</v>
      </c>
      <c r="G1293" s="706">
        <v>402278</v>
      </c>
      <c r="H1293" s="1191">
        <v>44207</v>
      </c>
      <c r="I1293" s="706" t="s">
        <v>2820</v>
      </c>
    </row>
    <row r="1294" spans="1:9">
      <c r="A1294" s="706">
        <v>105607</v>
      </c>
      <c r="B1294" s="706" t="s">
        <v>2976</v>
      </c>
      <c r="C1294" s="706" t="s">
        <v>8189</v>
      </c>
      <c r="D1294" s="706" t="s">
        <v>1841</v>
      </c>
      <c r="E1294" s="706">
        <v>75</v>
      </c>
      <c r="F1294" s="706" t="s">
        <v>28</v>
      </c>
      <c r="G1294" s="706">
        <v>402609</v>
      </c>
      <c r="H1294" s="1191">
        <v>44251</v>
      </c>
      <c r="I1294" s="706" t="s">
        <v>2820</v>
      </c>
    </row>
    <row r="1295" spans="1:9">
      <c r="A1295" s="706">
        <v>105608</v>
      </c>
      <c r="B1295" s="706" t="s">
        <v>2977</v>
      </c>
      <c r="C1295" s="706" t="s">
        <v>8189</v>
      </c>
      <c r="D1295" s="706" t="s">
        <v>1841</v>
      </c>
      <c r="E1295" s="706">
        <v>46.232799999999997</v>
      </c>
      <c r="F1295" s="706" t="s">
        <v>28</v>
      </c>
      <c r="G1295" s="706">
        <v>401258</v>
      </c>
      <c r="H1295" s="1191">
        <v>44054</v>
      </c>
      <c r="I1295" s="706" t="s">
        <v>2820</v>
      </c>
    </row>
    <row r="1296" spans="1:9">
      <c r="A1296" s="706">
        <v>105609</v>
      </c>
      <c r="B1296" s="706" t="s">
        <v>2978</v>
      </c>
      <c r="C1296" s="706" t="s">
        <v>8189</v>
      </c>
      <c r="D1296" s="706" t="s">
        <v>1841</v>
      </c>
      <c r="E1296" s="706">
        <v>90</v>
      </c>
      <c r="F1296" s="706" t="s">
        <v>28</v>
      </c>
      <c r="G1296" s="706">
        <v>403254</v>
      </c>
      <c r="H1296" s="1191">
        <v>44356</v>
      </c>
      <c r="I1296" s="706" t="s">
        <v>2820</v>
      </c>
    </row>
    <row r="1297" spans="1:9">
      <c r="A1297" s="706">
        <v>105610</v>
      </c>
      <c r="B1297" s="706" t="s">
        <v>2979</v>
      </c>
      <c r="C1297" s="706" t="s">
        <v>8189</v>
      </c>
      <c r="D1297" s="706" t="s">
        <v>1841</v>
      </c>
      <c r="E1297" s="706">
        <v>180</v>
      </c>
      <c r="F1297" s="706" t="s">
        <v>28</v>
      </c>
      <c r="G1297" s="706">
        <v>411726</v>
      </c>
      <c r="H1297" s="1191">
        <v>46066</v>
      </c>
      <c r="I1297" s="706" t="s">
        <v>2820</v>
      </c>
    </row>
    <row r="1298" spans="1:9">
      <c r="A1298" s="706">
        <v>105611</v>
      </c>
      <c r="B1298" s="706" t="s">
        <v>2980</v>
      </c>
      <c r="C1298" s="706" t="s">
        <v>8189</v>
      </c>
      <c r="D1298" s="706" t="s">
        <v>1841</v>
      </c>
      <c r="E1298" s="706">
        <v>149.57259999999999</v>
      </c>
      <c r="F1298" s="706" t="s">
        <v>28</v>
      </c>
      <c r="G1298" s="706">
        <v>409325</v>
      </c>
      <c r="H1298" s="1191">
        <v>45587</v>
      </c>
      <c r="I1298" s="706" t="s">
        <v>2820</v>
      </c>
    </row>
    <row r="1299" spans="1:9">
      <c r="A1299" s="706">
        <v>105612</v>
      </c>
      <c r="B1299" s="706" t="s">
        <v>2981</v>
      </c>
      <c r="C1299" s="706" t="s">
        <v>8189</v>
      </c>
      <c r="D1299" s="706" t="s">
        <v>1841</v>
      </c>
      <c r="E1299" s="706">
        <v>54</v>
      </c>
      <c r="F1299" s="706" t="s">
        <v>28</v>
      </c>
      <c r="G1299" s="706">
        <v>410782</v>
      </c>
      <c r="H1299" s="1191">
        <v>45887</v>
      </c>
      <c r="I1299" s="706" t="s">
        <v>2820</v>
      </c>
    </row>
    <row r="1300" spans="1:9">
      <c r="A1300" s="706">
        <v>105613</v>
      </c>
      <c r="B1300" s="706" t="s">
        <v>2982</v>
      </c>
      <c r="D1300" s="706" t="s">
        <v>1841</v>
      </c>
      <c r="H1300" s="1191"/>
      <c r="I1300" s="706" t="s">
        <v>2820</v>
      </c>
    </row>
    <row r="1301" spans="1:9">
      <c r="A1301" s="706">
        <v>105614</v>
      </c>
      <c r="B1301" s="706" t="s">
        <v>2983</v>
      </c>
      <c r="D1301" s="706" t="s">
        <v>1841</v>
      </c>
      <c r="H1301" s="1191"/>
      <c r="I1301" s="706" t="s">
        <v>2820</v>
      </c>
    </row>
    <row r="1302" spans="1:9">
      <c r="A1302" s="706">
        <v>105615</v>
      </c>
      <c r="B1302" s="706" t="s">
        <v>2984</v>
      </c>
      <c r="D1302" s="706" t="s">
        <v>1841</v>
      </c>
      <c r="H1302" s="1191"/>
      <c r="I1302" s="706" t="s">
        <v>2820</v>
      </c>
    </row>
    <row r="1303" spans="1:9">
      <c r="A1303" s="706">
        <v>105616</v>
      </c>
      <c r="B1303" s="706" t="s">
        <v>2985</v>
      </c>
      <c r="D1303" s="706" t="s">
        <v>1841</v>
      </c>
      <c r="H1303" s="1191"/>
      <c r="I1303" s="706" t="s">
        <v>2820</v>
      </c>
    </row>
    <row r="1304" spans="1:9">
      <c r="A1304" s="706">
        <v>105617</v>
      </c>
      <c r="B1304" s="706" t="s">
        <v>2986</v>
      </c>
      <c r="C1304" s="706" t="s">
        <v>1852</v>
      </c>
      <c r="D1304" s="706" t="s">
        <v>1841</v>
      </c>
      <c r="E1304" s="706">
        <v>96.35</v>
      </c>
      <c r="F1304" s="706" t="s">
        <v>28</v>
      </c>
      <c r="G1304" s="706">
        <v>410092</v>
      </c>
      <c r="H1304" s="1191">
        <v>45749</v>
      </c>
      <c r="I1304" s="706" t="s">
        <v>2820</v>
      </c>
    </row>
    <row r="1305" spans="1:9">
      <c r="A1305" s="706">
        <v>105618</v>
      </c>
      <c r="B1305" s="706" t="s">
        <v>2987</v>
      </c>
      <c r="C1305" s="706" t="s">
        <v>8189</v>
      </c>
      <c r="D1305" s="706" t="s">
        <v>1841</v>
      </c>
      <c r="E1305" s="706">
        <v>145</v>
      </c>
      <c r="F1305" s="706" t="s">
        <v>28</v>
      </c>
      <c r="G1305" s="706">
        <v>409785</v>
      </c>
      <c r="H1305" s="1191">
        <v>45694</v>
      </c>
      <c r="I1305" s="706" t="s">
        <v>2820</v>
      </c>
    </row>
    <row r="1306" spans="1:9">
      <c r="A1306" s="706">
        <v>105619</v>
      </c>
      <c r="B1306" s="706" t="s">
        <v>2988</v>
      </c>
      <c r="C1306" s="706" t="s">
        <v>1852</v>
      </c>
      <c r="D1306" s="706" t="s">
        <v>1841</v>
      </c>
      <c r="E1306" s="706">
        <v>120.5</v>
      </c>
      <c r="F1306" s="706" t="s">
        <v>28</v>
      </c>
      <c r="G1306" s="706">
        <v>403819</v>
      </c>
      <c r="H1306" s="1191">
        <v>44460</v>
      </c>
      <c r="I1306" s="706" t="s">
        <v>2820</v>
      </c>
    </row>
    <row r="1307" spans="1:9">
      <c r="A1307" s="706">
        <v>105620</v>
      </c>
      <c r="B1307" s="706" t="s">
        <v>2989</v>
      </c>
      <c r="C1307" s="706" t="s">
        <v>8189</v>
      </c>
      <c r="D1307" s="706" t="s">
        <v>1841</v>
      </c>
      <c r="E1307" s="706">
        <v>50</v>
      </c>
      <c r="F1307" s="706" t="s">
        <v>28</v>
      </c>
      <c r="G1307" s="706">
        <v>407235</v>
      </c>
      <c r="H1307" s="1191">
        <v>45197</v>
      </c>
      <c r="I1307" s="706" t="s">
        <v>2820</v>
      </c>
    </row>
    <row r="1308" spans="1:9">
      <c r="A1308" s="706">
        <v>105621</v>
      </c>
      <c r="B1308" s="706" t="s">
        <v>2990</v>
      </c>
      <c r="D1308" s="706" t="s">
        <v>1841</v>
      </c>
      <c r="H1308" s="1191"/>
      <c r="I1308" s="706" t="s">
        <v>2820</v>
      </c>
    </row>
    <row r="1309" spans="1:9">
      <c r="A1309" s="706">
        <v>105622</v>
      </c>
      <c r="B1309" s="706" t="s">
        <v>2991</v>
      </c>
      <c r="D1309" s="706" t="s">
        <v>1841</v>
      </c>
      <c r="H1309" s="1191"/>
      <c r="I1309" s="706" t="s">
        <v>2820</v>
      </c>
    </row>
    <row r="1310" spans="1:9">
      <c r="A1310" s="706">
        <v>105623</v>
      </c>
      <c r="B1310" s="706" t="s">
        <v>2992</v>
      </c>
      <c r="D1310" s="706" t="s">
        <v>1841</v>
      </c>
      <c r="H1310" s="1191"/>
      <c r="I1310" s="706" t="s">
        <v>2820</v>
      </c>
    </row>
    <row r="1311" spans="1:9">
      <c r="A1311" s="706">
        <v>105624</v>
      </c>
      <c r="B1311" s="706" t="s">
        <v>2993</v>
      </c>
      <c r="D1311" s="706" t="s">
        <v>1841</v>
      </c>
      <c r="H1311" s="1191"/>
      <c r="I1311" s="706" t="s">
        <v>2820</v>
      </c>
    </row>
    <row r="1312" spans="1:9">
      <c r="A1312" s="706">
        <v>105625</v>
      </c>
      <c r="B1312" s="706" t="s">
        <v>2994</v>
      </c>
      <c r="C1312" s="706" t="s">
        <v>8189</v>
      </c>
      <c r="D1312" s="706" t="s">
        <v>1841</v>
      </c>
      <c r="E1312" s="706">
        <v>260.41660000000002</v>
      </c>
      <c r="F1312" s="706" t="s">
        <v>28</v>
      </c>
      <c r="G1312" s="706">
        <v>407348</v>
      </c>
      <c r="H1312" s="1191">
        <v>45215</v>
      </c>
      <c r="I1312" s="706" t="s">
        <v>2820</v>
      </c>
    </row>
    <row r="1313" spans="1:9">
      <c r="A1313" s="706">
        <v>105626</v>
      </c>
      <c r="B1313" s="706" t="s">
        <v>2995</v>
      </c>
      <c r="C1313" s="706" t="s">
        <v>8189</v>
      </c>
      <c r="D1313" s="706" t="s">
        <v>1841</v>
      </c>
      <c r="E1313" s="706">
        <v>137</v>
      </c>
      <c r="F1313" s="706" t="s">
        <v>28</v>
      </c>
      <c r="G1313" s="706">
        <v>410868</v>
      </c>
      <c r="H1313" s="1191">
        <v>45897</v>
      </c>
      <c r="I1313" s="706" t="s">
        <v>2820</v>
      </c>
    </row>
    <row r="1314" spans="1:9">
      <c r="A1314" s="706">
        <v>105627</v>
      </c>
      <c r="B1314" s="706" t="s">
        <v>2996</v>
      </c>
      <c r="C1314" s="706" t="s">
        <v>8189</v>
      </c>
      <c r="D1314" s="706" t="s">
        <v>1841</v>
      </c>
      <c r="E1314" s="706">
        <v>70</v>
      </c>
      <c r="F1314" s="706" t="s">
        <v>28</v>
      </c>
      <c r="G1314" s="706">
        <v>407521</v>
      </c>
      <c r="H1314" s="1191">
        <v>45245</v>
      </c>
      <c r="I1314" s="706" t="s">
        <v>2820</v>
      </c>
    </row>
    <row r="1315" spans="1:9">
      <c r="A1315" s="706">
        <v>105628</v>
      </c>
      <c r="B1315" s="706" t="s">
        <v>2997</v>
      </c>
      <c r="C1315" s="706" t="s">
        <v>8189</v>
      </c>
      <c r="D1315" s="706" t="s">
        <v>1841</v>
      </c>
      <c r="E1315" s="706">
        <v>37</v>
      </c>
      <c r="F1315" s="706" t="s">
        <v>28</v>
      </c>
      <c r="G1315" s="706">
        <v>410782</v>
      </c>
      <c r="H1315" s="1191">
        <v>45887</v>
      </c>
      <c r="I1315" s="706" t="s">
        <v>2820</v>
      </c>
    </row>
    <row r="1316" spans="1:9">
      <c r="A1316" s="706">
        <v>105629</v>
      </c>
      <c r="B1316" s="706" t="s">
        <v>2998</v>
      </c>
      <c r="D1316" s="706" t="s">
        <v>1841</v>
      </c>
      <c r="H1316" s="1191"/>
      <c r="I1316" s="706" t="s">
        <v>2820</v>
      </c>
    </row>
    <row r="1317" spans="1:9">
      <c r="A1317" s="706">
        <v>105630</v>
      </c>
      <c r="B1317" s="706" t="s">
        <v>2999</v>
      </c>
      <c r="D1317" s="706" t="s">
        <v>1841</v>
      </c>
      <c r="H1317" s="1191"/>
      <c r="I1317" s="706" t="s">
        <v>2820</v>
      </c>
    </row>
    <row r="1318" spans="1:9">
      <c r="A1318" s="706">
        <v>105631</v>
      </c>
      <c r="B1318" s="706" t="s">
        <v>3000</v>
      </c>
      <c r="D1318" s="706" t="s">
        <v>1841</v>
      </c>
      <c r="H1318" s="1191"/>
      <c r="I1318" s="706" t="s">
        <v>2820</v>
      </c>
    </row>
    <row r="1319" spans="1:9">
      <c r="A1319" s="706">
        <v>105632</v>
      </c>
      <c r="B1319" s="706" t="s">
        <v>3001</v>
      </c>
      <c r="D1319" s="706" t="s">
        <v>1841</v>
      </c>
      <c r="H1319" s="1191"/>
      <c r="I1319" s="706" t="s">
        <v>2820</v>
      </c>
    </row>
    <row r="1320" spans="1:9">
      <c r="A1320" s="706">
        <v>105633</v>
      </c>
      <c r="B1320" s="706" t="s">
        <v>3002</v>
      </c>
      <c r="D1320" s="706" t="s">
        <v>1841</v>
      </c>
      <c r="H1320" s="1191"/>
      <c r="I1320" s="706" t="s">
        <v>2820</v>
      </c>
    </row>
    <row r="1321" spans="1:9">
      <c r="A1321" s="706">
        <v>105634</v>
      </c>
      <c r="B1321" s="706" t="s">
        <v>3003</v>
      </c>
      <c r="C1321" s="706" t="s">
        <v>8189</v>
      </c>
      <c r="D1321" s="706" t="s">
        <v>1841</v>
      </c>
      <c r="E1321" s="706">
        <v>110</v>
      </c>
      <c r="F1321" s="706" t="s">
        <v>28</v>
      </c>
      <c r="G1321" s="706">
        <v>411555</v>
      </c>
      <c r="H1321" s="1191">
        <v>46037</v>
      </c>
      <c r="I1321" s="706" t="s">
        <v>2820</v>
      </c>
    </row>
    <row r="1322" spans="1:9">
      <c r="A1322" s="706">
        <v>105635</v>
      </c>
      <c r="B1322" s="706" t="s">
        <v>3004</v>
      </c>
      <c r="C1322" s="706" t="s">
        <v>8189</v>
      </c>
      <c r="D1322" s="706" t="s">
        <v>1841</v>
      </c>
      <c r="E1322" s="706">
        <v>110</v>
      </c>
      <c r="F1322" s="706" t="s">
        <v>28</v>
      </c>
      <c r="G1322" s="706">
        <v>411523</v>
      </c>
      <c r="H1322" s="1191">
        <v>46034</v>
      </c>
      <c r="I1322" s="706" t="s">
        <v>2820</v>
      </c>
    </row>
    <row r="1323" spans="1:9">
      <c r="A1323" s="706">
        <v>105636</v>
      </c>
      <c r="B1323" s="706" t="s">
        <v>3005</v>
      </c>
      <c r="C1323" s="706" t="s">
        <v>8189</v>
      </c>
      <c r="D1323" s="706" t="s">
        <v>1841</v>
      </c>
      <c r="E1323" s="706">
        <v>70</v>
      </c>
      <c r="F1323" s="706" t="s">
        <v>28</v>
      </c>
      <c r="G1323" s="706">
        <v>408004</v>
      </c>
      <c r="H1323" s="1191">
        <v>45337</v>
      </c>
      <c r="I1323" s="706" t="s">
        <v>2820</v>
      </c>
    </row>
    <row r="1324" spans="1:9">
      <c r="A1324" s="706">
        <v>105637</v>
      </c>
      <c r="B1324" s="706" t="s">
        <v>3006</v>
      </c>
      <c r="D1324" s="706" t="s">
        <v>1841</v>
      </c>
      <c r="H1324" s="1191"/>
      <c r="I1324" s="706" t="s">
        <v>2820</v>
      </c>
    </row>
    <row r="1325" spans="1:9">
      <c r="A1325" s="706">
        <v>105638</v>
      </c>
      <c r="B1325" s="706" t="s">
        <v>3007</v>
      </c>
      <c r="D1325" s="706" t="s">
        <v>1841</v>
      </c>
      <c r="H1325" s="1191"/>
      <c r="I1325" s="706" t="s">
        <v>2820</v>
      </c>
    </row>
    <row r="1326" spans="1:9">
      <c r="A1326" s="706">
        <v>105639</v>
      </c>
      <c r="B1326" s="706" t="s">
        <v>3008</v>
      </c>
      <c r="C1326" s="706" t="s">
        <v>8189</v>
      </c>
      <c r="D1326" s="706" t="s">
        <v>1841</v>
      </c>
      <c r="E1326" s="706">
        <v>80</v>
      </c>
      <c r="F1326" s="706" t="s">
        <v>28</v>
      </c>
      <c r="G1326" s="706">
        <v>405832</v>
      </c>
      <c r="H1326" s="1191">
        <v>44874</v>
      </c>
      <c r="I1326" s="706" t="s">
        <v>2820</v>
      </c>
    </row>
    <row r="1327" spans="1:9">
      <c r="A1327" s="706">
        <v>105640</v>
      </c>
      <c r="B1327" s="706" t="s">
        <v>3009</v>
      </c>
      <c r="D1327" s="706" t="s">
        <v>1841</v>
      </c>
      <c r="H1327" s="1191"/>
      <c r="I1327" s="706" t="s">
        <v>2820</v>
      </c>
    </row>
    <row r="1328" spans="1:9">
      <c r="A1328" s="706">
        <v>105641</v>
      </c>
      <c r="B1328" s="706" t="s">
        <v>3010</v>
      </c>
      <c r="D1328" s="706" t="s">
        <v>1841</v>
      </c>
      <c r="H1328" s="1191"/>
      <c r="I1328" s="706" t="s">
        <v>2820</v>
      </c>
    </row>
    <row r="1329" spans="1:9">
      <c r="A1329" s="706">
        <v>105642</v>
      </c>
      <c r="B1329" s="706" t="s">
        <v>3011</v>
      </c>
      <c r="C1329" s="706" t="s">
        <v>8189</v>
      </c>
      <c r="D1329" s="706" t="s">
        <v>1841</v>
      </c>
      <c r="E1329" s="706">
        <v>135</v>
      </c>
      <c r="F1329" s="706" t="s">
        <v>28</v>
      </c>
      <c r="G1329" s="706">
        <v>411115</v>
      </c>
      <c r="H1329" s="1191">
        <v>45944</v>
      </c>
      <c r="I1329" s="706" t="s">
        <v>2820</v>
      </c>
    </row>
    <row r="1330" spans="1:9">
      <c r="A1330" s="706">
        <v>105643</v>
      </c>
      <c r="B1330" s="706" t="s">
        <v>3012</v>
      </c>
      <c r="D1330" s="706" t="s">
        <v>1841</v>
      </c>
      <c r="H1330" s="1191"/>
      <c r="I1330" s="706" t="s">
        <v>2820</v>
      </c>
    </row>
    <row r="1331" spans="1:9">
      <c r="A1331" s="706">
        <v>105644</v>
      </c>
      <c r="B1331" s="706" t="s">
        <v>3013</v>
      </c>
      <c r="D1331" s="706" t="s">
        <v>1841</v>
      </c>
      <c r="H1331" s="1191"/>
      <c r="I1331" s="706" t="s">
        <v>2820</v>
      </c>
    </row>
    <row r="1332" spans="1:9">
      <c r="A1332" s="706">
        <v>105645</v>
      </c>
      <c r="B1332" s="706" t="s">
        <v>3014</v>
      </c>
      <c r="D1332" s="706" t="s">
        <v>1841</v>
      </c>
      <c r="H1332" s="1191"/>
      <c r="I1332" s="706" t="s">
        <v>2820</v>
      </c>
    </row>
    <row r="1333" spans="1:9">
      <c r="A1333" s="706">
        <v>105646</v>
      </c>
      <c r="B1333" s="706" t="s">
        <v>3015</v>
      </c>
      <c r="D1333" s="706" t="s">
        <v>1841</v>
      </c>
      <c r="H1333" s="1191"/>
      <c r="I1333" s="706" t="s">
        <v>2820</v>
      </c>
    </row>
    <row r="1334" spans="1:9">
      <c r="A1334" s="706">
        <v>105647</v>
      </c>
      <c r="B1334" s="706" t="s">
        <v>3016</v>
      </c>
      <c r="D1334" s="706" t="s">
        <v>1841</v>
      </c>
      <c r="H1334" s="1191"/>
      <c r="I1334" s="706" t="s">
        <v>2820</v>
      </c>
    </row>
    <row r="1335" spans="1:9">
      <c r="A1335" s="706">
        <v>105648</v>
      </c>
      <c r="B1335" s="706" t="s">
        <v>3017</v>
      </c>
      <c r="C1335" s="706" t="s">
        <v>8189</v>
      </c>
      <c r="D1335" s="706" t="s">
        <v>1841</v>
      </c>
      <c r="E1335" s="706">
        <v>22</v>
      </c>
      <c r="F1335" s="706" t="s">
        <v>28</v>
      </c>
      <c r="G1335" s="706">
        <v>402696</v>
      </c>
      <c r="H1335" s="1191">
        <v>44259</v>
      </c>
      <c r="I1335" s="706" t="s">
        <v>2820</v>
      </c>
    </row>
    <row r="1336" spans="1:9">
      <c r="A1336" s="706">
        <v>105649</v>
      </c>
      <c r="B1336" s="706" t="s">
        <v>3018</v>
      </c>
      <c r="D1336" s="706" t="s">
        <v>1841</v>
      </c>
      <c r="H1336" s="1191"/>
      <c r="I1336" s="706" t="s">
        <v>2820</v>
      </c>
    </row>
    <row r="1337" spans="1:9">
      <c r="A1337" s="706">
        <v>105650</v>
      </c>
      <c r="B1337" s="706" t="s">
        <v>3019</v>
      </c>
      <c r="C1337" s="706" t="s">
        <v>8189</v>
      </c>
      <c r="D1337" s="706" t="s">
        <v>1841</v>
      </c>
      <c r="E1337" s="706">
        <v>81</v>
      </c>
      <c r="F1337" s="706" t="s">
        <v>28</v>
      </c>
      <c r="G1337" s="706">
        <v>408637</v>
      </c>
      <c r="H1337" s="1191">
        <v>45447</v>
      </c>
      <c r="I1337" s="706" t="s">
        <v>2820</v>
      </c>
    </row>
    <row r="1338" spans="1:9">
      <c r="A1338" s="706">
        <v>105651</v>
      </c>
      <c r="B1338" s="706" t="s">
        <v>3020</v>
      </c>
      <c r="C1338" s="706" t="s">
        <v>8189</v>
      </c>
      <c r="D1338" s="706" t="s">
        <v>1841</v>
      </c>
      <c r="E1338" s="706">
        <v>41</v>
      </c>
      <c r="F1338" s="706" t="s">
        <v>28</v>
      </c>
      <c r="G1338" s="706">
        <v>407911</v>
      </c>
      <c r="H1338" s="1191">
        <v>45323</v>
      </c>
      <c r="I1338" s="706" t="s">
        <v>2820</v>
      </c>
    </row>
    <row r="1339" spans="1:9">
      <c r="A1339" s="706">
        <v>105652</v>
      </c>
      <c r="B1339" s="706" t="s">
        <v>3021</v>
      </c>
      <c r="C1339" s="706" t="s">
        <v>8189</v>
      </c>
      <c r="D1339" s="706" t="s">
        <v>1841</v>
      </c>
      <c r="E1339" s="706">
        <v>22.7837</v>
      </c>
      <c r="F1339" s="706" t="s">
        <v>28</v>
      </c>
      <c r="G1339" s="706">
        <v>403180</v>
      </c>
      <c r="H1339" s="1191">
        <v>44343</v>
      </c>
      <c r="I1339" s="706" t="s">
        <v>2820</v>
      </c>
    </row>
    <row r="1340" spans="1:9">
      <c r="A1340" s="706">
        <v>105653</v>
      </c>
      <c r="B1340" s="706" t="s">
        <v>3022</v>
      </c>
      <c r="D1340" s="706" t="s">
        <v>1841</v>
      </c>
      <c r="H1340" s="1191"/>
      <c r="I1340" s="706" t="s">
        <v>2820</v>
      </c>
    </row>
    <row r="1341" spans="1:9">
      <c r="A1341" s="706">
        <v>105654</v>
      </c>
      <c r="B1341" s="706" t="s">
        <v>3023</v>
      </c>
      <c r="D1341" s="706" t="s">
        <v>1841</v>
      </c>
      <c r="H1341" s="1191"/>
      <c r="I1341" s="706" t="s">
        <v>2820</v>
      </c>
    </row>
    <row r="1342" spans="1:9">
      <c r="A1342" s="706">
        <v>105655</v>
      </c>
      <c r="B1342" s="706" t="s">
        <v>3024</v>
      </c>
      <c r="C1342" s="706" t="s">
        <v>8189</v>
      </c>
      <c r="D1342" s="706" t="s">
        <v>1841</v>
      </c>
      <c r="E1342" s="706">
        <v>52</v>
      </c>
      <c r="F1342" s="706" t="s">
        <v>28</v>
      </c>
      <c r="G1342" s="706">
        <v>405832</v>
      </c>
      <c r="H1342" s="1191">
        <v>44874</v>
      </c>
      <c r="I1342" s="706" t="s">
        <v>2820</v>
      </c>
    </row>
    <row r="1343" spans="1:9">
      <c r="A1343" s="706">
        <v>105656</v>
      </c>
      <c r="B1343" s="706" t="s">
        <v>3025</v>
      </c>
      <c r="D1343" s="706" t="s">
        <v>1841</v>
      </c>
      <c r="H1343" s="1191"/>
      <c r="I1343" s="706" t="s">
        <v>2820</v>
      </c>
    </row>
    <row r="1344" spans="1:9">
      <c r="A1344" s="706">
        <v>105657</v>
      </c>
      <c r="B1344" s="706" t="s">
        <v>3026</v>
      </c>
      <c r="D1344" s="706" t="s">
        <v>1841</v>
      </c>
      <c r="H1344" s="1191"/>
      <c r="I1344" s="706" t="s">
        <v>2820</v>
      </c>
    </row>
    <row r="1345" spans="1:9">
      <c r="A1345" s="706">
        <v>105658</v>
      </c>
      <c r="B1345" s="706" t="s">
        <v>3027</v>
      </c>
      <c r="C1345" s="706" t="s">
        <v>8189</v>
      </c>
      <c r="D1345" s="706" t="s">
        <v>1841</v>
      </c>
      <c r="E1345" s="706">
        <v>79</v>
      </c>
      <c r="F1345" s="706" t="s">
        <v>28</v>
      </c>
      <c r="G1345" s="706">
        <v>410782</v>
      </c>
      <c r="H1345" s="1191">
        <v>45887</v>
      </c>
      <c r="I1345" s="706" t="s">
        <v>2820</v>
      </c>
    </row>
    <row r="1346" spans="1:9">
      <c r="A1346" s="706">
        <v>105659</v>
      </c>
      <c r="B1346" s="706" t="s">
        <v>3028</v>
      </c>
      <c r="C1346" s="706" t="s">
        <v>8189</v>
      </c>
      <c r="D1346" s="706" t="s">
        <v>1841</v>
      </c>
      <c r="E1346" s="706">
        <v>47.31</v>
      </c>
      <c r="F1346" s="706" t="s">
        <v>28</v>
      </c>
      <c r="G1346" s="706">
        <v>411835</v>
      </c>
      <c r="H1346" s="1191">
        <v>46079</v>
      </c>
      <c r="I1346" s="706" t="s">
        <v>2820</v>
      </c>
    </row>
    <row r="1347" spans="1:9">
      <c r="A1347" s="706">
        <v>105660</v>
      </c>
      <c r="B1347" s="706" t="s">
        <v>3029</v>
      </c>
      <c r="D1347" s="706" t="s">
        <v>1841</v>
      </c>
      <c r="H1347" s="1191"/>
      <c r="I1347" s="706" t="s">
        <v>2820</v>
      </c>
    </row>
    <row r="1348" spans="1:9">
      <c r="A1348" s="706">
        <v>105661</v>
      </c>
      <c r="B1348" s="706" t="s">
        <v>3030</v>
      </c>
      <c r="D1348" s="706" t="s">
        <v>1841</v>
      </c>
      <c r="H1348" s="1191"/>
      <c r="I1348" s="706" t="s">
        <v>2820</v>
      </c>
    </row>
    <row r="1349" spans="1:9">
      <c r="A1349" s="706">
        <v>105662</v>
      </c>
      <c r="B1349" s="706" t="s">
        <v>3031</v>
      </c>
      <c r="D1349" s="706" t="s">
        <v>1841</v>
      </c>
      <c r="H1349" s="1191"/>
      <c r="I1349" s="706" t="s">
        <v>2820</v>
      </c>
    </row>
    <row r="1350" spans="1:9">
      <c r="A1350" s="706">
        <v>105663</v>
      </c>
      <c r="B1350" s="706" t="s">
        <v>3032</v>
      </c>
      <c r="D1350" s="706" t="s">
        <v>1841</v>
      </c>
      <c r="H1350" s="1191"/>
      <c r="I1350" s="706" t="s">
        <v>2820</v>
      </c>
    </row>
    <row r="1351" spans="1:9">
      <c r="A1351" s="706">
        <v>105664</v>
      </c>
      <c r="B1351" s="706" t="s">
        <v>3033</v>
      </c>
      <c r="D1351" s="706" t="s">
        <v>1841</v>
      </c>
      <c r="H1351" s="1191"/>
      <c r="I1351" s="706" t="s">
        <v>2820</v>
      </c>
    </row>
    <row r="1352" spans="1:9">
      <c r="A1352" s="706">
        <v>105665</v>
      </c>
      <c r="B1352" s="706" t="s">
        <v>3034</v>
      </c>
      <c r="D1352" s="706" t="s">
        <v>1841</v>
      </c>
      <c r="H1352" s="1191"/>
      <c r="I1352" s="706" t="s">
        <v>2820</v>
      </c>
    </row>
    <row r="1353" spans="1:9">
      <c r="A1353" s="706">
        <v>105666</v>
      </c>
      <c r="B1353" s="706" t="s">
        <v>3035</v>
      </c>
      <c r="C1353" s="706" t="s">
        <v>8189</v>
      </c>
      <c r="D1353" s="706" t="s">
        <v>1841</v>
      </c>
      <c r="E1353" s="706">
        <v>33.5</v>
      </c>
      <c r="F1353" s="706" t="s">
        <v>28</v>
      </c>
      <c r="G1353" s="706">
        <v>400481</v>
      </c>
      <c r="H1353" s="1191">
        <v>43966</v>
      </c>
      <c r="I1353" s="706" t="s">
        <v>2820</v>
      </c>
    </row>
    <row r="1354" spans="1:9">
      <c r="A1354" s="706">
        <v>105667</v>
      </c>
      <c r="B1354" s="706" t="s">
        <v>3036</v>
      </c>
      <c r="C1354" s="706" t="s">
        <v>8189</v>
      </c>
      <c r="D1354" s="706" t="s">
        <v>1841</v>
      </c>
      <c r="E1354" s="706">
        <v>32</v>
      </c>
      <c r="F1354" s="706" t="s">
        <v>28</v>
      </c>
      <c r="G1354" s="706">
        <v>410063</v>
      </c>
      <c r="H1354" s="1191">
        <v>45742</v>
      </c>
      <c r="I1354" s="706" t="s">
        <v>2820</v>
      </c>
    </row>
    <row r="1355" spans="1:9">
      <c r="A1355" s="706">
        <v>105668</v>
      </c>
      <c r="B1355" s="706" t="s">
        <v>3037</v>
      </c>
      <c r="C1355" s="706" t="s">
        <v>8189</v>
      </c>
      <c r="D1355" s="706" t="s">
        <v>1841</v>
      </c>
      <c r="E1355" s="706">
        <v>31.666599999999999</v>
      </c>
      <c r="F1355" s="706" t="s">
        <v>28</v>
      </c>
      <c r="G1355" s="706">
        <v>410567</v>
      </c>
      <c r="H1355" s="1191">
        <v>45841</v>
      </c>
      <c r="I1355" s="706" t="s">
        <v>2820</v>
      </c>
    </row>
    <row r="1356" spans="1:9">
      <c r="A1356" s="706">
        <v>105669</v>
      </c>
      <c r="B1356" s="706" t="s">
        <v>3038</v>
      </c>
      <c r="C1356" s="706" t="s">
        <v>8189</v>
      </c>
      <c r="D1356" s="706" t="s">
        <v>1841</v>
      </c>
      <c r="E1356" s="706">
        <v>18</v>
      </c>
      <c r="F1356" s="706" t="s">
        <v>28</v>
      </c>
      <c r="G1356" s="706">
        <v>400264</v>
      </c>
      <c r="H1356" s="1191">
        <v>43943</v>
      </c>
      <c r="I1356" s="706" t="s">
        <v>2820</v>
      </c>
    </row>
    <row r="1357" spans="1:9">
      <c r="A1357" s="706">
        <v>105670</v>
      </c>
      <c r="B1357" s="706" t="s">
        <v>3039</v>
      </c>
      <c r="C1357" s="706" t="s">
        <v>8189</v>
      </c>
      <c r="D1357" s="706" t="s">
        <v>1841</v>
      </c>
      <c r="E1357" s="706">
        <v>33.5</v>
      </c>
      <c r="F1357" s="706" t="s">
        <v>28</v>
      </c>
      <c r="G1357" s="706">
        <v>400243</v>
      </c>
      <c r="H1357" s="1191">
        <v>43942</v>
      </c>
      <c r="I1357" s="706" t="s">
        <v>2820</v>
      </c>
    </row>
    <row r="1358" spans="1:9">
      <c r="A1358" s="706">
        <v>105671</v>
      </c>
      <c r="B1358" s="706" t="s">
        <v>3040</v>
      </c>
      <c r="C1358" s="706" t="s">
        <v>8189</v>
      </c>
      <c r="D1358" s="706" t="s">
        <v>1841</v>
      </c>
      <c r="E1358" s="706">
        <v>55</v>
      </c>
      <c r="F1358" s="706" t="s">
        <v>28</v>
      </c>
      <c r="G1358" s="706">
        <v>405065</v>
      </c>
      <c r="H1358" s="1191">
        <v>44705</v>
      </c>
      <c r="I1358" s="706" t="s">
        <v>2820</v>
      </c>
    </row>
    <row r="1359" spans="1:9">
      <c r="A1359" s="706">
        <v>105672</v>
      </c>
      <c r="B1359" s="706" t="s">
        <v>3041</v>
      </c>
      <c r="C1359" s="706" t="s">
        <v>8189</v>
      </c>
      <c r="D1359" s="706" t="s">
        <v>1841</v>
      </c>
      <c r="E1359" s="706">
        <v>12.15</v>
      </c>
      <c r="F1359" s="706" t="s">
        <v>28</v>
      </c>
      <c r="G1359" s="706">
        <v>401311</v>
      </c>
      <c r="H1359" s="1191">
        <v>44057</v>
      </c>
      <c r="I1359" s="706" t="s">
        <v>2820</v>
      </c>
    </row>
    <row r="1360" spans="1:9">
      <c r="A1360" s="706">
        <v>105673</v>
      </c>
      <c r="B1360" s="706" t="s">
        <v>3042</v>
      </c>
      <c r="D1360" s="706" t="s">
        <v>1841</v>
      </c>
      <c r="H1360" s="1191"/>
      <c r="I1360" s="706" t="s">
        <v>2820</v>
      </c>
    </row>
    <row r="1361" spans="1:9">
      <c r="A1361" s="706">
        <v>105674</v>
      </c>
      <c r="B1361" s="706" t="s">
        <v>3043</v>
      </c>
      <c r="C1361" s="706" t="s">
        <v>8189</v>
      </c>
      <c r="D1361" s="706" t="s">
        <v>1841</v>
      </c>
      <c r="E1361" s="706">
        <v>76.335800000000006</v>
      </c>
      <c r="F1361" s="706" t="s">
        <v>28</v>
      </c>
      <c r="G1361" s="706">
        <v>402871</v>
      </c>
      <c r="H1361" s="1191">
        <v>44291</v>
      </c>
      <c r="I1361" s="706" t="s">
        <v>2820</v>
      </c>
    </row>
    <row r="1362" spans="1:9">
      <c r="A1362" s="706">
        <v>105675</v>
      </c>
      <c r="B1362" s="706" t="s">
        <v>3044</v>
      </c>
      <c r="C1362" s="706" t="s">
        <v>8189</v>
      </c>
      <c r="D1362" s="706" t="s">
        <v>1841</v>
      </c>
      <c r="E1362" s="706">
        <v>35</v>
      </c>
      <c r="F1362" s="706" t="s">
        <v>28</v>
      </c>
      <c r="G1362" s="706">
        <v>408252</v>
      </c>
      <c r="H1362" s="1191">
        <v>45384</v>
      </c>
      <c r="I1362" s="706" t="s">
        <v>2820</v>
      </c>
    </row>
    <row r="1363" spans="1:9">
      <c r="A1363" s="706">
        <v>105676</v>
      </c>
      <c r="B1363" s="706" t="s">
        <v>3045</v>
      </c>
      <c r="C1363" s="706" t="s">
        <v>8189</v>
      </c>
      <c r="D1363" s="706" t="s">
        <v>1841</v>
      </c>
      <c r="E1363" s="706">
        <v>26</v>
      </c>
      <c r="F1363" s="706" t="s">
        <v>28</v>
      </c>
      <c r="G1363" s="706">
        <v>410845</v>
      </c>
      <c r="H1363" s="1191">
        <v>45891</v>
      </c>
      <c r="I1363" s="706" t="s">
        <v>2820</v>
      </c>
    </row>
    <row r="1364" spans="1:9">
      <c r="A1364" s="706">
        <v>105677</v>
      </c>
      <c r="B1364" s="706" t="s">
        <v>3046</v>
      </c>
      <c r="D1364" s="706" t="s">
        <v>1841</v>
      </c>
      <c r="H1364" s="1191"/>
      <c r="I1364" s="706" t="s">
        <v>2820</v>
      </c>
    </row>
    <row r="1365" spans="1:9">
      <c r="A1365" s="706">
        <v>105678</v>
      </c>
      <c r="B1365" s="706" t="s">
        <v>3047</v>
      </c>
      <c r="D1365" s="706" t="s">
        <v>1841</v>
      </c>
      <c r="H1365" s="1191"/>
      <c r="I1365" s="706" t="s">
        <v>2820</v>
      </c>
    </row>
    <row r="1366" spans="1:9">
      <c r="A1366" s="706">
        <v>105679</v>
      </c>
      <c r="B1366" s="706" t="s">
        <v>3048</v>
      </c>
      <c r="D1366" s="706" t="s">
        <v>1841</v>
      </c>
      <c r="H1366" s="1191"/>
      <c r="I1366" s="706" t="s">
        <v>2820</v>
      </c>
    </row>
    <row r="1367" spans="1:9">
      <c r="A1367" s="706">
        <v>105680</v>
      </c>
      <c r="B1367" s="706" t="s">
        <v>3049</v>
      </c>
      <c r="D1367" s="706" t="s">
        <v>1841</v>
      </c>
      <c r="H1367" s="1191"/>
      <c r="I1367" s="706" t="s">
        <v>2820</v>
      </c>
    </row>
    <row r="1368" spans="1:9">
      <c r="A1368" s="706">
        <v>105681</v>
      </c>
      <c r="B1368" s="706" t="s">
        <v>3050</v>
      </c>
      <c r="D1368" s="706" t="s">
        <v>1841</v>
      </c>
      <c r="H1368" s="1191"/>
      <c r="I1368" s="706" t="s">
        <v>2820</v>
      </c>
    </row>
    <row r="1369" spans="1:9">
      <c r="A1369" s="706">
        <v>105682</v>
      </c>
      <c r="B1369" s="706" t="s">
        <v>3051</v>
      </c>
      <c r="D1369" s="706" t="s">
        <v>1841</v>
      </c>
      <c r="H1369" s="1191"/>
      <c r="I1369" s="706" t="s">
        <v>2820</v>
      </c>
    </row>
    <row r="1370" spans="1:9">
      <c r="A1370" s="706">
        <v>105683</v>
      </c>
      <c r="B1370" s="706" t="s">
        <v>3052</v>
      </c>
      <c r="C1370" s="706" t="s">
        <v>8189</v>
      </c>
      <c r="D1370" s="706" t="s">
        <v>1841</v>
      </c>
      <c r="E1370" s="706">
        <v>40</v>
      </c>
      <c r="F1370" s="706" t="s">
        <v>28</v>
      </c>
      <c r="G1370" s="706">
        <v>411340</v>
      </c>
      <c r="H1370" s="1191">
        <v>45993</v>
      </c>
      <c r="I1370" s="706" t="s">
        <v>2820</v>
      </c>
    </row>
    <row r="1371" spans="1:9">
      <c r="A1371" s="706">
        <v>105684</v>
      </c>
      <c r="B1371" s="706" t="s">
        <v>3053</v>
      </c>
      <c r="D1371" s="706" t="s">
        <v>1841</v>
      </c>
      <c r="H1371" s="1191"/>
      <c r="I1371" s="706" t="s">
        <v>2820</v>
      </c>
    </row>
    <row r="1372" spans="1:9">
      <c r="A1372" s="706">
        <v>105685</v>
      </c>
      <c r="B1372" s="706" t="s">
        <v>3054</v>
      </c>
      <c r="D1372" s="706" t="s">
        <v>1841</v>
      </c>
      <c r="H1372" s="1191"/>
      <c r="I1372" s="706" t="s">
        <v>2820</v>
      </c>
    </row>
    <row r="1373" spans="1:9">
      <c r="A1373" s="706">
        <v>105686</v>
      </c>
      <c r="B1373" s="706" t="s">
        <v>3055</v>
      </c>
      <c r="D1373" s="706" t="s">
        <v>1841</v>
      </c>
      <c r="H1373" s="1191"/>
      <c r="I1373" s="706" t="s">
        <v>2820</v>
      </c>
    </row>
    <row r="1374" spans="1:9">
      <c r="A1374" s="706">
        <v>105687</v>
      </c>
      <c r="B1374" s="706" t="s">
        <v>3056</v>
      </c>
      <c r="C1374" s="706" t="s">
        <v>8189</v>
      </c>
      <c r="D1374" s="706" t="s">
        <v>1841</v>
      </c>
      <c r="E1374" s="706">
        <v>32</v>
      </c>
      <c r="F1374" s="706" t="s">
        <v>28</v>
      </c>
      <c r="G1374" s="706">
        <v>411796</v>
      </c>
      <c r="H1374" s="1191">
        <v>46076</v>
      </c>
      <c r="I1374" s="706" t="s">
        <v>2820</v>
      </c>
    </row>
    <row r="1375" spans="1:9">
      <c r="A1375" s="706">
        <v>105688</v>
      </c>
      <c r="B1375" s="706" t="s">
        <v>3057</v>
      </c>
      <c r="D1375" s="706" t="s">
        <v>1841</v>
      </c>
      <c r="H1375" s="1191"/>
      <c r="I1375" s="706" t="s">
        <v>2820</v>
      </c>
    </row>
    <row r="1376" spans="1:9">
      <c r="A1376" s="706">
        <v>105689</v>
      </c>
      <c r="B1376" s="706" t="s">
        <v>3058</v>
      </c>
      <c r="D1376" s="706" t="s">
        <v>1841</v>
      </c>
      <c r="H1376" s="1191"/>
      <c r="I1376" s="706" t="s">
        <v>2820</v>
      </c>
    </row>
    <row r="1377" spans="1:9">
      <c r="A1377" s="706">
        <v>105690</v>
      </c>
      <c r="B1377" s="706" t="s">
        <v>3059</v>
      </c>
      <c r="C1377" s="706" t="s">
        <v>8189</v>
      </c>
      <c r="D1377" s="706" t="s">
        <v>1841</v>
      </c>
      <c r="E1377" s="706">
        <v>60.503300000000003</v>
      </c>
      <c r="F1377" s="706" t="s">
        <v>28</v>
      </c>
      <c r="G1377" s="706">
        <v>408942</v>
      </c>
      <c r="H1377" s="1191">
        <v>45510</v>
      </c>
      <c r="I1377" s="706" t="s">
        <v>2820</v>
      </c>
    </row>
    <row r="1378" spans="1:9">
      <c r="A1378" s="706">
        <v>105691</v>
      </c>
      <c r="B1378" s="706" t="s">
        <v>3060</v>
      </c>
      <c r="C1378" s="706" t="s">
        <v>8189</v>
      </c>
      <c r="D1378" s="706" t="s">
        <v>1841</v>
      </c>
      <c r="E1378" s="706">
        <v>31.68</v>
      </c>
      <c r="F1378" s="706" t="s">
        <v>28</v>
      </c>
      <c r="G1378" s="706">
        <v>409938</v>
      </c>
      <c r="H1378" s="1191">
        <v>45721</v>
      </c>
      <c r="I1378" s="706" t="s">
        <v>2820</v>
      </c>
    </row>
    <row r="1379" spans="1:9">
      <c r="A1379" s="706">
        <v>105692</v>
      </c>
      <c r="B1379" s="706" t="s">
        <v>3061</v>
      </c>
      <c r="D1379" s="706" t="s">
        <v>1841</v>
      </c>
      <c r="H1379" s="1191"/>
      <c r="I1379" s="706" t="s">
        <v>2820</v>
      </c>
    </row>
    <row r="1380" spans="1:9">
      <c r="A1380" s="706">
        <v>105693</v>
      </c>
      <c r="B1380" s="706" t="s">
        <v>3062</v>
      </c>
      <c r="D1380" s="706" t="s">
        <v>1841</v>
      </c>
      <c r="H1380" s="1191"/>
      <c r="I1380" s="706" t="s">
        <v>2820</v>
      </c>
    </row>
    <row r="1381" spans="1:9">
      <c r="A1381" s="706">
        <v>105694</v>
      </c>
      <c r="B1381" s="706" t="s">
        <v>3063</v>
      </c>
      <c r="D1381" s="706" t="s">
        <v>1841</v>
      </c>
      <c r="H1381" s="1191"/>
      <c r="I1381" s="706" t="s">
        <v>2820</v>
      </c>
    </row>
    <row r="1382" spans="1:9">
      <c r="A1382" s="706">
        <v>105695</v>
      </c>
      <c r="B1382" s="706" t="s">
        <v>3064</v>
      </c>
      <c r="C1382" s="706" t="s">
        <v>8189</v>
      </c>
      <c r="D1382" s="706" t="s">
        <v>1841</v>
      </c>
      <c r="E1382" s="706">
        <v>22.9268</v>
      </c>
      <c r="F1382" s="706" t="s">
        <v>28</v>
      </c>
      <c r="G1382" s="706">
        <v>401593</v>
      </c>
      <c r="H1382" s="1191">
        <v>44091</v>
      </c>
      <c r="I1382" s="706" t="s">
        <v>2820</v>
      </c>
    </row>
    <row r="1383" spans="1:9">
      <c r="A1383" s="706">
        <v>105696</v>
      </c>
      <c r="B1383" s="706" t="s">
        <v>3065</v>
      </c>
      <c r="D1383" s="706" t="s">
        <v>1841</v>
      </c>
      <c r="H1383" s="1191"/>
      <c r="I1383" s="706" t="s">
        <v>2820</v>
      </c>
    </row>
    <row r="1384" spans="1:9">
      <c r="A1384" s="706">
        <v>105697</v>
      </c>
      <c r="B1384" s="706" t="s">
        <v>3066</v>
      </c>
      <c r="C1384" s="706" t="s">
        <v>8189</v>
      </c>
      <c r="D1384" s="706" t="s">
        <v>1841</v>
      </c>
      <c r="E1384" s="706">
        <v>14</v>
      </c>
      <c r="F1384" s="706" t="s">
        <v>28</v>
      </c>
      <c r="G1384" s="706">
        <v>400864</v>
      </c>
      <c r="H1384" s="1191">
        <v>44013</v>
      </c>
      <c r="I1384" s="706" t="s">
        <v>2820</v>
      </c>
    </row>
    <row r="1385" spans="1:9">
      <c r="A1385" s="706">
        <v>105698</v>
      </c>
      <c r="B1385" s="706" t="s">
        <v>3067</v>
      </c>
      <c r="C1385" s="706" t="s">
        <v>8189</v>
      </c>
      <c r="D1385" s="706" t="s">
        <v>1841</v>
      </c>
      <c r="E1385" s="706">
        <v>44</v>
      </c>
      <c r="F1385" s="706" t="s">
        <v>28</v>
      </c>
      <c r="G1385" s="706">
        <v>408637</v>
      </c>
      <c r="H1385" s="1191">
        <v>45447</v>
      </c>
      <c r="I1385" s="706" t="s">
        <v>2820</v>
      </c>
    </row>
    <row r="1386" spans="1:9">
      <c r="A1386" s="706">
        <v>105699</v>
      </c>
      <c r="B1386" s="706" t="s">
        <v>3068</v>
      </c>
      <c r="C1386" s="706" t="s">
        <v>8189</v>
      </c>
      <c r="D1386" s="706" t="s">
        <v>1841</v>
      </c>
      <c r="E1386" s="706">
        <v>25.33</v>
      </c>
      <c r="F1386" s="706" t="s">
        <v>28</v>
      </c>
      <c r="G1386" s="706">
        <v>411671</v>
      </c>
      <c r="H1386" s="1191">
        <v>46058</v>
      </c>
      <c r="I1386" s="706" t="s">
        <v>2820</v>
      </c>
    </row>
    <row r="1387" spans="1:9">
      <c r="A1387" s="706">
        <v>105700</v>
      </c>
      <c r="B1387" s="706" t="s">
        <v>3069</v>
      </c>
      <c r="C1387" s="706" t="s">
        <v>8189</v>
      </c>
      <c r="D1387" s="706" t="s">
        <v>1841</v>
      </c>
      <c r="E1387" s="706">
        <v>19.850000000000001</v>
      </c>
      <c r="F1387" s="706" t="s">
        <v>28</v>
      </c>
      <c r="G1387" s="706">
        <v>404642</v>
      </c>
      <c r="H1387" s="1191">
        <v>44629</v>
      </c>
      <c r="I1387" s="706" t="s">
        <v>2820</v>
      </c>
    </row>
    <row r="1388" spans="1:9">
      <c r="A1388" s="706">
        <v>105701</v>
      </c>
      <c r="B1388" s="706" t="s">
        <v>3070</v>
      </c>
      <c r="D1388" s="706" t="s">
        <v>1841</v>
      </c>
      <c r="H1388" s="1191"/>
      <c r="I1388" s="706" t="s">
        <v>2820</v>
      </c>
    </row>
    <row r="1389" spans="1:9">
      <c r="A1389" s="706">
        <v>105702</v>
      </c>
      <c r="B1389" s="706" t="s">
        <v>3071</v>
      </c>
      <c r="C1389" s="706" t="s">
        <v>8189</v>
      </c>
      <c r="D1389" s="706" t="s">
        <v>1841</v>
      </c>
      <c r="E1389" s="706">
        <v>24.5</v>
      </c>
      <c r="F1389" s="706" t="s">
        <v>28</v>
      </c>
      <c r="G1389" s="706">
        <v>401663</v>
      </c>
      <c r="H1389" s="1191">
        <v>44102</v>
      </c>
      <c r="I1389" s="706" t="s">
        <v>2820</v>
      </c>
    </row>
    <row r="1390" spans="1:9">
      <c r="A1390" s="706">
        <v>105703</v>
      </c>
      <c r="B1390" s="706" t="s">
        <v>3072</v>
      </c>
      <c r="C1390" s="706" t="s">
        <v>8189</v>
      </c>
      <c r="D1390" s="706" t="s">
        <v>1841</v>
      </c>
      <c r="E1390" s="706">
        <v>14.2</v>
      </c>
      <c r="F1390" s="706" t="s">
        <v>28</v>
      </c>
      <c r="G1390" s="706">
        <v>401354</v>
      </c>
      <c r="H1390" s="1191">
        <v>44062</v>
      </c>
      <c r="I1390" s="706" t="s">
        <v>2820</v>
      </c>
    </row>
    <row r="1391" spans="1:9">
      <c r="A1391" s="706">
        <v>105704</v>
      </c>
      <c r="B1391" s="706" t="s">
        <v>3073</v>
      </c>
      <c r="C1391" s="706" t="s">
        <v>8189</v>
      </c>
      <c r="D1391" s="706" t="s">
        <v>1841</v>
      </c>
      <c r="E1391" s="706">
        <v>16.5</v>
      </c>
      <c r="F1391" s="706" t="s">
        <v>28</v>
      </c>
      <c r="G1391" s="706">
        <v>410200</v>
      </c>
      <c r="H1391" s="1191">
        <v>45768</v>
      </c>
      <c r="I1391" s="706" t="s">
        <v>2820</v>
      </c>
    </row>
    <row r="1392" spans="1:9">
      <c r="A1392" s="706">
        <v>105705</v>
      </c>
      <c r="B1392" s="706" t="s">
        <v>3074</v>
      </c>
      <c r="D1392" s="706" t="s">
        <v>1841</v>
      </c>
      <c r="H1392" s="1191"/>
      <c r="I1392" s="706" t="s">
        <v>2820</v>
      </c>
    </row>
    <row r="1393" spans="1:9">
      <c r="A1393" s="706">
        <v>105706</v>
      </c>
      <c r="B1393" s="706" t="s">
        <v>3075</v>
      </c>
      <c r="D1393" s="706" t="s">
        <v>1841</v>
      </c>
      <c r="H1393" s="1191"/>
      <c r="I1393" s="706" t="s">
        <v>2820</v>
      </c>
    </row>
    <row r="1394" spans="1:9">
      <c r="A1394" s="706">
        <v>105707</v>
      </c>
      <c r="B1394" s="706" t="s">
        <v>3076</v>
      </c>
      <c r="C1394" s="706" t="s">
        <v>8189</v>
      </c>
      <c r="D1394" s="706" t="s">
        <v>1841</v>
      </c>
      <c r="E1394" s="706">
        <v>35</v>
      </c>
      <c r="F1394" s="706" t="s">
        <v>28</v>
      </c>
      <c r="G1394" s="706">
        <v>411523</v>
      </c>
      <c r="H1394" s="1191">
        <v>46034</v>
      </c>
      <c r="I1394" s="706" t="s">
        <v>2820</v>
      </c>
    </row>
    <row r="1395" spans="1:9">
      <c r="A1395" s="706">
        <v>105708</v>
      </c>
      <c r="B1395" s="706" t="s">
        <v>3077</v>
      </c>
      <c r="C1395" s="706" t="s">
        <v>8189</v>
      </c>
      <c r="D1395" s="706" t="s">
        <v>1841</v>
      </c>
      <c r="E1395" s="706">
        <v>16.5</v>
      </c>
      <c r="F1395" s="706" t="s">
        <v>28</v>
      </c>
      <c r="G1395" s="706">
        <v>410712</v>
      </c>
      <c r="H1395" s="1191">
        <v>45875</v>
      </c>
      <c r="I1395" s="706" t="s">
        <v>2820</v>
      </c>
    </row>
    <row r="1396" spans="1:9">
      <c r="A1396" s="706">
        <v>105709</v>
      </c>
      <c r="B1396" s="706" t="s">
        <v>3078</v>
      </c>
      <c r="D1396" s="706" t="s">
        <v>1841</v>
      </c>
      <c r="H1396" s="1191"/>
      <c r="I1396" s="706" t="s">
        <v>2820</v>
      </c>
    </row>
    <row r="1397" spans="1:9">
      <c r="A1397" s="706">
        <v>105710</v>
      </c>
      <c r="B1397" s="706" t="s">
        <v>3079</v>
      </c>
      <c r="D1397" s="706" t="s">
        <v>1841</v>
      </c>
      <c r="H1397" s="1191"/>
      <c r="I1397" s="706" t="s">
        <v>2820</v>
      </c>
    </row>
    <row r="1398" spans="1:9">
      <c r="A1398" s="706">
        <v>105711</v>
      </c>
      <c r="B1398" s="706" t="s">
        <v>3080</v>
      </c>
      <c r="D1398" s="706" t="s">
        <v>1841</v>
      </c>
      <c r="H1398" s="1191"/>
      <c r="I1398" s="706" t="s">
        <v>2820</v>
      </c>
    </row>
    <row r="1399" spans="1:9">
      <c r="A1399" s="706">
        <v>105712</v>
      </c>
      <c r="B1399" s="706" t="s">
        <v>3081</v>
      </c>
      <c r="D1399" s="706" t="s">
        <v>1841</v>
      </c>
      <c r="H1399" s="1191"/>
      <c r="I1399" s="706" t="s">
        <v>2820</v>
      </c>
    </row>
    <row r="1400" spans="1:9">
      <c r="A1400" s="706">
        <v>105713</v>
      </c>
      <c r="B1400" s="706" t="s">
        <v>3082</v>
      </c>
      <c r="D1400" s="706" t="s">
        <v>1841</v>
      </c>
      <c r="H1400" s="1191"/>
      <c r="I1400" s="706" t="s">
        <v>2820</v>
      </c>
    </row>
    <row r="1401" spans="1:9">
      <c r="A1401" s="706">
        <v>105714</v>
      </c>
      <c r="B1401" s="706" t="s">
        <v>3083</v>
      </c>
      <c r="D1401" s="706" t="s">
        <v>1841</v>
      </c>
      <c r="H1401" s="1191"/>
      <c r="I1401" s="706" t="s">
        <v>2820</v>
      </c>
    </row>
    <row r="1402" spans="1:9">
      <c r="A1402" s="706">
        <v>105715</v>
      </c>
      <c r="B1402" s="706" t="s">
        <v>3084</v>
      </c>
      <c r="C1402" s="706" t="s">
        <v>8189</v>
      </c>
      <c r="D1402" s="706" t="s">
        <v>1841</v>
      </c>
      <c r="E1402" s="706">
        <v>18</v>
      </c>
      <c r="F1402" s="706" t="s">
        <v>28</v>
      </c>
      <c r="G1402" s="706">
        <v>411079</v>
      </c>
      <c r="H1402" s="1191">
        <v>45936</v>
      </c>
      <c r="I1402" s="706" t="s">
        <v>2820</v>
      </c>
    </row>
    <row r="1403" spans="1:9">
      <c r="A1403" s="706">
        <v>105716</v>
      </c>
      <c r="B1403" s="706" t="s">
        <v>3085</v>
      </c>
      <c r="C1403" s="706" t="s">
        <v>8189</v>
      </c>
      <c r="D1403" s="706" t="s">
        <v>1841</v>
      </c>
      <c r="E1403" s="706">
        <v>31</v>
      </c>
      <c r="F1403" s="706" t="s">
        <v>28</v>
      </c>
      <c r="G1403" s="706">
        <v>409830</v>
      </c>
      <c r="H1403" s="1191">
        <v>45701</v>
      </c>
      <c r="I1403" s="706" t="s">
        <v>2820</v>
      </c>
    </row>
    <row r="1404" spans="1:9">
      <c r="A1404" s="706">
        <v>105717</v>
      </c>
      <c r="B1404" s="706" t="s">
        <v>3086</v>
      </c>
      <c r="D1404" s="706" t="s">
        <v>1841</v>
      </c>
      <c r="H1404" s="1191"/>
      <c r="I1404" s="706" t="s">
        <v>2820</v>
      </c>
    </row>
    <row r="1405" spans="1:9">
      <c r="A1405" s="706">
        <v>105718</v>
      </c>
      <c r="B1405" s="706" t="s">
        <v>3087</v>
      </c>
      <c r="D1405" s="706" t="s">
        <v>1841</v>
      </c>
      <c r="H1405" s="1191"/>
      <c r="I1405" s="706" t="s">
        <v>2820</v>
      </c>
    </row>
    <row r="1406" spans="1:9">
      <c r="A1406" s="706">
        <v>105719</v>
      </c>
      <c r="B1406" s="706" t="s">
        <v>3088</v>
      </c>
      <c r="C1406" s="706" t="s">
        <v>8189</v>
      </c>
      <c r="D1406" s="706" t="s">
        <v>1841</v>
      </c>
      <c r="E1406" s="706">
        <v>19.75</v>
      </c>
      <c r="F1406" s="706" t="s">
        <v>28</v>
      </c>
      <c r="G1406" s="706">
        <v>405832</v>
      </c>
      <c r="H1406" s="1191">
        <v>44874</v>
      </c>
      <c r="I1406" s="706" t="s">
        <v>2820</v>
      </c>
    </row>
    <row r="1407" spans="1:9">
      <c r="A1407" s="706">
        <v>105720</v>
      </c>
      <c r="B1407" s="706" t="s">
        <v>3089</v>
      </c>
      <c r="D1407" s="706" t="s">
        <v>1841</v>
      </c>
      <c r="H1407" s="1191"/>
      <c r="I1407" s="706" t="s">
        <v>2820</v>
      </c>
    </row>
    <row r="1408" spans="1:9">
      <c r="A1408" s="706">
        <v>105721</v>
      </c>
      <c r="B1408" s="706" t="s">
        <v>3090</v>
      </c>
      <c r="D1408" s="706" t="s">
        <v>1841</v>
      </c>
      <c r="H1408" s="1191"/>
      <c r="I1408" s="706" t="s">
        <v>2820</v>
      </c>
    </row>
    <row r="1409" spans="1:9">
      <c r="A1409" s="706">
        <v>105722</v>
      </c>
      <c r="B1409" s="706" t="s">
        <v>3091</v>
      </c>
      <c r="D1409" s="706" t="s">
        <v>1841</v>
      </c>
      <c r="H1409" s="1191"/>
      <c r="I1409" s="706" t="s">
        <v>2820</v>
      </c>
    </row>
    <row r="1410" spans="1:9">
      <c r="A1410" s="706">
        <v>105723</v>
      </c>
      <c r="B1410" s="706" t="s">
        <v>3092</v>
      </c>
      <c r="C1410" s="706" t="s">
        <v>8189</v>
      </c>
      <c r="D1410" s="706" t="s">
        <v>1841</v>
      </c>
      <c r="E1410" s="706">
        <v>16.5</v>
      </c>
      <c r="F1410" s="706" t="s">
        <v>28</v>
      </c>
      <c r="G1410" s="706">
        <v>411558</v>
      </c>
      <c r="H1410" s="1191">
        <v>46037</v>
      </c>
      <c r="I1410" s="706" t="s">
        <v>2820</v>
      </c>
    </row>
    <row r="1411" spans="1:9">
      <c r="A1411" s="706">
        <v>105724</v>
      </c>
      <c r="B1411" s="706" t="s">
        <v>3093</v>
      </c>
      <c r="C1411" s="706" t="s">
        <v>8189</v>
      </c>
      <c r="D1411" s="706" t="s">
        <v>1841</v>
      </c>
      <c r="E1411" s="706">
        <v>16.666599999999999</v>
      </c>
      <c r="F1411" s="706" t="s">
        <v>28</v>
      </c>
      <c r="G1411" s="706">
        <v>405048</v>
      </c>
      <c r="H1411" s="1191">
        <v>44700</v>
      </c>
      <c r="I1411" s="706" t="s">
        <v>2820</v>
      </c>
    </row>
    <row r="1412" spans="1:9">
      <c r="A1412" s="706">
        <v>105725</v>
      </c>
      <c r="B1412" s="706" t="s">
        <v>3094</v>
      </c>
      <c r="D1412" s="706" t="s">
        <v>1841</v>
      </c>
      <c r="H1412" s="1191"/>
      <c r="I1412" s="706" t="s">
        <v>2820</v>
      </c>
    </row>
    <row r="1413" spans="1:9">
      <c r="A1413" s="706">
        <v>105726</v>
      </c>
      <c r="B1413" s="706" t="s">
        <v>3095</v>
      </c>
      <c r="D1413" s="706" t="s">
        <v>1841</v>
      </c>
      <c r="H1413" s="1191"/>
      <c r="I1413" s="706" t="s">
        <v>2820</v>
      </c>
    </row>
    <row r="1414" spans="1:9">
      <c r="A1414" s="706">
        <v>105727</v>
      </c>
      <c r="B1414" s="706" t="s">
        <v>3096</v>
      </c>
      <c r="D1414" s="706" t="s">
        <v>1841</v>
      </c>
      <c r="H1414" s="1191"/>
      <c r="I1414" s="706" t="s">
        <v>2820</v>
      </c>
    </row>
    <row r="1415" spans="1:9">
      <c r="A1415" s="706">
        <v>105728</v>
      </c>
      <c r="B1415" s="706" t="s">
        <v>3097</v>
      </c>
      <c r="D1415" s="706" t="s">
        <v>1841</v>
      </c>
      <c r="H1415" s="1191"/>
      <c r="I1415" s="706" t="s">
        <v>2820</v>
      </c>
    </row>
    <row r="1416" spans="1:9">
      <c r="A1416" s="706">
        <v>105729</v>
      </c>
      <c r="B1416" s="706" t="s">
        <v>3098</v>
      </c>
      <c r="D1416" s="706" t="s">
        <v>1841</v>
      </c>
      <c r="H1416" s="1191"/>
      <c r="I1416" s="706" t="s">
        <v>2820</v>
      </c>
    </row>
    <row r="1417" spans="1:9">
      <c r="A1417" s="706">
        <v>105730</v>
      </c>
      <c r="B1417" s="706" t="s">
        <v>3099</v>
      </c>
      <c r="C1417" s="706" t="s">
        <v>8189</v>
      </c>
      <c r="D1417" s="706" t="s">
        <v>1841</v>
      </c>
      <c r="E1417" s="706">
        <v>20</v>
      </c>
      <c r="F1417" s="706" t="s">
        <v>28</v>
      </c>
      <c r="G1417" s="706">
        <v>403332</v>
      </c>
      <c r="H1417" s="1191">
        <v>44364</v>
      </c>
      <c r="I1417" s="706" t="s">
        <v>2820</v>
      </c>
    </row>
    <row r="1418" spans="1:9">
      <c r="A1418" s="706">
        <v>105731</v>
      </c>
      <c r="B1418" s="706" t="s">
        <v>3100</v>
      </c>
      <c r="C1418" s="706" t="s">
        <v>8189</v>
      </c>
      <c r="D1418" s="706" t="s">
        <v>1841</v>
      </c>
      <c r="E1418" s="706">
        <v>12.75</v>
      </c>
      <c r="F1418" s="706" t="s">
        <v>28</v>
      </c>
      <c r="G1418" s="706">
        <v>410349</v>
      </c>
      <c r="H1418" s="1191">
        <v>45796</v>
      </c>
      <c r="I1418" s="706" t="s">
        <v>2820</v>
      </c>
    </row>
    <row r="1419" spans="1:9">
      <c r="A1419" s="706">
        <v>105732</v>
      </c>
      <c r="B1419" s="706" t="s">
        <v>3101</v>
      </c>
      <c r="D1419" s="706" t="s">
        <v>1841</v>
      </c>
      <c r="H1419" s="1191"/>
      <c r="I1419" s="706" t="s">
        <v>2820</v>
      </c>
    </row>
    <row r="1420" spans="1:9">
      <c r="A1420" s="706">
        <v>105733</v>
      </c>
      <c r="B1420" s="706" t="s">
        <v>3102</v>
      </c>
      <c r="D1420" s="706" t="s">
        <v>1841</v>
      </c>
      <c r="H1420" s="1191"/>
      <c r="I1420" s="706" t="s">
        <v>2820</v>
      </c>
    </row>
    <row r="1421" spans="1:9">
      <c r="A1421" s="706">
        <v>105734</v>
      </c>
      <c r="B1421" s="706" t="s">
        <v>3103</v>
      </c>
      <c r="C1421" s="706" t="s">
        <v>8189</v>
      </c>
      <c r="D1421" s="706" t="s">
        <v>1841</v>
      </c>
      <c r="E1421" s="706">
        <v>14</v>
      </c>
      <c r="F1421" s="706" t="s">
        <v>28</v>
      </c>
      <c r="G1421" s="706">
        <v>40100</v>
      </c>
      <c r="H1421" s="1191">
        <v>43882</v>
      </c>
      <c r="I1421" s="706" t="s">
        <v>2820</v>
      </c>
    </row>
    <row r="1422" spans="1:9">
      <c r="A1422" s="706">
        <v>105735</v>
      </c>
      <c r="B1422" s="706" t="s">
        <v>3104</v>
      </c>
      <c r="D1422" s="706" t="s">
        <v>1841</v>
      </c>
      <c r="H1422" s="1191"/>
      <c r="I1422" s="706" t="s">
        <v>2820</v>
      </c>
    </row>
    <row r="1423" spans="1:9">
      <c r="A1423" s="706">
        <v>105736</v>
      </c>
      <c r="B1423" s="706" t="s">
        <v>3105</v>
      </c>
      <c r="D1423" s="706" t="s">
        <v>1841</v>
      </c>
      <c r="H1423" s="1191"/>
      <c r="I1423" s="706" t="s">
        <v>2820</v>
      </c>
    </row>
    <row r="1424" spans="1:9">
      <c r="A1424" s="706">
        <v>105737</v>
      </c>
      <c r="B1424" s="706" t="s">
        <v>3106</v>
      </c>
      <c r="D1424" s="706" t="s">
        <v>1841</v>
      </c>
      <c r="H1424" s="1191"/>
      <c r="I1424" s="706" t="s">
        <v>2820</v>
      </c>
    </row>
    <row r="1425" spans="1:9">
      <c r="A1425" s="706">
        <v>105738</v>
      </c>
      <c r="B1425" s="706" t="s">
        <v>3107</v>
      </c>
      <c r="C1425" s="706" t="s">
        <v>8189</v>
      </c>
      <c r="D1425" s="706" t="s">
        <v>1841</v>
      </c>
      <c r="E1425" s="706">
        <v>25</v>
      </c>
      <c r="F1425" s="706" t="s">
        <v>28</v>
      </c>
      <c r="G1425" s="706">
        <v>410667</v>
      </c>
      <c r="H1425" s="1191">
        <v>45867</v>
      </c>
      <c r="I1425" s="706" t="s">
        <v>2820</v>
      </c>
    </row>
    <row r="1426" spans="1:9">
      <c r="A1426" s="706">
        <v>105739</v>
      </c>
      <c r="B1426" s="706" t="s">
        <v>3108</v>
      </c>
      <c r="C1426" s="706" t="s">
        <v>8189</v>
      </c>
      <c r="D1426" s="706" t="s">
        <v>1841</v>
      </c>
      <c r="E1426" s="706">
        <v>10.75</v>
      </c>
      <c r="F1426" s="706" t="s">
        <v>28</v>
      </c>
      <c r="G1426" s="706">
        <v>411775</v>
      </c>
      <c r="H1426" s="1191">
        <v>46072</v>
      </c>
      <c r="I1426" s="706" t="s">
        <v>2820</v>
      </c>
    </row>
    <row r="1427" spans="1:9">
      <c r="A1427" s="706">
        <v>105740</v>
      </c>
      <c r="B1427" s="706" t="s">
        <v>3109</v>
      </c>
      <c r="C1427" s="706" t="s">
        <v>8189</v>
      </c>
      <c r="D1427" s="706" t="s">
        <v>1841</v>
      </c>
      <c r="E1427" s="706">
        <v>10</v>
      </c>
      <c r="F1427" s="706" t="s">
        <v>28</v>
      </c>
      <c r="G1427" s="706">
        <v>410782</v>
      </c>
      <c r="H1427" s="1191">
        <v>45887</v>
      </c>
      <c r="I1427" s="706" t="s">
        <v>2820</v>
      </c>
    </row>
    <row r="1428" spans="1:9">
      <c r="A1428" s="706">
        <v>105741</v>
      </c>
      <c r="B1428" s="706" t="s">
        <v>3110</v>
      </c>
      <c r="D1428" s="706" t="s">
        <v>1841</v>
      </c>
      <c r="H1428" s="1191"/>
      <c r="I1428" s="706" t="s">
        <v>2820</v>
      </c>
    </row>
    <row r="1429" spans="1:9">
      <c r="A1429" s="706">
        <v>105742</v>
      </c>
      <c r="B1429" s="706" t="s">
        <v>3111</v>
      </c>
      <c r="D1429" s="706" t="s">
        <v>1841</v>
      </c>
      <c r="H1429" s="1191"/>
      <c r="I1429" s="706" t="s">
        <v>2820</v>
      </c>
    </row>
    <row r="1430" spans="1:9">
      <c r="A1430" s="706">
        <v>105743</v>
      </c>
      <c r="B1430" s="706" t="s">
        <v>3112</v>
      </c>
      <c r="D1430" s="706" t="s">
        <v>1841</v>
      </c>
      <c r="H1430" s="1191"/>
      <c r="I1430" s="706" t="s">
        <v>2820</v>
      </c>
    </row>
    <row r="1431" spans="1:9">
      <c r="A1431" s="706">
        <v>105744</v>
      </c>
      <c r="B1431" s="706" t="s">
        <v>3113</v>
      </c>
      <c r="D1431" s="706" t="s">
        <v>1841</v>
      </c>
      <c r="H1431" s="1191"/>
      <c r="I1431" s="706" t="s">
        <v>2820</v>
      </c>
    </row>
    <row r="1432" spans="1:9">
      <c r="A1432" s="706">
        <v>105745</v>
      </c>
      <c r="B1432" s="706" t="s">
        <v>3114</v>
      </c>
      <c r="D1432" s="706" t="s">
        <v>1841</v>
      </c>
      <c r="H1432" s="1191"/>
      <c r="I1432" s="706" t="s">
        <v>2820</v>
      </c>
    </row>
    <row r="1433" spans="1:9">
      <c r="A1433" s="706">
        <v>105746</v>
      </c>
      <c r="B1433" s="706" t="s">
        <v>3115</v>
      </c>
      <c r="C1433" s="706" t="s">
        <v>8189</v>
      </c>
      <c r="D1433" s="706" t="s">
        <v>1841</v>
      </c>
      <c r="E1433" s="706">
        <v>14.5</v>
      </c>
      <c r="F1433" s="706" t="s">
        <v>28</v>
      </c>
      <c r="G1433" s="706">
        <v>411292</v>
      </c>
      <c r="H1433" s="1191">
        <v>45980</v>
      </c>
      <c r="I1433" s="706" t="s">
        <v>2820</v>
      </c>
    </row>
    <row r="1434" spans="1:9">
      <c r="A1434" s="706">
        <v>105747</v>
      </c>
      <c r="B1434" s="706" t="s">
        <v>3116</v>
      </c>
      <c r="C1434" s="706" t="s">
        <v>8189</v>
      </c>
      <c r="D1434" s="706" t="s">
        <v>1841</v>
      </c>
      <c r="E1434" s="706">
        <v>9.25</v>
      </c>
      <c r="F1434" s="706" t="s">
        <v>28</v>
      </c>
      <c r="G1434" s="706">
        <v>411816</v>
      </c>
      <c r="H1434" s="1191">
        <v>46078</v>
      </c>
      <c r="I1434" s="706" t="s">
        <v>2820</v>
      </c>
    </row>
    <row r="1435" spans="1:9">
      <c r="A1435" s="706">
        <v>105748</v>
      </c>
      <c r="B1435" s="706" t="s">
        <v>3117</v>
      </c>
      <c r="C1435" s="706" t="s">
        <v>8189</v>
      </c>
      <c r="D1435" s="706" t="s">
        <v>1841</v>
      </c>
      <c r="E1435" s="706">
        <v>27.5</v>
      </c>
      <c r="F1435" s="706" t="s">
        <v>28</v>
      </c>
      <c r="G1435" s="706">
        <v>410481</v>
      </c>
      <c r="H1435" s="1191">
        <v>45821</v>
      </c>
      <c r="I1435" s="706" t="s">
        <v>2820</v>
      </c>
    </row>
    <row r="1436" spans="1:9">
      <c r="A1436" s="706">
        <v>105749</v>
      </c>
      <c r="B1436" s="706" t="s">
        <v>3118</v>
      </c>
      <c r="D1436" s="706" t="s">
        <v>1841</v>
      </c>
      <c r="H1436" s="1191"/>
      <c r="I1436" s="706" t="s">
        <v>2820</v>
      </c>
    </row>
    <row r="1437" spans="1:9">
      <c r="A1437" s="706">
        <v>105750</v>
      </c>
      <c r="B1437" s="706" t="s">
        <v>3119</v>
      </c>
      <c r="C1437" s="706" t="s">
        <v>8189</v>
      </c>
      <c r="D1437" s="706" t="s">
        <v>1841</v>
      </c>
      <c r="E1437" s="706">
        <v>10</v>
      </c>
      <c r="F1437" s="706" t="s">
        <v>28</v>
      </c>
      <c r="G1437" s="706">
        <v>401883</v>
      </c>
      <c r="H1437" s="1191">
        <v>44130</v>
      </c>
      <c r="I1437" s="706" t="s">
        <v>2820</v>
      </c>
    </row>
    <row r="1438" spans="1:9">
      <c r="A1438" s="706">
        <v>105751</v>
      </c>
      <c r="B1438" s="706" t="s">
        <v>3120</v>
      </c>
      <c r="C1438" s="706" t="s">
        <v>8189</v>
      </c>
      <c r="D1438" s="706" t="s">
        <v>1841</v>
      </c>
      <c r="E1438" s="706">
        <v>9.1989000000000001</v>
      </c>
      <c r="F1438" s="706" t="s">
        <v>28</v>
      </c>
      <c r="G1438" s="706">
        <v>410232</v>
      </c>
      <c r="H1438" s="1191">
        <v>45775</v>
      </c>
      <c r="I1438" s="706" t="s">
        <v>2820</v>
      </c>
    </row>
    <row r="1439" spans="1:9">
      <c r="A1439" s="706">
        <v>105752</v>
      </c>
      <c r="B1439" s="706" t="s">
        <v>3121</v>
      </c>
      <c r="C1439" s="706" t="s">
        <v>8189</v>
      </c>
      <c r="D1439" s="706" t="s">
        <v>1841</v>
      </c>
      <c r="E1439" s="706">
        <v>5</v>
      </c>
      <c r="F1439" s="706" t="s">
        <v>28</v>
      </c>
      <c r="G1439" s="706">
        <v>401024</v>
      </c>
      <c r="H1439" s="1191">
        <v>44029</v>
      </c>
      <c r="I1439" s="706" t="s">
        <v>2820</v>
      </c>
    </row>
    <row r="1440" spans="1:9">
      <c r="A1440" s="706">
        <v>105753</v>
      </c>
      <c r="B1440" s="706" t="s">
        <v>3122</v>
      </c>
      <c r="D1440" s="706" t="s">
        <v>1841</v>
      </c>
      <c r="H1440" s="1191"/>
      <c r="I1440" s="706" t="s">
        <v>2820</v>
      </c>
    </row>
    <row r="1441" spans="1:9">
      <c r="A1441" s="706">
        <v>105754</v>
      </c>
      <c r="B1441" s="706" t="s">
        <v>3123</v>
      </c>
      <c r="D1441" s="706" t="s">
        <v>1841</v>
      </c>
      <c r="H1441" s="1191"/>
      <c r="I1441" s="706" t="s">
        <v>2820</v>
      </c>
    </row>
    <row r="1442" spans="1:9">
      <c r="A1442" s="706">
        <v>105755</v>
      </c>
      <c r="B1442" s="706" t="s">
        <v>3124</v>
      </c>
      <c r="D1442" s="706" t="s">
        <v>1841</v>
      </c>
      <c r="H1442" s="1191"/>
      <c r="I1442" s="706" t="s">
        <v>2820</v>
      </c>
    </row>
    <row r="1443" spans="1:9">
      <c r="A1443" s="706">
        <v>105756</v>
      </c>
      <c r="B1443" s="706" t="s">
        <v>3125</v>
      </c>
      <c r="D1443" s="706" t="s">
        <v>1841</v>
      </c>
      <c r="H1443" s="1191"/>
      <c r="I1443" s="706" t="s">
        <v>2820</v>
      </c>
    </row>
    <row r="1444" spans="1:9">
      <c r="A1444" s="706">
        <v>105757</v>
      </c>
      <c r="B1444" s="706" t="s">
        <v>3126</v>
      </c>
      <c r="D1444" s="706" t="s">
        <v>1841</v>
      </c>
      <c r="H1444" s="1191"/>
      <c r="I1444" s="706" t="s">
        <v>2820</v>
      </c>
    </row>
    <row r="1445" spans="1:9">
      <c r="A1445" s="706">
        <v>105758</v>
      </c>
      <c r="B1445" s="706" t="s">
        <v>3127</v>
      </c>
      <c r="D1445" s="706" t="s">
        <v>1841</v>
      </c>
      <c r="H1445" s="1191"/>
      <c r="I1445" s="706" t="s">
        <v>2820</v>
      </c>
    </row>
    <row r="1446" spans="1:9">
      <c r="A1446" s="706">
        <v>105759</v>
      </c>
      <c r="B1446" s="706" t="s">
        <v>3128</v>
      </c>
      <c r="D1446" s="706" t="s">
        <v>1841</v>
      </c>
      <c r="H1446" s="1191"/>
      <c r="I1446" s="706" t="s">
        <v>2820</v>
      </c>
    </row>
    <row r="1447" spans="1:9">
      <c r="A1447" s="706">
        <v>105760</v>
      </c>
      <c r="B1447" s="706" t="s">
        <v>3129</v>
      </c>
      <c r="D1447" s="706" t="s">
        <v>1841</v>
      </c>
      <c r="H1447" s="1191"/>
      <c r="I1447" s="706" t="s">
        <v>2820</v>
      </c>
    </row>
    <row r="1448" spans="1:9">
      <c r="A1448" s="706">
        <v>105761</v>
      </c>
      <c r="B1448" s="706" t="s">
        <v>3130</v>
      </c>
      <c r="D1448" s="706" t="s">
        <v>1841</v>
      </c>
      <c r="H1448" s="1191"/>
      <c r="I1448" s="706" t="s">
        <v>2820</v>
      </c>
    </row>
    <row r="1449" spans="1:9">
      <c r="A1449" s="706">
        <v>105762</v>
      </c>
      <c r="B1449" s="706" t="s">
        <v>3131</v>
      </c>
      <c r="C1449" s="706" t="s">
        <v>8189</v>
      </c>
      <c r="D1449" s="706" t="s">
        <v>1841</v>
      </c>
      <c r="E1449" s="706">
        <v>15</v>
      </c>
      <c r="F1449" s="706" t="s">
        <v>28</v>
      </c>
      <c r="G1449" s="706">
        <v>408538</v>
      </c>
      <c r="H1449" s="1191">
        <v>45428</v>
      </c>
      <c r="I1449" s="706" t="s">
        <v>2820</v>
      </c>
    </row>
    <row r="1450" spans="1:9">
      <c r="A1450" s="706">
        <v>105763</v>
      </c>
      <c r="B1450" s="706" t="s">
        <v>3132</v>
      </c>
      <c r="C1450" s="706" t="s">
        <v>8189</v>
      </c>
      <c r="D1450" s="706" t="s">
        <v>1841</v>
      </c>
      <c r="E1450" s="706">
        <v>6.17</v>
      </c>
      <c r="F1450" s="706" t="s">
        <v>28</v>
      </c>
      <c r="G1450" s="706">
        <v>402593</v>
      </c>
      <c r="H1450" s="1191">
        <v>44250</v>
      </c>
      <c r="I1450" s="706" t="s">
        <v>2820</v>
      </c>
    </row>
    <row r="1451" spans="1:9">
      <c r="A1451" s="706">
        <v>105764</v>
      </c>
      <c r="B1451" s="706" t="s">
        <v>3133</v>
      </c>
      <c r="D1451" s="706" t="s">
        <v>1841</v>
      </c>
      <c r="H1451" s="1191"/>
      <c r="I1451" s="706" t="s">
        <v>2820</v>
      </c>
    </row>
    <row r="1452" spans="1:9">
      <c r="A1452" s="706">
        <v>105765</v>
      </c>
      <c r="B1452" s="706" t="s">
        <v>3134</v>
      </c>
      <c r="D1452" s="706" t="s">
        <v>1841</v>
      </c>
      <c r="H1452" s="1191"/>
      <c r="I1452" s="706" t="s">
        <v>2820</v>
      </c>
    </row>
    <row r="1453" spans="1:9">
      <c r="A1453" s="706">
        <v>105766</v>
      </c>
      <c r="B1453" s="706" t="s">
        <v>3135</v>
      </c>
      <c r="D1453" s="706" t="s">
        <v>1841</v>
      </c>
      <c r="H1453" s="1191"/>
      <c r="I1453" s="706" t="s">
        <v>2820</v>
      </c>
    </row>
    <row r="1454" spans="1:9">
      <c r="A1454" s="706">
        <v>105767</v>
      </c>
      <c r="B1454" s="706" t="s">
        <v>3136</v>
      </c>
      <c r="C1454" s="706" t="s">
        <v>8189</v>
      </c>
      <c r="D1454" s="706" t="s">
        <v>1841</v>
      </c>
      <c r="E1454" s="706">
        <v>5.24</v>
      </c>
      <c r="F1454" s="706" t="s">
        <v>28</v>
      </c>
      <c r="G1454" s="706">
        <v>400418</v>
      </c>
      <c r="H1454" s="1191">
        <v>43958</v>
      </c>
      <c r="I1454" s="706" t="s">
        <v>2820</v>
      </c>
    </row>
    <row r="1455" spans="1:9">
      <c r="A1455" s="706">
        <v>105768</v>
      </c>
      <c r="B1455" s="706" t="s">
        <v>3137</v>
      </c>
      <c r="D1455" s="706" t="s">
        <v>1841</v>
      </c>
      <c r="H1455" s="1191"/>
      <c r="I1455" s="706" t="s">
        <v>2820</v>
      </c>
    </row>
    <row r="1456" spans="1:9">
      <c r="A1456" s="706">
        <v>105769</v>
      </c>
      <c r="B1456" s="706" t="s">
        <v>3138</v>
      </c>
      <c r="D1456" s="706" t="s">
        <v>1841</v>
      </c>
      <c r="H1456" s="1191"/>
      <c r="I1456" s="706" t="s">
        <v>2820</v>
      </c>
    </row>
    <row r="1457" spans="1:9">
      <c r="A1457" s="706">
        <v>105770</v>
      </c>
      <c r="B1457" s="706" t="s">
        <v>3139</v>
      </c>
      <c r="D1457" s="706" t="s">
        <v>1841</v>
      </c>
      <c r="H1457" s="1191"/>
      <c r="I1457" s="706" t="s">
        <v>2820</v>
      </c>
    </row>
    <row r="1458" spans="1:9">
      <c r="A1458" s="706">
        <v>105771</v>
      </c>
      <c r="B1458" s="706" t="s">
        <v>3140</v>
      </c>
      <c r="C1458" s="706" t="s">
        <v>8189</v>
      </c>
      <c r="D1458" s="706" t="s">
        <v>1841</v>
      </c>
      <c r="E1458" s="706">
        <v>9</v>
      </c>
      <c r="F1458" s="706" t="s">
        <v>28</v>
      </c>
      <c r="G1458" s="706">
        <v>411523</v>
      </c>
      <c r="H1458" s="1191">
        <v>46034</v>
      </c>
      <c r="I1458" s="706" t="s">
        <v>2820</v>
      </c>
    </row>
    <row r="1459" spans="1:9">
      <c r="A1459" s="706">
        <v>105772</v>
      </c>
      <c r="B1459" s="706" t="s">
        <v>3141</v>
      </c>
      <c r="D1459" s="706" t="s">
        <v>1841</v>
      </c>
      <c r="H1459" s="1191"/>
      <c r="I1459" s="706" t="s">
        <v>2820</v>
      </c>
    </row>
    <row r="1460" spans="1:9">
      <c r="A1460" s="706">
        <v>105773</v>
      </c>
      <c r="B1460" s="706" t="s">
        <v>3142</v>
      </c>
      <c r="D1460" s="706" t="s">
        <v>1841</v>
      </c>
      <c r="H1460" s="1191"/>
      <c r="I1460" s="706" t="s">
        <v>2820</v>
      </c>
    </row>
    <row r="1461" spans="1:9">
      <c r="A1461" s="706">
        <v>105774</v>
      </c>
      <c r="B1461" s="706" t="s">
        <v>3143</v>
      </c>
      <c r="D1461" s="706" t="s">
        <v>1841</v>
      </c>
      <c r="H1461" s="1191"/>
      <c r="I1461" s="706" t="s">
        <v>2820</v>
      </c>
    </row>
    <row r="1462" spans="1:9">
      <c r="A1462" s="706">
        <v>105775</v>
      </c>
      <c r="B1462" s="706" t="s">
        <v>3144</v>
      </c>
      <c r="D1462" s="706" t="s">
        <v>1841</v>
      </c>
      <c r="H1462" s="1191"/>
      <c r="I1462" s="706" t="s">
        <v>2820</v>
      </c>
    </row>
    <row r="1463" spans="1:9">
      <c r="A1463" s="706">
        <v>105776</v>
      </c>
      <c r="B1463" s="706" t="s">
        <v>3145</v>
      </c>
      <c r="D1463" s="706" t="s">
        <v>1841</v>
      </c>
      <c r="H1463" s="1191"/>
      <c r="I1463" s="706" t="s">
        <v>2820</v>
      </c>
    </row>
    <row r="1464" spans="1:9">
      <c r="A1464" s="706">
        <v>105777</v>
      </c>
      <c r="B1464" s="706" t="s">
        <v>3146</v>
      </c>
      <c r="D1464" s="706" t="s">
        <v>1841</v>
      </c>
      <c r="H1464" s="1191"/>
      <c r="I1464" s="706" t="s">
        <v>2820</v>
      </c>
    </row>
    <row r="1465" spans="1:9">
      <c r="A1465" s="706">
        <v>105778</v>
      </c>
      <c r="B1465" s="706" t="s">
        <v>3147</v>
      </c>
      <c r="D1465" s="706" t="s">
        <v>1841</v>
      </c>
      <c r="H1465" s="1191"/>
      <c r="I1465" s="706" t="s">
        <v>2820</v>
      </c>
    </row>
    <row r="1466" spans="1:9">
      <c r="A1466" s="706">
        <v>105779</v>
      </c>
      <c r="B1466" s="706" t="s">
        <v>3148</v>
      </c>
      <c r="C1466" s="706" t="s">
        <v>8189</v>
      </c>
      <c r="D1466" s="706" t="s">
        <v>1841</v>
      </c>
      <c r="E1466" s="706">
        <v>0</v>
      </c>
      <c r="F1466" s="706" t="s">
        <v>28</v>
      </c>
      <c r="G1466" s="706">
        <v>409810</v>
      </c>
      <c r="H1466" s="1191">
        <v>45699</v>
      </c>
      <c r="I1466" s="706" t="s">
        <v>2820</v>
      </c>
    </row>
    <row r="1467" spans="1:9">
      <c r="A1467" s="706">
        <v>105780</v>
      </c>
      <c r="B1467" s="706" t="s">
        <v>3149</v>
      </c>
      <c r="C1467" s="706" t="s">
        <v>8189</v>
      </c>
      <c r="D1467" s="706" t="s">
        <v>1841</v>
      </c>
      <c r="E1467" s="706">
        <v>45</v>
      </c>
      <c r="F1467" s="706" t="s">
        <v>28</v>
      </c>
      <c r="G1467" s="706">
        <v>410230</v>
      </c>
      <c r="H1467" s="1191">
        <v>45772</v>
      </c>
      <c r="I1467" s="706" t="s">
        <v>2820</v>
      </c>
    </row>
    <row r="1468" spans="1:9">
      <c r="A1468" s="706">
        <v>105781</v>
      </c>
      <c r="B1468" s="706" t="s">
        <v>3150</v>
      </c>
      <c r="D1468" s="706" t="s">
        <v>1841</v>
      </c>
      <c r="H1468" s="1191"/>
      <c r="I1468" s="706" t="s">
        <v>2820</v>
      </c>
    </row>
    <row r="1469" spans="1:9">
      <c r="A1469" s="706">
        <v>105782</v>
      </c>
      <c r="B1469" s="706" t="s">
        <v>3151</v>
      </c>
      <c r="C1469" s="706" t="s">
        <v>8189</v>
      </c>
      <c r="D1469" s="706" t="s">
        <v>1841</v>
      </c>
      <c r="E1469" s="706">
        <v>17.985600000000002</v>
      </c>
      <c r="F1469" s="706" t="s">
        <v>28</v>
      </c>
      <c r="G1469" s="706">
        <v>405832</v>
      </c>
      <c r="H1469" s="1191">
        <v>44874</v>
      </c>
      <c r="I1469" s="706" t="s">
        <v>2820</v>
      </c>
    </row>
    <row r="1470" spans="1:9">
      <c r="A1470" s="706">
        <v>105783</v>
      </c>
      <c r="B1470" s="706" t="s">
        <v>3152</v>
      </c>
      <c r="C1470" s="706" t="s">
        <v>8189</v>
      </c>
      <c r="D1470" s="706" t="s">
        <v>1841</v>
      </c>
      <c r="E1470" s="706">
        <v>3.12</v>
      </c>
      <c r="F1470" s="706" t="s">
        <v>28</v>
      </c>
      <c r="G1470" s="706">
        <v>401083</v>
      </c>
      <c r="H1470" s="1191">
        <v>44035</v>
      </c>
      <c r="I1470" s="706" t="s">
        <v>2820</v>
      </c>
    </row>
    <row r="1471" spans="1:9">
      <c r="A1471" s="706">
        <v>105784</v>
      </c>
      <c r="B1471" s="706" t="s">
        <v>3153</v>
      </c>
      <c r="C1471" s="706" t="s">
        <v>8189</v>
      </c>
      <c r="D1471" s="706" t="s">
        <v>1841</v>
      </c>
      <c r="E1471" s="706">
        <v>27.5</v>
      </c>
      <c r="F1471" s="706" t="s">
        <v>28</v>
      </c>
      <c r="G1471" s="706">
        <v>405832</v>
      </c>
      <c r="H1471" s="1191">
        <v>44874</v>
      </c>
      <c r="I1471" s="706" t="s">
        <v>2820</v>
      </c>
    </row>
    <row r="1472" spans="1:9">
      <c r="A1472" s="706">
        <v>105785</v>
      </c>
      <c r="B1472" s="706" t="s">
        <v>3154</v>
      </c>
      <c r="C1472" s="706" t="s">
        <v>8189</v>
      </c>
      <c r="D1472" s="706" t="s">
        <v>1841</v>
      </c>
      <c r="E1472" s="706">
        <v>8.6</v>
      </c>
      <c r="F1472" s="706" t="s">
        <v>28</v>
      </c>
      <c r="G1472" s="706">
        <v>407419</v>
      </c>
      <c r="H1472" s="1191">
        <v>45229</v>
      </c>
      <c r="I1472" s="706" t="s">
        <v>2820</v>
      </c>
    </row>
    <row r="1473" spans="1:9">
      <c r="A1473" s="706">
        <v>105786</v>
      </c>
      <c r="B1473" s="706" t="s">
        <v>3155</v>
      </c>
      <c r="D1473" s="706" t="s">
        <v>1841</v>
      </c>
      <c r="H1473" s="1191"/>
      <c r="I1473" s="706" t="s">
        <v>2820</v>
      </c>
    </row>
    <row r="1474" spans="1:9">
      <c r="A1474" s="706">
        <v>105787</v>
      </c>
      <c r="B1474" s="706" t="s">
        <v>3156</v>
      </c>
      <c r="D1474" s="706" t="s">
        <v>1841</v>
      </c>
      <c r="H1474" s="1191"/>
      <c r="I1474" s="706" t="s">
        <v>2820</v>
      </c>
    </row>
    <row r="1475" spans="1:9">
      <c r="A1475" s="706">
        <v>105788</v>
      </c>
      <c r="B1475" s="706" t="s">
        <v>3157</v>
      </c>
      <c r="D1475" s="706" t="s">
        <v>1841</v>
      </c>
      <c r="H1475" s="1191"/>
      <c r="I1475" s="706" t="s">
        <v>2820</v>
      </c>
    </row>
    <row r="1476" spans="1:9">
      <c r="A1476" s="706">
        <v>105789</v>
      </c>
      <c r="B1476" s="706" t="s">
        <v>3158</v>
      </c>
      <c r="D1476" s="706" t="s">
        <v>1841</v>
      </c>
      <c r="H1476" s="1191"/>
      <c r="I1476" s="706" t="s">
        <v>2820</v>
      </c>
    </row>
    <row r="1477" spans="1:9">
      <c r="A1477" s="706">
        <v>105790</v>
      </c>
      <c r="B1477" s="706" t="s">
        <v>3159</v>
      </c>
      <c r="D1477" s="706" t="s">
        <v>1841</v>
      </c>
      <c r="H1477" s="1191"/>
      <c r="I1477" s="706" t="s">
        <v>2820</v>
      </c>
    </row>
    <row r="1478" spans="1:9">
      <c r="A1478" s="706">
        <v>105791</v>
      </c>
      <c r="B1478" s="706" t="s">
        <v>3160</v>
      </c>
      <c r="D1478" s="706" t="s">
        <v>1841</v>
      </c>
      <c r="H1478" s="1191"/>
      <c r="I1478" s="706" t="s">
        <v>2820</v>
      </c>
    </row>
    <row r="1479" spans="1:9">
      <c r="A1479" s="706">
        <v>105792</v>
      </c>
      <c r="B1479" s="706" t="s">
        <v>3161</v>
      </c>
      <c r="D1479" s="706" t="s">
        <v>1841</v>
      </c>
      <c r="H1479" s="1191"/>
      <c r="I1479" s="706" t="s">
        <v>2820</v>
      </c>
    </row>
    <row r="1480" spans="1:9">
      <c r="A1480" s="706">
        <v>105793</v>
      </c>
      <c r="B1480" s="706" t="s">
        <v>3162</v>
      </c>
      <c r="D1480" s="706" t="s">
        <v>1841</v>
      </c>
      <c r="H1480" s="1191"/>
      <c r="I1480" s="706" t="s">
        <v>2820</v>
      </c>
    </row>
    <row r="1481" spans="1:9">
      <c r="A1481" s="706">
        <v>105794</v>
      </c>
      <c r="B1481" s="706" t="s">
        <v>3163</v>
      </c>
      <c r="D1481" s="706" t="s">
        <v>1841</v>
      </c>
      <c r="H1481" s="1191"/>
      <c r="I1481" s="706" t="s">
        <v>2820</v>
      </c>
    </row>
    <row r="1482" spans="1:9">
      <c r="A1482" s="706">
        <v>105795</v>
      </c>
      <c r="B1482" s="706" t="s">
        <v>3164</v>
      </c>
      <c r="C1482" s="706" t="s">
        <v>8189</v>
      </c>
      <c r="D1482" s="706" t="s">
        <v>1841</v>
      </c>
      <c r="E1482" s="706">
        <v>6</v>
      </c>
      <c r="F1482" s="706" t="s">
        <v>28</v>
      </c>
      <c r="G1482" s="706">
        <v>411115</v>
      </c>
      <c r="H1482" s="1191">
        <v>45944</v>
      </c>
      <c r="I1482" s="706" t="s">
        <v>2820</v>
      </c>
    </row>
    <row r="1483" spans="1:9">
      <c r="A1483" s="706">
        <v>105796</v>
      </c>
      <c r="B1483" s="706" t="s">
        <v>3165</v>
      </c>
      <c r="D1483" s="706" t="s">
        <v>1841</v>
      </c>
      <c r="H1483" s="1191"/>
      <c r="I1483" s="706" t="s">
        <v>2820</v>
      </c>
    </row>
    <row r="1484" spans="1:9">
      <c r="A1484" s="706">
        <v>105797</v>
      </c>
      <c r="B1484" s="706" t="s">
        <v>3166</v>
      </c>
      <c r="D1484" s="706" t="s">
        <v>1841</v>
      </c>
      <c r="H1484" s="1191"/>
      <c r="I1484" s="706" t="s">
        <v>2820</v>
      </c>
    </row>
    <row r="1485" spans="1:9">
      <c r="A1485" s="706">
        <v>105798</v>
      </c>
      <c r="B1485" s="706" t="s">
        <v>3167</v>
      </c>
      <c r="C1485" s="706" t="s">
        <v>8189</v>
      </c>
      <c r="D1485" s="706" t="s">
        <v>1841</v>
      </c>
      <c r="E1485" s="706">
        <v>6</v>
      </c>
      <c r="F1485" s="706" t="s">
        <v>28</v>
      </c>
      <c r="G1485" s="706">
        <v>402960</v>
      </c>
      <c r="H1485" s="1191">
        <v>44308</v>
      </c>
      <c r="I1485" s="706" t="s">
        <v>2820</v>
      </c>
    </row>
    <row r="1486" spans="1:9">
      <c r="A1486" s="706">
        <v>105799</v>
      </c>
      <c r="B1486" s="706" t="s">
        <v>3168</v>
      </c>
      <c r="C1486" s="706" t="s">
        <v>8189</v>
      </c>
      <c r="D1486" s="706" t="s">
        <v>1841</v>
      </c>
      <c r="E1486" s="706">
        <v>5</v>
      </c>
      <c r="F1486" s="706" t="s">
        <v>28</v>
      </c>
      <c r="G1486" s="706">
        <v>408088</v>
      </c>
      <c r="H1486" s="1191">
        <v>45355</v>
      </c>
      <c r="I1486" s="706" t="s">
        <v>2820</v>
      </c>
    </row>
    <row r="1487" spans="1:9">
      <c r="A1487" s="706">
        <v>105800</v>
      </c>
      <c r="B1487" s="706" t="s">
        <v>3169</v>
      </c>
      <c r="D1487" s="706" t="s">
        <v>1841</v>
      </c>
      <c r="H1487" s="1191"/>
      <c r="I1487" s="706" t="s">
        <v>2820</v>
      </c>
    </row>
    <row r="1488" spans="1:9">
      <c r="A1488" s="706">
        <v>105854</v>
      </c>
      <c r="B1488" s="706" t="s">
        <v>3170</v>
      </c>
      <c r="C1488" s="706" t="s">
        <v>8189</v>
      </c>
      <c r="D1488" s="706" t="s">
        <v>1841</v>
      </c>
      <c r="E1488" s="706">
        <v>28</v>
      </c>
      <c r="F1488" s="706" t="s">
        <v>28</v>
      </c>
      <c r="G1488" s="706">
        <v>408476</v>
      </c>
      <c r="H1488" s="1191">
        <v>45419</v>
      </c>
      <c r="I1488" s="706" t="s">
        <v>2820</v>
      </c>
    </row>
    <row r="1489" spans="1:9">
      <c r="A1489" s="706">
        <v>106582</v>
      </c>
      <c r="B1489" s="706" t="s">
        <v>3171</v>
      </c>
      <c r="C1489" s="706" t="s">
        <v>8189</v>
      </c>
      <c r="D1489" s="706" t="s">
        <v>1841</v>
      </c>
      <c r="E1489" s="706">
        <v>31.666599999999999</v>
      </c>
      <c r="F1489" s="706" t="s">
        <v>28</v>
      </c>
      <c r="G1489" s="706">
        <v>404887</v>
      </c>
      <c r="H1489" s="1191">
        <v>44669</v>
      </c>
      <c r="I1489" s="706" t="s">
        <v>1993</v>
      </c>
    </row>
    <row r="1490" spans="1:9">
      <c r="A1490" s="706">
        <v>106583</v>
      </c>
      <c r="B1490" s="706" t="s">
        <v>3172</v>
      </c>
      <c r="D1490" s="706" t="s">
        <v>1841</v>
      </c>
      <c r="H1490" s="1191"/>
      <c r="I1490" s="706" t="s">
        <v>1993</v>
      </c>
    </row>
    <row r="1491" spans="1:9">
      <c r="A1491" s="706">
        <v>106584</v>
      </c>
      <c r="B1491" s="706" t="s">
        <v>3173</v>
      </c>
      <c r="D1491" s="706" t="s">
        <v>1841</v>
      </c>
      <c r="H1491" s="1191"/>
      <c r="I1491" s="706" t="s">
        <v>1993</v>
      </c>
    </row>
    <row r="1492" spans="1:9">
      <c r="A1492" s="706">
        <v>106585</v>
      </c>
      <c r="B1492" s="706" t="s">
        <v>3174</v>
      </c>
      <c r="D1492" s="706" t="s">
        <v>1841</v>
      </c>
      <c r="H1492" s="1191"/>
      <c r="I1492" s="706" t="s">
        <v>1993</v>
      </c>
    </row>
    <row r="1493" spans="1:9">
      <c r="A1493" s="706">
        <v>106586</v>
      </c>
      <c r="B1493" s="706" t="s">
        <v>3175</v>
      </c>
      <c r="D1493" s="706" t="s">
        <v>1841</v>
      </c>
      <c r="H1493" s="1191"/>
      <c r="I1493" s="706" t="s">
        <v>1993</v>
      </c>
    </row>
    <row r="1494" spans="1:9">
      <c r="A1494" s="706">
        <v>106587</v>
      </c>
      <c r="B1494" s="706" t="s">
        <v>3176</v>
      </c>
      <c r="C1494" s="706" t="s">
        <v>2036</v>
      </c>
      <c r="D1494" s="706" t="s">
        <v>1841</v>
      </c>
      <c r="E1494" s="706">
        <v>11.345599999999999</v>
      </c>
      <c r="F1494" s="706" t="s">
        <v>28</v>
      </c>
      <c r="G1494" s="706">
        <v>406012</v>
      </c>
      <c r="H1494" s="1191">
        <v>44931</v>
      </c>
      <c r="I1494" s="706" t="s">
        <v>1993</v>
      </c>
    </row>
    <row r="1495" spans="1:9">
      <c r="A1495" s="706">
        <v>106588</v>
      </c>
      <c r="B1495" s="706" t="s">
        <v>3177</v>
      </c>
      <c r="D1495" s="706" t="s">
        <v>1841</v>
      </c>
      <c r="H1495" s="1191"/>
      <c r="I1495" s="706" t="s">
        <v>1993</v>
      </c>
    </row>
    <row r="1496" spans="1:9">
      <c r="A1496" s="706">
        <v>106589</v>
      </c>
      <c r="B1496" s="706" t="s">
        <v>3178</v>
      </c>
      <c r="D1496" s="706" t="s">
        <v>1841</v>
      </c>
      <c r="H1496" s="1191"/>
      <c r="I1496" s="706" t="s">
        <v>1993</v>
      </c>
    </row>
    <row r="1497" spans="1:9">
      <c r="A1497" s="706">
        <v>106590</v>
      </c>
      <c r="B1497" s="706" t="s">
        <v>3179</v>
      </c>
      <c r="D1497" s="706" t="s">
        <v>1841</v>
      </c>
      <c r="H1497" s="1191"/>
      <c r="I1497" s="706" t="s">
        <v>1993</v>
      </c>
    </row>
    <row r="1498" spans="1:9">
      <c r="A1498" s="706">
        <v>106591</v>
      </c>
      <c r="B1498" s="706" t="s">
        <v>3180</v>
      </c>
      <c r="D1498" s="706" t="s">
        <v>1841</v>
      </c>
      <c r="H1498" s="1191"/>
      <c r="I1498" s="706" t="s">
        <v>1993</v>
      </c>
    </row>
    <row r="1499" spans="1:9">
      <c r="A1499" s="706">
        <v>106592</v>
      </c>
      <c r="B1499" s="706" t="s">
        <v>3181</v>
      </c>
      <c r="D1499" s="706" t="s">
        <v>1841</v>
      </c>
      <c r="H1499" s="1191"/>
      <c r="I1499" s="706" t="s">
        <v>1993</v>
      </c>
    </row>
    <row r="1500" spans="1:9">
      <c r="A1500" s="706">
        <v>106593</v>
      </c>
      <c r="B1500" s="706" t="s">
        <v>3182</v>
      </c>
      <c r="D1500" s="706" t="s">
        <v>1841</v>
      </c>
      <c r="H1500" s="1191"/>
      <c r="I1500" s="706" t="s">
        <v>1993</v>
      </c>
    </row>
    <row r="1501" spans="1:9">
      <c r="A1501" s="706">
        <v>106594</v>
      </c>
      <c r="B1501" s="706" t="s">
        <v>3183</v>
      </c>
      <c r="C1501" s="706" t="s">
        <v>8189</v>
      </c>
      <c r="D1501" s="706" t="s">
        <v>1841</v>
      </c>
      <c r="E1501" s="706">
        <v>11.08</v>
      </c>
      <c r="F1501" s="706" t="s">
        <v>28</v>
      </c>
      <c r="G1501" s="706">
        <v>404748</v>
      </c>
      <c r="H1501" s="1191">
        <v>44643</v>
      </c>
      <c r="I1501" s="706" t="s">
        <v>1993</v>
      </c>
    </row>
    <row r="1502" spans="1:9">
      <c r="A1502" s="706">
        <v>106595</v>
      </c>
      <c r="B1502" s="706" t="s">
        <v>3184</v>
      </c>
      <c r="C1502" s="706" t="s">
        <v>2036</v>
      </c>
      <c r="D1502" s="706" t="s">
        <v>1841</v>
      </c>
      <c r="E1502" s="706">
        <v>6.7984999999999998</v>
      </c>
      <c r="F1502" s="706" t="s">
        <v>28</v>
      </c>
      <c r="G1502" s="706">
        <v>403964</v>
      </c>
      <c r="H1502" s="1191">
        <v>44487</v>
      </c>
      <c r="I1502" s="706" t="s">
        <v>1993</v>
      </c>
    </row>
    <row r="1503" spans="1:9">
      <c r="A1503" s="706">
        <v>106596</v>
      </c>
      <c r="B1503" s="706" t="s">
        <v>3185</v>
      </c>
      <c r="C1503" s="706" t="s">
        <v>2036</v>
      </c>
      <c r="D1503" s="706" t="s">
        <v>1841</v>
      </c>
      <c r="E1503" s="706">
        <v>9.1659000000000006</v>
      </c>
      <c r="F1503" s="706" t="s">
        <v>28</v>
      </c>
      <c r="G1503" s="706">
        <v>403964</v>
      </c>
      <c r="H1503" s="1191">
        <v>44487</v>
      </c>
      <c r="I1503" s="706" t="s">
        <v>1993</v>
      </c>
    </row>
    <row r="1504" spans="1:9">
      <c r="A1504" s="706">
        <v>106597</v>
      </c>
      <c r="B1504" s="706" t="s">
        <v>3186</v>
      </c>
      <c r="C1504" s="706" t="s">
        <v>8189</v>
      </c>
      <c r="D1504" s="706" t="s">
        <v>1841</v>
      </c>
      <c r="E1504" s="706">
        <v>34.188000000000002</v>
      </c>
      <c r="F1504" s="706" t="s">
        <v>28</v>
      </c>
      <c r="G1504" s="706">
        <v>408251</v>
      </c>
      <c r="H1504" s="1191">
        <v>45384</v>
      </c>
      <c r="I1504" s="706" t="s">
        <v>1993</v>
      </c>
    </row>
    <row r="1505" spans="1:9">
      <c r="A1505" s="706">
        <v>106598</v>
      </c>
      <c r="B1505" s="706" t="s">
        <v>3187</v>
      </c>
      <c r="C1505" s="706" t="s">
        <v>8189</v>
      </c>
      <c r="D1505" s="706" t="s">
        <v>1841</v>
      </c>
      <c r="E1505" s="706">
        <v>75</v>
      </c>
      <c r="F1505" s="706" t="s">
        <v>28</v>
      </c>
      <c r="G1505" s="706">
        <v>411802</v>
      </c>
      <c r="H1505" s="1191">
        <v>46076</v>
      </c>
      <c r="I1505" s="706" t="s">
        <v>1993</v>
      </c>
    </row>
    <row r="1506" spans="1:9">
      <c r="A1506" s="706">
        <v>106599</v>
      </c>
      <c r="B1506" s="706" t="s">
        <v>3188</v>
      </c>
      <c r="C1506" s="706" t="s">
        <v>8188</v>
      </c>
      <c r="D1506" s="706" t="s">
        <v>1841</v>
      </c>
      <c r="E1506" s="706">
        <v>5.5631000000000004</v>
      </c>
      <c r="F1506" s="706" t="s">
        <v>28</v>
      </c>
      <c r="G1506" s="706">
        <v>410921</v>
      </c>
      <c r="H1506" s="1191">
        <v>45907</v>
      </c>
      <c r="I1506" s="706" t="s">
        <v>1993</v>
      </c>
    </row>
    <row r="1507" spans="1:9">
      <c r="A1507" s="706">
        <v>106600</v>
      </c>
      <c r="B1507" s="706" t="s">
        <v>3190</v>
      </c>
      <c r="C1507" s="706" t="s">
        <v>8188</v>
      </c>
      <c r="D1507" s="706" t="s">
        <v>1841</v>
      </c>
      <c r="E1507" s="706">
        <v>9.1356999999999999</v>
      </c>
      <c r="F1507" s="706" t="s">
        <v>28</v>
      </c>
      <c r="G1507" s="706">
        <v>410921</v>
      </c>
      <c r="H1507" s="1191">
        <v>45907</v>
      </c>
      <c r="I1507" s="706" t="s">
        <v>1993</v>
      </c>
    </row>
    <row r="1508" spans="1:9">
      <c r="A1508" s="706">
        <v>106601</v>
      </c>
      <c r="B1508" s="706" t="s">
        <v>3191</v>
      </c>
      <c r="C1508" s="706" t="s">
        <v>8188</v>
      </c>
      <c r="D1508" s="706" t="s">
        <v>1841</v>
      </c>
      <c r="E1508" s="706">
        <v>12.0078</v>
      </c>
      <c r="F1508" s="706" t="s">
        <v>28</v>
      </c>
      <c r="G1508" s="706">
        <v>410921</v>
      </c>
      <c r="H1508" s="1191">
        <v>45907</v>
      </c>
      <c r="I1508" s="706" t="s">
        <v>1993</v>
      </c>
    </row>
    <row r="1509" spans="1:9">
      <c r="A1509" s="706">
        <v>106602</v>
      </c>
      <c r="B1509" s="706" t="s">
        <v>3192</v>
      </c>
      <c r="D1509" s="706" t="s">
        <v>1841</v>
      </c>
      <c r="H1509" s="1191"/>
      <c r="I1509" s="706" t="s">
        <v>1993</v>
      </c>
    </row>
    <row r="1510" spans="1:9">
      <c r="A1510" s="706">
        <v>106603</v>
      </c>
      <c r="B1510" s="706" t="s">
        <v>3193</v>
      </c>
      <c r="C1510" s="706" t="s">
        <v>2036</v>
      </c>
      <c r="D1510" s="706" t="s">
        <v>1841</v>
      </c>
      <c r="E1510" s="706">
        <v>3.9895</v>
      </c>
      <c r="F1510" s="706" t="s">
        <v>28</v>
      </c>
      <c r="G1510" s="706">
        <v>31440</v>
      </c>
      <c r="H1510" s="1191">
        <v>43872</v>
      </c>
      <c r="I1510" s="706" t="s">
        <v>1993</v>
      </c>
    </row>
    <row r="1511" spans="1:9">
      <c r="A1511" s="706">
        <v>106604</v>
      </c>
      <c r="B1511" s="706" t="s">
        <v>3194</v>
      </c>
      <c r="C1511" s="706" t="s">
        <v>8197</v>
      </c>
      <c r="D1511" s="706" t="s">
        <v>1841</v>
      </c>
      <c r="E1511" s="706">
        <v>16.25</v>
      </c>
      <c r="F1511" s="706" t="s">
        <v>28</v>
      </c>
      <c r="G1511" s="706">
        <v>31630</v>
      </c>
      <c r="H1511" s="1191">
        <v>43844</v>
      </c>
      <c r="I1511" s="706" t="s">
        <v>1993</v>
      </c>
    </row>
    <row r="1512" spans="1:9">
      <c r="A1512" s="706">
        <v>106605</v>
      </c>
      <c r="B1512" s="706" t="s">
        <v>3195</v>
      </c>
      <c r="C1512" s="706" t="s">
        <v>8188</v>
      </c>
      <c r="D1512" s="706" t="s">
        <v>1841</v>
      </c>
      <c r="E1512" s="706">
        <v>3.5474000000000001</v>
      </c>
      <c r="F1512" s="706" t="s">
        <v>28</v>
      </c>
      <c r="G1512" s="706">
        <v>410922</v>
      </c>
      <c r="H1512" s="1191">
        <v>45907</v>
      </c>
      <c r="I1512" s="706" t="s">
        <v>1993</v>
      </c>
    </row>
    <row r="1513" spans="1:9">
      <c r="A1513" s="706">
        <v>106606</v>
      </c>
      <c r="B1513" s="706" t="s">
        <v>3196</v>
      </c>
      <c r="C1513" s="706" t="s">
        <v>3189</v>
      </c>
      <c r="D1513" s="706" t="s">
        <v>1841</v>
      </c>
      <c r="E1513" s="706">
        <v>3.29</v>
      </c>
      <c r="F1513" s="706" t="s">
        <v>28</v>
      </c>
      <c r="G1513" s="706">
        <v>411400</v>
      </c>
      <c r="H1513" s="1191">
        <v>46002</v>
      </c>
      <c r="I1513" s="706" t="s">
        <v>1993</v>
      </c>
    </row>
    <row r="1514" spans="1:9">
      <c r="A1514" s="706">
        <v>106607</v>
      </c>
      <c r="B1514" s="706" t="s">
        <v>3197</v>
      </c>
      <c r="C1514" s="706" t="s">
        <v>3189</v>
      </c>
      <c r="D1514" s="706" t="s">
        <v>1841</v>
      </c>
      <c r="E1514" s="706">
        <v>4.55</v>
      </c>
      <c r="F1514" s="706" t="s">
        <v>28</v>
      </c>
      <c r="G1514" s="706">
        <v>411400</v>
      </c>
      <c r="H1514" s="1191">
        <v>46002</v>
      </c>
      <c r="I1514" s="706" t="s">
        <v>1993</v>
      </c>
    </row>
    <row r="1515" spans="1:9">
      <c r="A1515" s="706">
        <v>106608</v>
      </c>
      <c r="B1515" s="706" t="s">
        <v>3198</v>
      </c>
      <c r="C1515" s="706" t="s">
        <v>3199</v>
      </c>
      <c r="D1515" s="706" t="s">
        <v>1841</v>
      </c>
      <c r="E1515" s="706">
        <v>4.67</v>
      </c>
      <c r="F1515" s="706" t="s">
        <v>28</v>
      </c>
      <c r="G1515" s="706">
        <v>407866</v>
      </c>
      <c r="H1515" s="1191">
        <v>45316</v>
      </c>
      <c r="I1515" s="706" t="s">
        <v>1993</v>
      </c>
    </row>
    <row r="1516" spans="1:9">
      <c r="A1516" s="706">
        <v>106609</v>
      </c>
      <c r="B1516" s="706" t="s">
        <v>3200</v>
      </c>
      <c r="C1516" s="706" t="s">
        <v>3189</v>
      </c>
      <c r="D1516" s="706" t="s">
        <v>1841</v>
      </c>
      <c r="E1516" s="706">
        <v>3.12</v>
      </c>
      <c r="F1516" s="706" t="s">
        <v>28</v>
      </c>
      <c r="G1516" s="706">
        <v>407622</v>
      </c>
      <c r="H1516" s="1191">
        <v>45271</v>
      </c>
      <c r="I1516" s="706" t="s">
        <v>1993</v>
      </c>
    </row>
    <row r="1517" spans="1:9">
      <c r="A1517" s="706">
        <v>106610</v>
      </c>
      <c r="B1517" s="706" t="s">
        <v>3201</v>
      </c>
      <c r="C1517" s="706" t="s">
        <v>3189</v>
      </c>
      <c r="D1517" s="706" t="s">
        <v>1841</v>
      </c>
      <c r="E1517" s="706">
        <v>4.2141000000000002</v>
      </c>
      <c r="F1517" s="706" t="s">
        <v>28</v>
      </c>
      <c r="G1517" s="706">
        <v>407623</v>
      </c>
      <c r="H1517" s="1191">
        <v>45271</v>
      </c>
      <c r="I1517" s="706" t="s">
        <v>1993</v>
      </c>
    </row>
    <row r="1518" spans="1:9">
      <c r="A1518" s="706">
        <v>106611</v>
      </c>
      <c r="B1518" s="706" t="s">
        <v>3202</v>
      </c>
      <c r="C1518" s="706" t="s">
        <v>8197</v>
      </c>
      <c r="D1518" s="706" t="s">
        <v>1841</v>
      </c>
      <c r="E1518" s="706">
        <v>476.95</v>
      </c>
      <c r="F1518" s="706" t="s">
        <v>28</v>
      </c>
      <c r="G1518" s="706">
        <v>407810</v>
      </c>
      <c r="H1518" s="1191">
        <v>45309</v>
      </c>
      <c r="I1518" s="706" t="s">
        <v>1993</v>
      </c>
    </row>
    <row r="1519" spans="1:9">
      <c r="A1519" s="706">
        <v>106612</v>
      </c>
      <c r="B1519" s="706" t="s">
        <v>3203</v>
      </c>
      <c r="D1519" s="706" t="s">
        <v>1841</v>
      </c>
      <c r="H1519" s="1191"/>
      <c r="I1519" s="706" t="s">
        <v>1993</v>
      </c>
    </row>
    <row r="1520" spans="1:9">
      <c r="A1520" s="706">
        <v>106613</v>
      </c>
      <c r="B1520" s="706" t="s">
        <v>3204</v>
      </c>
      <c r="D1520" s="706" t="s">
        <v>1841</v>
      </c>
      <c r="H1520" s="1191"/>
      <c r="I1520" s="706" t="s">
        <v>1993</v>
      </c>
    </row>
    <row r="1521" spans="1:9">
      <c r="A1521" s="706">
        <v>106614</v>
      </c>
      <c r="B1521" s="706" t="s">
        <v>3205</v>
      </c>
      <c r="D1521" s="706" t="s">
        <v>1841</v>
      </c>
      <c r="H1521" s="1191"/>
      <c r="I1521" s="706" t="s">
        <v>1993</v>
      </c>
    </row>
    <row r="1522" spans="1:9">
      <c r="A1522" s="706">
        <v>106615</v>
      </c>
      <c r="B1522" s="706" t="s">
        <v>3206</v>
      </c>
      <c r="D1522" s="706" t="s">
        <v>1841</v>
      </c>
      <c r="H1522" s="1191"/>
      <c r="I1522" s="706" t="s">
        <v>1993</v>
      </c>
    </row>
    <row r="1523" spans="1:9">
      <c r="A1523" s="706">
        <v>106616</v>
      </c>
      <c r="B1523" s="706" t="s">
        <v>3207</v>
      </c>
      <c r="D1523" s="706" t="s">
        <v>1841</v>
      </c>
      <c r="H1523" s="1191"/>
      <c r="I1523" s="706" t="s">
        <v>1993</v>
      </c>
    </row>
    <row r="1524" spans="1:9">
      <c r="A1524" s="706">
        <v>106617</v>
      </c>
      <c r="B1524" s="706" t="s">
        <v>3208</v>
      </c>
      <c r="D1524" s="706" t="s">
        <v>1841</v>
      </c>
      <c r="H1524" s="1191"/>
      <c r="I1524" s="706" t="s">
        <v>1993</v>
      </c>
    </row>
    <row r="1525" spans="1:9">
      <c r="A1525" s="706">
        <v>106618</v>
      </c>
      <c r="B1525" s="706" t="s">
        <v>3209</v>
      </c>
      <c r="D1525" s="706" t="s">
        <v>1841</v>
      </c>
      <c r="H1525" s="1191"/>
      <c r="I1525" s="706" t="s">
        <v>1993</v>
      </c>
    </row>
    <row r="1526" spans="1:9">
      <c r="A1526" s="706">
        <v>106619</v>
      </c>
      <c r="B1526" s="706" t="s">
        <v>3210</v>
      </c>
      <c r="D1526" s="706" t="s">
        <v>1841</v>
      </c>
      <c r="H1526" s="1191"/>
      <c r="I1526" s="706" t="s">
        <v>1993</v>
      </c>
    </row>
    <row r="1527" spans="1:9">
      <c r="A1527" s="706">
        <v>106620</v>
      </c>
      <c r="B1527" s="706" t="s">
        <v>3211</v>
      </c>
      <c r="D1527" s="706" t="s">
        <v>1841</v>
      </c>
      <c r="H1527" s="1191"/>
      <c r="I1527" s="706" t="s">
        <v>1993</v>
      </c>
    </row>
    <row r="1528" spans="1:9">
      <c r="A1528" s="706">
        <v>106621</v>
      </c>
      <c r="B1528" s="706" t="s">
        <v>3212</v>
      </c>
      <c r="D1528" s="706" t="s">
        <v>1841</v>
      </c>
      <c r="H1528" s="1191"/>
      <c r="I1528" s="706" t="s">
        <v>1993</v>
      </c>
    </row>
    <row r="1529" spans="1:9">
      <c r="A1529" s="706">
        <v>106622</v>
      </c>
      <c r="B1529" s="706" t="s">
        <v>3213</v>
      </c>
      <c r="D1529" s="706" t="s">
        <v>1841</v>
      </c>
      <c r="H1529" s="1191"/>
      <c r="I1529" s="706" t="s">
        <v>1993</v>
      </c>
    </row>
    <row r="1530" spans="1:9">
      <c r="A1530" s="706">
        <v>106623</v>
      </c>
      <c r="B1530" s="706" t="s">
        <v>3214</v>
      </c>
      <c r="D1530" s="706" t="s">
        <v>1841</v>
      </c>
      <c r="H1530" s="1191"/>
      <c r="I1530" s="706" t="s">
        <v>1993</v>
      </c>
    </row>
    <row r="1531" spans="1:9">
      <c r="A1531" s="706">
        <v>106624</v>
      </c>
      <c r="B1531" s="706" t="s">
        <v>3215</v>
      </c>
      <c r="D1531" s="706" t="s">
        <v>1841</v>
      </c>
      <c r="H1531" s="1191"/>
      <c r="I1531" s="706" t="s">
        <v>1993</v>
      </c>
    </row>
    <row r="1532" spans="1:9">
      <c r="A1532" s="706">
        <v>106625</v>
      </c>
      <c r="B1532" s="706" t="s">
        <v>3216</v>
      </c>
      <c r="D1532" s="706" t="s">
        <v>1841</v>
      </c>
      <c r="H1532" s="1191"/>
      <c r="I1532" s="706" t="s">
        <v>1993</v>
      </c>
    </row>
    <row r="1533" spans="1:9">
      <c r="A1533" s="706">
        <v>106626</v>
      </c>
      <c r="B1533" s="706" t="s">
        <v>3217</v>
      </c>
      <c r="D1533" s="706" t="s">
        <v>1841</v>
      </c>
      <c r="H1533" s="1191"/>
      <c r="I1533" s="706" t="s">
        <v>1993</v>
      </c>
    </row>
    <row r="1534" spans="1:9">
      <c r="A1534" s="706">
        <v>106627</v>
      </c>
      <c r="B1534" s="706" t="s">
        <v>3218</v>
      </c>
      <c r="D1534" s="706" t="s">
        <v>1841</v>
      </c>
      <c r="H1534" s="1191"/>
      <c r="I1534" s="706" t="s">
        <v>1993</v>
      </c>
    </row>
    <row r="1535" spans="1:9">
      <c r="A1535" s="706">
        <v>106628</v>
      </c>
      <c r="B1535" s="706" t="s">
        <v>3219</v>
      </c>
      <c r="D1535" s="706" t="s">
        <v>1841</v>
      </c>
      <c r="H1535" s="1191"/>
      <c r="I1535" s="706" t="s">
        <v>1993</v>
      </c>
    </row>
    <row r="1536" spans="1:9">
      <c r="A1536" s="706">
        <v>106629</v>
      </c>
      <c r="B1536" s="706" t="s">
        <v>3220</v>
      </c>
      <c r="D1536" s="706" t="s">
        <v>1841</v>
      </c>
      <c r="H1536" s="1191"/>
      <c r="I1536" s="706" t="s">
        <v>1993</v>
      </c>
    </row>
    <row r="1537" spans="1:9">
      <c r="A1537" s="706">
        <v>106630</v>
      </c>
      <c r="B1537" s="706" t="s">
        <v>3221</v>
      </c>
      <c r="D1537" s="706" t="s">
        <v>1841</v>
      </c>
      <c r="H1537" s="1191"/>
      <c r="I1537" s="706" t="s">
        <v>1993</v>
      </c>
    </row>
    <row r="1538" spans="1:9">
      <c r="A1538" s="706">
        <v>106631</v>
      </c>
      <c r="B1538" s="706" t="s">
        <v>3222</v>
      </c>
      <c r="D1538" s="706" t="s">
        <v>1841</v>
      </c>
      <c r="H1538" s="1191"/>
      <c r="I1538" s="706" t="s">
        <v>1993</v>
      </c>
    </row>
    <row r="1539" spans="1:9">
      <c r="A1539" s="706">
        <v>106632</v>
      </c>
      <c r="B1539" s="706" t="s">
        <v>3223</v>
      </c>
      <c r="D1539" s="706" t="s">
        <v>1841</v>
      </c>
      <c r="H1539" s="1191"/>
      <c r="I1539" s="706" t="s">
        <v>1993</v>
      </c>
    </row>
    <row r="1540" spans="1:9">
      <c r="A1540" s="706">
        <v>106633</v>
      </c>
      <c r="B1540" s="706" t="s">
        <v>3224</v>
      </c>
      <c r="D1540" s="706" t="s">
        <v>1841</v>
      </c>
      <c r="H1540" s="1191"/>
      <c r="I1540" s="706" t="s">
        <v>1993</v>
      </c>
    </row>
    <row r="1541" spans="1:9">
      <c r="A1541" s="706">
        <v>106634</v>
      </c>
      <c r="B1541" s="706" t="s">
        <v>3225</v>
      </c>
      <c r="D1541" s="706" t="s">
        <v>1841</v>
      </c>
      <c r="H1541" s="1191"/>
      <c r="I1541" s="706" t="s">
        <v>1993</v>
      </c>
    </row>
    <row r="1542" spans="1:9">
      <c r="A1542" s="706">
        <v>106635</v>
      </c>
      <c r="B1542" s="706" t="s">
        <v>3226</v>
      </c>
      <c r="D1542" s="706" t="s">
        <v>1841</v>
      </c>
      <c r="H1542" s="1191"/>
      <c r="I1542" s="706" t="s">
        <v>1993</v>
      </c>
    </row>
    <row r="1543" spans="1:9">
      <c r="A1543" s="706">
        <v>106636</v>
      </c>
      <c r="B1543" s="706" t="s">
        <v>3227</v>
      </c>
      <c r="D1543" s="706" t="s">
        <v>1841</v>
      </c>
      <c r="H1543" s="1191"/>
      <c r="I1543" s="706" t="s">
        <v>1993</v>
      </c>
    </row>
    <row r="1544" spans="1:9">
      <c r="A1544" s="706">
        <v>106637</v>
      </c>
      <c r="B1544" s="706" t="s">
        <v>3228</v>
      </c>
      <c r="D1544" s="706" t="s">
        <v>1841</v>
      </c>
      <c r="H1544" s="1191"/>
      <c r="I1544" s="706" t="s">
        <v>1993</v>
      </c>
    </row>
    <row r="1545" spans="1:9">
      <c r="A1545" s="706">
        <v>106638</v>
      </c>
      <c r="B1545" s="706" t="s">
        <v>3229</v>
      </c>
      <c r="D1545" s="706" t="s">
        <v>1841</v>
      </c>
      <c r="H1545" s="1191"/>
      <c r="I1545" s="706" t="s">
        <v>1993</v>
      </c>
    </row>
    <row r="1546" spans="1:9">
      <c r="A1546" s="706">
        <v>106639</v>
      </c>
      <c r="B1546" s="706" t="s">
        <v>3230</v>
      </c>
      <c r="D1546" s="706" t="s">
        <v>1841</v>
      </c>
      <c r="H1546" s="1191"/>
      <c r="I1546" s="706" t="s">
        <v>1993</v>
      </c>
    </row>
    <row r="1547" spans="1:9">
      <c r="A1547" s="706">
        <v>106640</v>
      </c>
      <c r="B1547" s="706" t="s">
        <v>3231</v>
      </c>
      <c r="D1547" s="706" t="s">
        <v>1841</v>
      </c>
      <c r="H1547" s="1191"/>
      <c r="I1547" s="706" t="s">
        <v>1993</v>
      </c>
    </row>
    <row r="1548" spans="1:9">
      <c r="A1548" s="706">
        <v>106641</v>
      </c>
      <c r="B1548" s="706" t="s">
        <v>3232</v>
      </c>
      <c r="D1548" s="706" t="s">
        <v>1841</v>
      </c>
      <c r="H1548" s="1191"/>
      <c r="I1548" s="706" t="s">
        <v>1993</v>
      </c>
    </row>
    <row r="1549" spans="1:9">
      <c r="A1549" s="706">
        <v>106642</v>
      </c>
      <c r="B1549" s="706" t="s">
        <v>3233</v>
      </c>
      <c r="D1549" s="706" t="s">
        <v>1841</v>
      </c>
      <c r="H1549" s="1191"/>
      <c r="I1549" s="706" t="s">
        <v>1993</v>
      </c>
    </row>
    <row r="1550" spans="1:9">
      <c r="A1550" s="706">
        <v>106643</v>
      </c>
      <c r="B1550" s="706" t="s">
        <v>3234</v>
      </c>
      <c r="D1550" s="706" t="s">
        <v>1841</v>
      </c>
      <c r="H1550" s="1191"/>
      <c r="I1550" s="706" t="s">
        <v>1993</v>
      </c>
    </row>
    <row r="1551" spans="1:9">
      <c r="A1551" s="706">
        <v>106644</v>
      </c>
      <c r="B1551" s="706" t="s">
        <v>3235</v>
      </c>
      <c r="D1551" s="706" t="s">
        <v>1841</v>
      </c>
      <c r="H1551" s="1191"/>
      <c r="I1551" s="706" t="s">
        <v>1993</v>
      </c>
    </row>
    <row r="1552" spans="1:9">
      <c r="A1552" s="706">
        <v>106645</v>
      </c>
      <c r="B1552" s="706" t="s">
        <v>3236</v>
      </c>
      <c r="D1552" s="706" t="s">
        <v>1841</v>
      </c>
      <c r="H1552" s="1191"/>
      <c r="I1552" s="706" t="s">
        <v>1993</v>
      </c>
    </row>
    <row r="1553" spans="1:9">
      <c r="A1553" s="706">
        <v>106646</v>
      </c>
      <c r="B1553" s="706" t="s">
        <v>3237</v>
      </c>
      <c r="D1553" s="706" t="s">
        <v>1841</v>
      </c>
      <c r="H1553" s="1191"/>
      <c r="I1553" s="706" t="s">
        <v>1993</v>
      </c>
    </row>
    <row r="1554" spans="1:9">
      <c r="A1554" s="706">
        <v>106647</v>
      </c>
      <c r="B1554" s="706" t="s">
        <v>3238</v>
      </c>
      <c r="D1554" s="706" t="s">
        <v>1841</v>
      </c>
      <c r="H1554" s="1191"/>
      <c r="I1554" s="706" t="s">
        <v>1993</v>
      </c>
    </row>
    <row r="1555" spans="1:9">
      <c r="A1555" s="706">
        <v>106648</v>
      </c>
      <c r="B1555" s="706" t="s">
        <v>3239</v>
      </c>
      <c r="D1555" s="706" t="s">
        <v>1841</v>
      </c>
      <c r="H1555" s="1191"/>
      <c r="I1555" s="706" t="s">
        <v>1993</v>
      </c>
    </row>
    <row r="1556" spans="1:9">
      <c r="A1556" s="706">
        <v>106649</v>
      </c>
      <c r="B1556" s="706" t="s">
        <v>3240</v>
      </c>
      <c r="D1556" s="706" t="s">
        <v>1841</v>
      </c>
      <c r="H1556" s="1191"/>
      <c r="I1556" s="706" t="s">
        <v>1993</v>
      </c>
    </row>
    <row r="1557" spans="1:9">
      <c r="A1557" s="706">
        <v>106650</v>
      </c>
      <c r="B1557" s="706" t="s">
        <v>3241</v>
      </c>
      <c r="C1557" s="706" t="s">
        <v>8189</v>
      </c>
      <c r="D1557" s="706" t="s">
        <v>1841</v>
      </c>
      <c r="E1557" s="706">
        <v>208</v>
      </c>
      <c r="F1557" s="706" t="s">
        <v>28</v>
      </c>
      <c r="G1557" s="706">
        <v>403535</v>
      </c>
      <c r="H1557" s="1191">
        <v>44419</v>
      </c>
      <c r="I1557" s="706" t="s">
        <v>1993</v>
      </c>
    </row>
    <row r="1558" spans="1:9">
      <c r="A1558" s="706">
        <v>106651</v>
      </c>
      <c r="B1558" s="706" t="s">
        <v>3242</v>
      </c>
      <c r="D1558" s="706" t="s">
        <v>1841</v>
      </c>
      <c r="H1558" s="1191"/>
      <c r="I1558" s="706" t="s">
        <v>1993</v>
      </c>
    </row>
    <row r="1559" spans="1:9">
      <c r="A1559" s="706">
        <v>106652</v>
      </c>
      <c r="B1559" s="706" t="s">
        <v>3243</v>
      </c>
      <c r="D1559" s="706" t="s">
        <v>1841</v>
      </c>
      <c r="H1559" s="1191"/>
      <c r="I1559" s="706" t="s">
        <v>1993</v>
      </c>
    </row>
    <row r="1560" spans="1:9">
      <c r="A1560" s="706">
        <v>106653</v>
      </c>
      <c r="B1560" s="706" t="s">
        <v>3244</v>
      </c>
      <c r="D1560" s="706" t="s">
        <v>1841</v>
      </c>
      <c r="H1560" s="1191"/>
      <c r="I1560" s="706" t="s">
        <v>1993</v>
      </c>
    </row>
    <row r="1561" spans="1:9">
      <c r="A1561" s="706">
        <v>106654</v>
      </c>
      <c r="B1561" s="706" t="s">
        <v>3245</v>
      </c>
      <c r="D1561" s="706" t="s">
        <v>1841</v>
      </c>
      <c r="H1561" s="1191"/>
      <c r="I1561" s="706" t="s">
        <v>1993</v>
      </c>
    </row>
    <row r="1562" spans="1:9">
      <c r="A1562" s="706">
        <v>106655</v>
      </c>
      <c r="B1562" s="706" t="s">
        <v>3246</v>
      </c>
      <c r="D1562" s="706" t="s">
        <v>1841</v>
      </c>
      <c r="H1562" s="1191"/>
      <c r="I1562" s="706" t="s">
        <v>1993</v>
      </c>
    </row>
    <row r="1563" spans="1:9">
      <c r="A1563" s="706">
        <v>106656</v>
      </c>
      <c r="B1563" s="706" t="s">
        <v>3247</v>
      </c>
      <c r="D1563" s="706" t="s">
        <v>1841</v>
      </c>
      <c r="H1563" s="1191"/>
      <c r="I1563" s="706" t="s">
        <v>1993</v>
      </c>
    </row>
    <row r="1564" spans="1:9">
      <c r="A1564" s="706">
        <v>106657</v>
      </c>
      <c r="B1564" s="706" t="s">
        <v>3248</v>
      </c>
      <c r="D1564" s="706" t="s">
        <v>1841</v>
      </c>
      <c r="H1564" s="1191"/>
      <c r="I1564" s="706" t="s">
        <v>1993</v>
      </c>
    </row>
    <row r="1565" spans="1:9">
      <c r="A1565" s="706">
        <v>106658</v>
      </c>
      <c r="B1565" s="706" t="s">
        <v>3249</v>
      </c>
      <c r="D1565" s="706" t="s">
        <v>1841</v>
      </c>
      <c r="H1565" s="1191"/>
      <c r="I1565" s="706" t="s">
        <v>1993</v>
      </c>
    </row>
    <row r="1566" spans="1:9">
      <c r="A1566" s="706">
        <v>106659</v>
      </c>
      <c r="B1566" s="706" t="s">
        <v>3250</v>
      </c>
      <c r="D1566" s="706" t="s">
        <v>1841</v>
      </c>
      <c r="H1566" s="1191"/>
      <c r="I1566" s="706" t="s">
        <v>1993</v>
      </c>
    </row>
    <row r="1567" spans="1:9">
      <c r="A1567" s="706">
        <v>106660</v>
      </c>
      <c r="B1567" s="706" t="s">
        <v>3251</v>
      </c>
      <c r="D1567" s="706" t="s">
        <v>1841</v>
      </c>
      <c r="H1567" s="1191"/>
      <c r="I1567" s="706" t="s">
        <v>1993</v>
      </c>
    </row>
    <row r="1568" spans="1:9">
      <c r="A1568" s="706">
        <v>106661</v>
      </c>
      <c r="B1568" s="706" t="s">
        <v>3252</v>
      </c>
      <c r="D1568" s="706" t="s">
        <v>1841</v>
      </c>
      <c r="H1568" s="1191"/>
      <c r="I1568" s="706" t="s">
        <v>1993</v>
      </c>
    </row>
    <row r="1569" spans="1:9">
      <c r="A1569" s="706">
        <v>106662</v>
      </c>
      <c r="B1569" s="706" t="s">
        <v>3253</v>
      </c>
      <c r="D1569" s="706" t="s">
        <v>1841</v>
      </c>
      <c r="H1569" s="1191"/>
      <c r="I1569" s="706" t="s">
        <v>1993</v>
      </c>
    </row>
    <row r="1570" spans="1:9">
      <c r="A1570" s="706">
        <v>106663</v>
      </c>
      <c r="B1570" s="706" t="s">
        <v>3254</v>
      </c>
      <c r="D1570" s="706" t="s">
        <v>1841</v>
      </c>
      <c r="H1570" s="1191"/>
      <c r="I1570" s="706" t="s">
        <v>1993</v>
      </c>
    </row>
    <row r="1571" spans="1:9">
      <c r="A1571" s="706">
        <v>106664</v>
      </c>
      <c r="B1571" s="706" t="s">
        <v>3255</v>
      </c>
      <c r="D1571" s="706" t="s">
        <v>1841</v>
      </c>
      <c r="H1571" s="1191"/>
      <c r="I1571" s="706" t="s">
        <v>1993</v>
      </c>
    </row>
    <row r="1572" spans="1:9">
      <c r="A1572" s="706">
        <v>106665</v>
      </c>
      <c r="B1572" s="706" t="s">
        <v>3256</v>
      </c>
      <c r="D1572" s="706" t="s">
        <v>1841</v>
      </c>
      <c r="H1572" s="1191"/>
      <c r="I1572" s="706" t="s">
        <v>1993</v>
      </c>
    </row>
    <row r="1573" spans="1:9">
      <c r="A1573" s="706">
        <v>106666</v>
      </c>
      <c r="B1573" s="706" t="s">
        <v>3257</v>
      </c>
      <c r="D1573" s="706" t="s">
        <v>1841</v>
      </c>
      <c r="H1573" s="1191"/>
      <c r="I1573" s="706" t="s">
        <v>1993</v>
      </c>
    </row>
    <row r="1574" spans="1:9">
      <c r="A1574" s="706">
        <v>106667</v>
      </c>
      <c r="B1574" s="706" t="s">
        <v>3258</v>
      </c>
      <c r="D1574" s="706" t="s">
        <v>1841</v>
      </c>
      <c r="H1574" s="1191"/>
      <c r="I1574" s="706" t="s">
        <v>1993</v>
      </c>
    </row>
    <row r="1575" spans="1:9">
      <c r="A1575" s="706">
        <v>106668</v>
      </c>
      <c r="B1575" s="706" t="s">
        <v>3259</v>
      </c>
      <c r="D1575" s="706" t="s">
        <v>1841</v>
      </c>
      <c r="H1575" s="1191"/>
      <c r="I1575" s="706" t="s">
        <v>1993</v>
      </c>
    </row>
    <row r="1576" spans="1:9">
      <c r="A1576" s="706">
        <v>106669</v>
      </c>
      <c r="B1576" s="706" t="s">
        <v>3260</v>
      </c>
      <c r="D1576" s="706" t="s">
        <v>1841</v>
      </c>
      <c r="H1576" s="1191"/>
      <c r="I1576" s="706" t="s">
        <v>1993</v>
      </c>
    </row>
    <row r="1577" spans="1:9">
      <c r="A1577" s="706">
        <v>106670</v>
      </c>
      <c r="B1577" s="706" t="s">
        <v>3261</v>
      </c>
      <c r="D1577" s="706" t="s">
        <v>1841</v>
      </c>
      <c r="H1577" s="1191"/>
      <c r="I1577" s="706" t="s">
        <v>1993</v>
      </c>
    </row>
    <row r="1578" spans="1:9">
      <c r="A1578" s="706">
        <v>106671</v>
      </c>
      <c r="B1578" s="706" t="s">
        <v>3262</v>
      </c>
      <c r="D1578" s="706" t="s">
        <v>1841</v>
      </c>
      <c r="H1578" s="1191"/>
      <c r="I1578" s="706" t="s">
        <v>1993</v>
      </c>
    </row>
    <row r="1579" spans="1:9">
      <c r="A1579" s="706">
        <v>106672</v>
      </c>
      <c r="B1579" s="706" t="s">
        <v>3263</v>
      </c>
      <c r="D1579" s="706" t="s">
        <v>1841</v>
      </c>
      <c r="H1579" s="1191"/>
      <c r="I1579" s="706" t="s">
        <v>1993</v>
      </c>
    </row>
    <row r="1580" spans="1:9">
      <c r="A1580" s="706">
        <v>106673</v>
      </c>
      <c r="B1580" s="706" t="s">
        <v>3264</v>
      </c>
      <c r="D1580" s="706" t="s">
        <v>1841</v>
      </c>
      <c r="H1580" s="1191"/>
      <c r="I1580" s="706" t="s">
        <v>1993</v>
      </c>
    </row>
    <row r="1581" spans="1:9">
      <c r="A1581" s="706">
        <v>106674</v>
      </c>
      <c r="B1581" s="706" t="s">
        <v>3265</v>
      </c>
      <c r="D1581" s="706" t="s">
        <v>1841</v>
      </c>
      <c r="H1581" s="1191"/>
      <c r="I1581" s="706" t="s">
        <v>1993</v>
      </c>
    </row>
    <row r="1582" spans="1:9">
      <c r="A1582" s="706">
        <v>106675</v>
      </c>
      <c r="B1582" s="706" t="s">
        <v>3266</v>
      </c>
      <c r="D1582" s="706" t="s">
        <v>1841</v>
      </c>
      <c r="H1582" s="1191"/>
      <c r="I1582" s="706" t="s">
        <v>1993</v>
      </c>
    </row>
    <row r="1583" spans="1:9">
      <c r="A1583" s="706">
        <v>106676</v>
      </c>
      <c r="B1583" s="706" t="s">
        <v>3267</v>
      </c>
      <c r="D1583" s="706" t="s">
        <v>1841</v>
      </c>
      <c r="H1583" s="1191"/>
      <c r="I1583" s="706" t="s">
        <v>1993</v>
      </c>
    </row>
    <row r="1584" spans="1:9">
      <c r="A1584" s="706">
        <v>106677</v>
      </c>
      <c r="B1584" s="706" t="s">
        <v>3268</v>
      </c>
      <c r="D1584" s="706" t="s">
        <v>1841</v>
      </c>
      <c r="H1584" s="1191"/>
      <c r="I1584" s="706" t="s">
        <v>1993</v>
      </c>
    </row>
    <row r="1585" spans="1:9">
      <c r="A1585" s="706">
        <v>106678</v>
      </c>
      <c r="B1585" s="706" t="s">
        <v>3269</v>
      </c>
      <c r="D1585" s="706" t="s">
        <v>1841</v>
      </c>
      <c r="H1585" s="1191"/>
      <c r="I1585" s="706" t="s">
        <v>1993</v>
      </c>
    </row>
    <row r="1586" spans="1:9">
      <c r="A1586" s="706">
        <v>106679</v>
      </c>
      <c r="B1586" s="706" t="s">
        <v>3270</v>
      </c>
      <c r="D1586" s="706" t="s">
        <v>1841</v>
      </c>
      <c r="H1586" s="1191"/>
      <c r="I1586" s="706" t="s">
        <v>1993</v>
      </c>
    </row>
    <row r="1587" spans="1:9">
      <c r="A1587" s="706">
        <v>106680</v>
      </c>
      <c r="B1587" s="706" t="s">
        <v>3271</v>
      </c>
      <c r="D1587" s="706" t="s">
        <v>1841</v>
      </c>
      <c r="H1587" s="1191"/>
      <c r="I1587" s="706" t="s">
        <v>1993</v>
      </c>
    </row>
    <row r="1588" spans="1:9">
      <c r="A1588" s="706">
        <v>106681</v>
      </c>
      <c r="B1588" s="706" t="s">
        <v>3272</v>
      </c>
      <c r="D1588" s="706" t="s">
        <v>1841</v>
      </c>
      <c r="H1588" s="1191"/>
      <c r="I1588" s="706" t="s">
        <v>1993</v>
      </c>
    </row>
    <row r="1589" spans="1:9">
      <c r="A1589" s="706">
        <v>106682</v>
      </c>
      <c r="B1589" s="706" t="s">
        <v>3273</v>
      </c>
      <c r="D1589" s="706" t="s">
        <v>1841</v>
      </c>
      <c r="H1589" s="1191"/>
      <c r="I1589" s="706" t="s">
        <v>1993</v>
      </c>
    </row>
    <row r="1590" spans="1:9">
      <c r="A1590" s="706">
        <v>106683</v>
      </c>
      <c r="B1590" s="706" t="s">
        <v>3274</v>
      </c>
      <c r="D1590" s="706" t="s">
        <v>1841</v>
      </c>
      <c r="H1590" s="1191"/>
      <c r="I1590" s="706" t="s">
        <v>1993</v>
      </c>
    </row>
    <row r="1591" spans="1:9">
      <c r="A1591" s="706">
        <v>106684</v>
      </c>
      <c r="B1591" s="706" t="s">
        <v>3275</v>
      </c>
      <c r="D1591" s="706" t="s">
        <v>1841</v>
      </c>
      <c r="H1591" s="1191"/>
      <c r="I1591" s="706" t="s">
        <v>1993</v>
      </c>
    </row>
    <row r="1592" spans="1:9">
      <c r="A1592" s="706">
        <v>106685</v>
      </c>
      <c r="B1592" s="706" t="s">
        <v>3276</v>
      </c>
      <c r="D1592" s="706" t="s">
        <v>1841</v>
      </c>
      <c r="H1592" s="1191"/>
      <c r="I1592" s="706" t="s">
        <v>1993</v>
      </c>
    </row>
    <row r="1593" spans="1:9">
      <c r="A1593" s="706">
        <v>106686</v>
      </c>
      <c r="B1593" s="706" t="s">
        <v>3277</v>
      </c>
      <c r="D1593" s="706" t="s">
        <v>1841</v>
      </c>
      <c r="H1593" s="1191"/>
      <c r="I1593" s="706" t="s">
        <v>1993</v>
      </c>
    </row>
    <row r="1594" spans="1:9">
      <c r="A1594" s="706">
        <v>106687</v>
      </c>
      <c r="B1594" s="706" t="s">
        <v>3278</v>
      </c>
      <c r="D1594" s="706" t="s">
        <v>1841</v>
      </c>
      <c r="H1594" s="1191"/>
      <c r="I1594" s="706" t="s">
        <v>1993</v>
      </c>
    </row>
    <row r="1595" spans="1:9">
      <c r="A1595" s="706">
        <v>106688</v>
      </c>
      <c r="B1595" s="706" t="s">
        <v>3279</v>
      </c>
      <c r="D1595" s="706" t="s">
        <v>1841</v>
      </c>
      <c r="H1595" s="1191"/>
      <c r="I1595" s="706" t="s">
        <v>1993</v>
      </c>
    </row>
    <row r="1596" spans="1:9">
      <c r="A1596" s="706">
        <v>106689</v>
      </c>
      <c r="B1596" s="706" t="s">
        <v>3280</v>
      </c>
      <c r="D1596" s="706" t="s">
        <v>1841</v>
      </c>
      <c r="H1596" s="1191"/>
      <c r="I1596" s="706" t="s">
        <v>1993</v>
      </c>
    </row>
    <row r="1597" spans="1:9">
      <c r="A1597" s="706">
        <v>106690</v>
      </c>
      <c r="B1597" s="706" t="s">
        <v>3281</v>
      </c>
      <c r="D1597" s="706" t="s">
        <v>1841</v>
      </c>
      <c r="H1597" s="1191"/>
      <c r="I1597" s="706" t="s">
        <v>1993</v>
      </c>
    </row>
    <row r="1598" spans="1:9">
      <c r="A1598" s="706">
        <v>106691</v>
      </c>
      <c r="B1598" s="706" t="s">
        <v>3282</v>
      </c>
      <c r="D1598" s="706" t="s">
        <v>1841</v>
      </c>
      <c r="H1598" s="1191"/>
      <c r="I1598" s="706" t="s">
        <v>1993</v>
      </c>
    </row>
    <row r="1599" spans="1:9">
      <c r="A1599" s="706">
        <v>106692</v>
      </c>
      <c r="B1599" s="706" t="s">
        <v>3283</v>
      </c>
      <c r="D1599" s="706" t="s">
        <v>1841</v>
      </c>
      <c r="H1599" s="1191"/>
      <c r="I1599" s="706" t="s">
        <v>1993</v>
      </c>
    </row>
    <row r="1600" spans="1:9">
      <c r="A1600" s="706">
        <v>106693</v>
      </c>
      <c r="B1600" s="706" t="s">
        <v>3284</v>
      </c>
      <c r="D1600" s="706" t="s">
        <v>1841</v>
      </c>
      <c r="H1600" s="1191"/>
      <c r="I1600" s="706" t="s">
        <v>1993</v>
      </c>
    </row>
    <row r="1601" spans="1:9">
      <c r="A1601" s="706">
        <v>106694</v>
      </c>
      <c r="B1601" s="706" t="s">
        <v>3285</v>
      </c>
      <c r="D1601" s="706" t="s">
        <v>1841</v>
      </c>
      <c r="H1601" s="1191"/>
      <c r="I1601" s="706" t="s">
        <v>1993</v>
      </c>
    </row>
    <row r="1602" spans="1:9">
      <c r="A1602" s="706">
        <v>106695</v>
      </c>
      <c r="B1602" s="706" t="s">
        <v>3286</v>
      </c>
      <c r="D1602" s="706" t="s">
        <v>1841</v>
      </c>
      <c r="H1602" s="1191"/>
      <c r="I1602" s="706" t="s">
        <v>1993</v>
      </c>
    </row>
    <row r="1603" spans="1:9">
      <c r="A1603" s="706">
        <v>106696</v>
      </c>
      <c r="B1603" s="706" t="s">
        <v>3287</v>
      </c>
      <c r="D1603" s="706" t="s">
        <v>1841</v>
      </c>
      <c r="H1603" s="1191"/>
      <c r="I1603" s="706" t="s">
        <v>1993</v>
      </c>
    </row>
    <row r="1604" spans="1:9">
      <c r="A1604" s="706">
        <v>106697</v>
      </c>
      <c r="B1604" s="706" t="s">
        <v>3288</v>
      </c>
      <c r="D1604" s="706" t="s">
        <v>1841</v>
      </c>
      <c r="H1604" s="1191"/>
      <c r="I1604" s="706" t="s">
        <v>1993</v>
      </c>
    </row>
    <row r="1605" spans="1:9">
      <c r="A1605" s="706">
        <v>106698</v>
      </c>
      <c r="B1605" s="706" t="s">
        <v>3289</v>
      </c>
      <c r="D1605" s="706" t="s">
        <v>1841</v>
      </c>
      <c r="H1605" s="1191"/>
      <c r="I1605" s="706" t="s">
        <v>1993</v>
      </c>
    </row>
    <row r="1606" spans="1:9">
      <c r="A1606" s="706">
        <v>106699</v>
      </c>
      <c r="B1606" s="706" t="s">
        <v>3290</v>
      </c>
      <c r="D1606" s="706" t="s">
        <v>1841</v>
      </c>
      <c r="H1606" s="1191"/>
      <c r="I1606" s="706" t="s">
        <v>1993</v>
      </c>
    </row>
    <row r="1607" spans="1:9">
      <c r="A1607" s="706">
        <v>106700</v>
      </c>
      <c r="B1607" s="706" t="s">
        <v>3291</v>
      </c>
      <c r="D1607" s="706" t="s">
        <v>1841</v>
      </c>
      <c r="H1607" s="1191"/>
      <c r="I1607" s="706" t="s">
        <v>1993</v>
      </c>
    </row>
    <row r="1608" spans="1:9">
      <c r="A1608" s="706">
        <v>106701</v>
      </c>
      <c r="B1608" s="706" t="s">
        <v>3292</v>
      </c>
      <c r="D1608" s="706" t="s">
        <v>1841</v>
      </c>
      <c r="H1608" s="1191"/>
      <c r="I1608" s="706" t="s">
        <v>1993</v>
      </c>
    </row>
    <row r="1609" spans="1:9">
      <c r="A1609" s="706">
        <v>106702</v>
      </c>
      <c r="B1609" s="706" t="s">
        <v>3293</v>
      </c>
      <c r="D1609" s="706" t="s">
        <v>1841</v>
      </c>
      <c r="H1609" s="1191"/>
      <c r="I1609" s="706" t="s">
        <v>1993</v>
      </c>
    </row>
    <row r="1610" spans="1:9">
      <c r="A1610" s="706">
        <v>106703</v>
      </c>
      <c r="B1610" s="706" t="s">
        <v>3294</v>
      </c>
      <c r="D1610" s="706" t="s">
        <v>1841</v>
      </c>
      <c r="H1610" s="1191"/>
      <c r="I1610" s="706" t="s">
        <v>1993</v>
      </c>
    </row>
    <row r="1611" spans="1:9">
      <c r="A1611" s="706">
        <v>106704</v>
      </c>
      <c r="B1611" s="706" t="s">
        <v>3295</v>
      </c>
      <c r="D1611" s="706" t="s">
        <v>1841</v>
      </c>
      <c r="H1611" s="1191"/>
      <c r="I1611" s="706" t="s">
        <v>1993</v>
      </c>
    </row>
    <row r="1612" spans="1:9">
      <c r="A1612" s="706">
        <v>106705</v>
      </c>
      <c r="B1612" s="706" t="s">
        <v>3296</v>
      </c>
      <c r="D1612" s="706" t="s">
        <v>1841</v>
      </c>
      <c r="H1612" s="1191"/>
      <c r="I1612" s="706" t="s">
        <v>1993</v>
      </c>
    </row>
    <row r="1613" spans="1:9">
      <c r="A1613" s="706">
        <v>106706</v>
      </c>
      <c r="B1613" s="706" t="s">
        <v>3297</v>
      </c>
      <c r="D1613" s="706" t="s">
        <v>1841</v>
      </c>
      <c r="H1613" s="1191"/>
      <c r="I1613" s="706" t="s">
        <v>1993</v>
      </c>
    </row>
    <row r="1614" spans="1:9">
      <c r="A1614" s="706">
        <v>106707</v>
      </c>
      <c r="B1614" s="706" t="s">
        <v>3298</v>
      </c>
      <c r="D1614" s="706" t="s">
        <v>1841</v>
      </c>
      <c r="H1614" s="1191"/>
      <c r="I1614" s="706" t="s">
        <v>1993</v>
      </c>
    </row>
    <row r="1615" spans="1:9">
      <c r="A1615" s="706">
        <v>106708</v>
      </c>
      <c r="B1615" s="706" t="s">
        <v>3299</v>
      </c>
      <c r="D1615" s="706" t="s">
        <v>1841</v>
      </c>
      <c r="H1615" s="1191"/>
      <c r="I1615" s="706" t="s">
        <v>1993</v>
      </c>
    </row>
    <row r="1616" spans="1:9">
      <c r="A1616" s="706">
        <v>106709</v>
      </c>
      <c r="B1616" s="706" t="s">
        <v>3300</v>
      </c>
      <c r="D1616" s="706" t="s">
        <v>1841</v>
      </c>
      <c r="H1616" s="1191"/>
      <c r="I1616" s="706" t="s">
        <v>1993</v>
      </c>
    </row>
    <row r="1617" spans="1:9">
      <c r="A1617" s="706">
        <v>106710</v>
      </c>
      <c r="B1617" s="706" t="s">
        <v>3301</v>
      </c>
      <c r="D1617" s="706" t="s">
        <v>1841</v>
      </c>
      <c r="H1617" s="1191"/>
      <c r="I1617" s="706" t="s">
        <v>1993</v>
      </c>
    </row>
    <row r="1618" spans="1:9">
      <c r="A1618" s="706">
        <v>106711</v>
      </c>
      <c r="B1618" s="706" t="s">
        <v>3302</v>
      </c>
      <c r="D1618" s="706" t="s">
        <v>1841</v>
      </c>
      <c r="H1618" s="1191"/>
      <c r="I1618" s="706" t="s">
        <v>1993</v>
      </c>
    </row>
    <row r="1619" spans="1:9">
      <c r="A1619" s="706">
        <v>106712</v>
      </c>
      <c r="B1619" s="706" t="s">
        <v>3303</v>
      </c>
      <c r="D1619" s="706" t="s">
        <v>1841</v>
      </c>
      <c r="H1619" s="1191"/>
      <c r="I1619" s="706" t="s">
        <v>1993</v>
      </c>
    </row>
    <row r="1620" spans="1:9">
      <c r="A1620" s="706">
        <v>106713</v>
      </c>
      <c r="B1620" s="706" t="s">
        <v>3304</v>
      </c>
      <c r="D1620" s="706" t="s">
        <v>1841</v>
      </c>
      <c r="H1620" s="1191"/>
      <c r="I1620" s="706" t="s">
        <v>1993</v>
      </c>
    </row>
    <row r="1621" spans="1:9">
      <c r="A1621" s="706">
        <v>106714</v>
      </c>
      <c r="B1621" s="706" t="s">
        <v>3305</v>
      </c>
      <c r="D1621" s="706" t="s">
        <v>1841</v>
      </c>
      <c r="H1621" s="1191"/>
      <c r="I1621" s="706" t="s">
        <v>1993</v>
      </c>
    </row>
    <row r="1622" spans="1:9">
      <c r="A1622" s="706">
        <v>106715</v>
      </c>
      <c r="B1622" s="706" t="s">
        <v>3306</v>
      </c>
      <c r="D1622" s="706" t="s">
        <v>1841</v>
      </c>
      <c r="H1622" s="1191"/>
      <c r="I1622" s="706" t="s">
        <v>1993</v>
      </c>
    </row>
    <row r="1623" spans="1:9">
      <c r="A1623" s="706">
        <v>106716</v>
      </c>
      <c r="B1623" s="706" t="s">
        <v>3307</v>
      </c>
      <c r="D1623" s="706" t="s">
        <v>1841</v>
      </c>
      <c r="H1623" s="1191"/>
      <c r="I1623" s="706" t="s">
        <v>1993</v>
      </c>
    </row>
    <row r="1624" spans="1:9">
      <c r="A1624" s="706">
        <v>106717</v>
      </c>
      <c r="B1624" s="706" t="s">
        <v>3308</v>
      </c>
      <c r="D1624" s="706" t="s">
        <v>1841</v>
      </c>
      <c r="H1624" s="1191"/>
      <c r="I1624" s="706" t="s">
        <v>1993</v>
      </c>
    </row>
    <row r="1625" spans="1:9">
      <c r="A1625" s="706">
        <v>106718</v>
      </c>
      <c r="B1625" s="706" t="s">
        <v>3309</v>
      </c>
      <c r="D1625" s="706" t="s">
        <v>1841</v>
      </c>
      <c r="H1625" s="1191"/>
      <c r="I1625" s="706" t="s">
        <v>1993</v>
      </c>
    </row>
    <row r="1626" spans="1:9">
      <c r="A1626" s="706">
        <v>106719</v>
      </c>
      <c r="B1626" s="706" t="s">
        <v>3310</v>
      </c>
      <c r="D1626" s="706" t="s">
        <v>1841</v>
      </c>
      <c r="H1626" s="1191"/>
      <c r="I1626" s="706" t="s">
        <v>1993</v>
      </c>
    </row>
    <row r="1627" spans="1:9">
      <c r="A1627" s="706">
        <v>106720</v>
      </c>
      <c r="B1627" s="706" t="s">
        <v>3311</v>
      </c>
      <c r="D1627" s="706" t="s">
        <v>1841</v>
      </c>
      <c r="H1627" s="1191"/>
      <c r="I1627" s="706" t="s">
        <v>1993</v>
      </c>
    </row>
    <row r="1628" spans="1:9">
      <c r="A1628" s="706">
        <v>106721</v>
      </c>
      <c r="B1628" s="706" t="s">
        <v>3312</v>
      </c>
      <c r="D1628" s="706" t="s">
        <v>1841</v>
      </c>
      <c r="H1628" s="1191"/>
      <c r="I1628" s="706" t="s">
        <v>1993</v>
      </c>
    </row>
    <row r="1629" spans="1:9">
      <c r="A1629" s="706">
        <v>106722</v>
      </c>
      <c r="B1629" s="706" t="s">
        <v>3313</v>
      </c>
      <c r="D1629" s="706" t="s">
        <v>1841</v>
      </c>
      <c r="H1629" s="1191"/>
      <c r="I1629" s="706" t="s">
        <v>1993</v>
      </c>
    </row>
    <row r="1630" spans="1:9">
      <c r="A1630" s="706">
        <v>106723</v>
      </c>
      <c r="B1630" s="706" t="s">
        <v>3314</v>
      </c>
      <c r="D1630" s="706" t="s">
        <v>1841</v>
      </c>
      <c r="H1630" s="1191"/>
      <c r="I1630" s="706" t="s">
        <v>1993</v>
      </c>
    </row>
    <row r="1631" spans="1:9">
      <c r="A1631" s="706">
        <v>106724</v>
      </c>
      <c r="B1631" s="706" t="s">
        <v>3315</v>
      </c>
      <c r="D1631" s="706" t="s">
        <v>1841</v>
      </c>
      <c r="H1631" s="1191"/>
      <c r="I1631" s="706" t="s">
        <v>1993</v>
      </c>
    </row>
    <row r="1632" spans="1:9">
      <c r="A1632" s="706">
        <v>106725</v>
      </c>
      <c r="B1632" s="706" t="s">
        <v>3316</v>
      </c>
      <c r="D1632" s="706" t="s">
        <v>1841</v>
      </c>
      <c r="H1632" s="1191"/>
      <c r="I1632" s="706" t="s">
        <v>1993</v>
      </c>
    </row>
    <row r="1633" spans="1:9">
      <c r="A1633" s="706">
        <v>106726</v>
      </c>
      <c r="B1633" s="706" t="s">
        <v>3317</v>
      </c>
      <c r="D1633" s="706" t="s">
        <v>1841</v>
      </c>
      <c r="H1633" s="1191"/>
      <c r="I1633" s="706" t="s">
        <v>1993</v>
      </c>
    </row>
    <row r="1634" spans="1:9">
      <c r="A1634" s="706">
        <v>106727</v>
      </c>
      <c r="B1634" s="706" t="s">
        <v>3318</v>
      </c>
      <c r="D1634" s="706" t="s">
        <v>1841</v>
      </c>
      <c r="H1634" s="1191"/>
      <c r="I1634" s="706" t="s">
        <v>1993</v>
      </c>
    </row>
    <row r="1635" spans="1:9">
      <c r="A1635" s="706">
        <v>106728</v>
      </c>
      <c r="B1635" s="706" t="s">
        <v>3319</v>
      </c>
      <c r="D1635" s="706" t="s">
        <v>1841</v>
      </c>
      <c r="H1635" s="1191"/>
      <c r="I1635" s="706" t="s">
        <v>1993</v>
      </c>
    </row>
    <row r="1636" spans="1:9">
      <c r="A1636" s="706">
        <v>106729</v>
      </c>
      <c r="B1636" s="706" t="s">
        <v>3320</v>
      </c>
      <c r="D1636" s="706" t="s">
        <v>1841</v>
      </c>
      <c r="H1636" s="1191"/>
      <c r="I1636" s="706" t="s">
        <v>1993</v>
      </c>
    </row>
    <row r="1637" spans="1:9">
      <c r="A1637" s="706">
        <v>106730</v>
      </c>
      <c r="B1637" s="706" t="s">
        <v>3321</v>
      </c>
      <c r="D1637" s="706" t="s">
        <v>1841</v>
      </c>
      <c r="H1637" s="1191"/>
      <c r="I1637" s="706" t="s">
        <v>1993</v>
      </c>
    </row>
    <row r="1638" spans="1:9">
      <c r="A1638" s="706">
        <v>106731</v>
      </c>
      <c r="B1638" s="706" t="s">
        <v>3322</v>
      </c>
      <c r="D1638" s="706" t="s">
        <v>1841</v>
      </c>
      <c r="H1638" s="1191"/>
      <c r="I1638" s="706" t="s">
        <v>1993</v>
      </c>
    </row>
    <row r="1639" spans="1:9">
      <c r="A1639" s="706">
        <v>106732</v>
      </c>
      <c r="B1639" s="706" t="s">
        <v>3323</v>
      </c>
      <c r="D1639" s="706" t="s">
        <v>1841</v>
      </c>
      <c r="H1639" s="1191"/>
      <c r="I1639" s="706" t="s">
        <v>1993</v>
      </c>
    </row>
    <row r="1640" spans="1:9">
      <c r="A1640" s="706">
        <v>106733</v>
      </c>
      <c r="B1640" s="706" t="s">
        <v>3324</v>
      </c>
      <c r="D1640" s="706" t="s">
        <v>1841</v>
      </c>
      <c r="H1640" s="1191"/>
      <c r="I1640" s="706" t="s">
        <v>1993</v>
      </c>
    </row>
    <row r="1641" spans="1:9">
      <c r="A1641" s="706">
        <v>106734</v>
      </c>
      <c r="B1641" s="706" t="s">
        <v>3325</v>
      </c>
      <c r="D1641" s="706" t="s">
        <v>1841</v>
      </c>
      <c r="H1641" s="1191"/>
      <c r="I1641" s="706" t="s">
        <v>1993</v>
      </c>
    </row>
    <row r="1642" spans="1:9">
      <c r="A1642" s="706">
        <v>106735</v>
      </c>
      <c r="B1642" s="706" t="s">
        <v>3326</v>
      </c>
      <c r="D1642" s="706" t="s">
        <v>1841</v>
      </c>
      <c r="H1642" s="1191"/>
      <c r="I1642" s="706" t="s">
        <v>1993</v>
      </c>
    </row>
    <row r="1643" spans="1:9">
      <c r="A1643" s="706">
        <v>106736</v>
      </c>
      <c r="B1643" s="706" t="s">
        <v>3327</v>
      </c>
      <c r="D1643" s="706" t="s">
        <v>1841</v>
      </c>
      <c r="H1643" s="1191"/>
      <c r="I1643" s="706" t="s">
        <v>1993</v>
      </c>
    </row>
    <row r="1644" spans="1:9">
      <c r="A1644" s="706">
        <v>106737</v>
      </c>
      <c r="B1644" s="706" t="s">
        <v>3328</v>
      </c>
      <c r="D1644" s="706" t="s">
        <v>1841</v>
      </c>
      <c r="H1644" s="1191"/>
      <c r="I1644" s="706" t="s">
        <v>1993</v>
      </c>
    </row>
    <row r="1645" spans="1:9">
      <c r="A1645" s="706">
        <v>106738</v>
      </c>
      <c r="B1645" s="706" t="s">
        <v>3329</v>
      </c>
      <c r="D1645" s="706" t="s">
        <v>1841</v>
      </c>
      <c r="H1645" s="1191"/>
      <c r="I1645" s="706" t="s">
        <v>1993</v>
      </c>
    </row>
    <row r="1646" spans="1:9">
      <c r="A1646" s="706">
        <v>106739</v>
      </c>
      <c r="B1646" s="706" t="s">
        <v>3330</v>
      </c>
      <c r="D1646" s="706" t="s">
        <v>1841</v>
      </c>
      <c r="H1646" s="1191"/>
      <c r="I1646" s="706" t="s">
        <v>1993</v>
      </c>
    </row>
    <row r="1647" spans="1:9">
      <c r="A1647" s="706">
        <v>106740</v>
      </c>
      <c r="B1647" s="706" t="s">
        <v>3331</v>
      </c>
      <c r="D1647" s="706" t="s">
        <v>1841</v>
      </c>
      <c r="H1647" s="1191"/>
      <c r="I1647" s="706" t="s">
        <v>1993</v>
      </c>
    </row>
    <row r="1648" spans="1:9">
      <c r="A1648" s="706">
        <v>106741</v>
      </c>
      <c r="B1648" s="706" t="s">
        <v>3332</v>
      </c>
      <c r="D1648" s="706" t="s">
        <v>1841</v>
      </c>
      <c r="H1648" s="1191"/>
      <c r="I1648" s="706" t="s">
        <v>1993</v>
      </c>
    </row>
    <row r="1649" spans="1:9">
      <c r="A1649" s="706">
        <v>106742</v>
      </c>
      <c r="B1649" s="706" t="s">
        <v>3333</v>
      </c>
      <c r="D1649" s="706" t="s">
        <v>1841</v>
      </c>
      <c r="H1649" s="1191"/>
      <c r="I1649" s="706" t="s">
        <v>1993</v>
      </c>
    </row>
    <row r="1650" spans="1:9">
      <c r="A1650" s="706">
        <v>106743</v>
      </c>
      <c r="B1650" s="706" t="s">
        <v>3334</v>
      </c>
      <c r="D1650" s="706" t="s">
        <v>1841</v>
      </c>
      <c r="H1650" s="1191"/>
      <c r="I1650" s="706" t="s">
        <v>1993</v>
      </c>
    </row>
    <row r="1651" spans="1:9">
      <c r="A1651" s="706">
        <v>106744</v>
      </c>
      <c r="B1651" s="706" t="s">
        <v>3335</v>
      </c>
      <c r="D1651" s="706" t="s">
        <v>1841</v>
      </c>
      <c r="H1651" s="1191"/>
      <c r="I1651" s="706" t="s">
        <v>1993</v>
      </c>
    </row>
    <row r="1652" spans="1:9">
      <c r="A1652" s="706">
        <v>106745</v>
      </c>
      <c r="B1652" s="706" t="s">
        <v>3336</v>
      </c>
      <c r="D1652" s="706" t="s">
        <v>1841</v>
      </c>
      <c r="H1652" s="1191"/>
      <c r="I1652" s="706" t="s">
        <v>1993</v>
      </c>
    </row>
    <row r="1653" spans="1:9">
      <c r="A1653" s="706">
        <v>106746</v>
      </c>
      <c r="B1653" s="706" t="s">
        <v>3337</v>
      </c>
      <c r="D1653" s="706" t="s">
        <v>1841</v>
      </c>
      <c r="H1653" s="1191"/>
      <c r="I1653" s="706" t="s">
        <v>1993</v>
      </c>
    </row>
    <row r="1654" spans="1:9">
      <c r="A1654" s="706">
        <v>106747</v>
      </c>
      <c r="B1654" s="706" t="s">
        <v>3338</v>
      </c>
      <c r="D1654" s="706" t="s">
        <v>1841</v>
      </c>
      <c r="H1654" s="1191"/>
      <c r="I1654" s="706" t="s">
        <v>1993</v>
      </c>
    </row>
    <row r="1655" spans="1:9">
      <c r="A1655" s="706">
        <v>106748</v>
      </c>
      <c r="B1655" s="706" t="s">
        <v>3339</v>
      </c>
      <c r="D1655" s="706" t="s">
        <v>1841</v>
      </c>
      <c r="H1655" s="1191"/>
      <c r="I1655" s="706" t="s">
        <v>1993</v>
      </c>
    </row>
    <row r="1656" spans="1:9">
      <c r="A1656" s="706">
        <v>106749</v>
      </c>
      <c r="B1656" s="706" t="s">
        <v>3340</v>
      </c>
      <c r="D1656" s="706" t="s">
        <v>1841</v>
      </c>
      <c r="H1656" s="1191"/>
      <c r="I1656" s="706" t="s">
        <v>1993</v>
      </c>
    </row>
    <row r="1657" spans="1:9">
      <c r="A1657" s="706">
        <v>106750</v>
      </c>
      <c r="B1657" s="706" t="s">
        <v>3341</v>
      </c>
      <c r="D1657" s="706" t="s">
        <v>1841</v>
      </c>
      <c r="H1657" s="1191"/>
      <c r="I1657" s="706" t="s">
        <v>1993</v>
      </c>
    </row>
    <row r="1658" spans="1:9">
      <c r="A1658" s="706">
        <v>106751</v>
      </c>
      <c r="B1658" s="706" t="s">
        <v>3342</v>
      </c>
      <c r="D1658" s="706" t="s">
        <v>1841</v>
      </c>
      <c r="H1658" s="1191"/>
      <c r="I1658" s="706" t="s">
        <v>1993</v>
      </c>
    </row>
    <row r="1659" spans="1:9">
      <c r="A1659" s="706">
        <v>106752</v>
      </c>
      <c r="B1659" s="706" t="s">
        <v>3343</v>
      </c>
      <c r="D1659" s="706" t="s">
        <v>1841</v>
      </c>
      <c r="H1659" s="1191"/>
      <c r="I1659" s="706" t="s">
        <v>1993</v>
      </c>
    </row>
    <row r="1660" spans="1:9">
      <c r="A1660" s="706">
        <v>106753</v>
      </c>
      <c r="B1660" s="706" t="s">
        <v>3344</v>
      </c>
      <c r="D1660" s="706" t="s">
        <v>1841</v>
      </c>
      <c r="H1660" s="1191"/>
      <c r="I1660" s="706" t="s">
        <v>1993</v>
      </c>
    </row>
    <row r="1661" spans="1:9">
      <c r="A1661" s="706">
        <v>106754</v>
      </c>
      <c r="B1661" s="706" t="s">
        <v>3345</v>
      </c>
      <c r="D1661" s="706" t="s">
        <v>1841</v>
      </c>
      <c r="H1661" s="1191"/>
      <c r="I1661" s="706" t="s">
        <v>1993</v>
      </c>
    </row>
    <row r="1662" spans="1:9">
      <c r="A1662" s="706">
        <v>106755</v>
      </c>
      <c r="B1662" s="706" t="s">
        <v>3346</v>
      </c>
      <c r="D1662" s="706" t="s">
        <v>1841</v>
      </c>
      <c r="H1662" s="1191"/>
      <c r="I1662" s="706" t="s">
        <v>1993</v>
      </c>
    </row>
    <row r="1663" spans="1:9">
      <c r="A1663" s="706">
        <v>106756</v>
      </c>
      <c r="B1663" s="706" t="s">
        <v>3347</v>
      </c>
      <c r="D1663" s="706" t="s">
        <v>1841</v>
      </c>
      <c r="H1663" s="1191"/>
      <c r="I1663" s="706" t="s">
        <v>1993</v>
      </c>
    </row>
    <row r="1664" spans="1:9">
      <c r="A1664" s="706">
        <v>106757</v>
      </c>
      <c r="B1664" s="706" t="s">
        <v>3348</v>
      </c>
      <c r="C1664" s="706" t="s">
        <v>8189</v>
      </c>
      <c r="D1664" s="706" t="s">
        <v>1841</v>
      </c>
      <c r="E1664" s="706">
        <v>68</v>
      </c>
      <c r="F1664" s="706" t="s">
        <v>28</v>
      </c>
      <c r="G1664" s="706">
        <v>40051</v>
      </c>
      <c r="H1664" s="1191">
        <v>43874</v>
      </c>
      <c r="I1664" s="706" t="s">
        <v>1993</v>
      </c>
    </row>
    <row r="1665" spans="1:9">
      <c r="A1665" s="706">
        <v>106758</v>
      </c>
      <c r="B1665" s="706" t="s">
        <v>3349</v>
      </c>
      <c r="D1665" s="706" t="s">
        <v>1841</v>
      </c>
      <c r="H1665" s="1191"/>
      <c r="I1665" s="706" t="s">
        <v>1993</v>
      </c>
    </row>
    <row r="1666" spans="1:9">
      <c r="A1666" s="706">
        <v>106759</v>
      </c>
      <c r="B1666" s="706" t="s">
        <v>3350</v>
      </c>
      <c r="D1666" s="706" t="s">
        <v>1841</v>
      </c>
      <c r="H1666" s="1191"/>
      <c r="I1666" s="706" t="s">
        <v>1993</v>
      </c>
    </row>
    <row r="1667" spans="1:9">
      <c r="A1667" s="706">
        <v>106760</v>
      </c>
      <c r="B1667" s="706" t="s">
        <v>3351</v>
      </c>
      <c r="D1667" s="706" t="s">
        <v>1841</v>
      </c>
      <c r="H1667" s="1191"/>
      <c r="I1667" s="706" t="s">
        <v>1993</v>
      </c>
    </row>
    <row r="1668" spans="1:9">
      <c r="A1668" s="706">
        <v>106761</v>
      </c>
      <c r="B1668" s="706" t="s">
        <v>3352</v>
      </c>
      <c r="D1668" s="706" t="s">
        <v>1841</v>
      </c>
      <c r="H1668" s="1191"/>
      <c r="I1668" s="706" t="s">
        <v>1993</v>
      </c>
    </row>
    <row r="1669" spans="1:9">
      <c r="A1669" s="706">
        <v>106762</v>
      </c>
      <c r="B1669" s="706" t="s">
        <v>3353</v>
      </c>
      <c r="D1669" s="706" t="s">
        <v>1841</v>
      </c>
      <c r="H1669" s="1191"/>
      <c r="I1669" s="706" t="s">
        <v>1993</v>
      </c>
    </row>
    <row r="1670" spans="1:9">
      <c r="A1670" s="706">
        <v>106763</v>
      </c>
      <c r="B1670" s="706" t="s">
        <v>3354</v>
      </c>
      <c r="D1670" s="706" t="s">
        <v>1841</v>
      </c>
      <c r="H1670" s="1191"/>
      <c r="I1670" s="706" t="s">
        <v>1993</v>
      </c>
    </row>
    <row r="1671" spans="1:9">
      <c r="A1671" s="706">
        <v>106764</v>
      </c>
      <c r="B1671" s="706" t="s">
        <v>3355</v>
      </c>
      <c r="C1671" s="706" t="s">
        <v>8189</v>
      </c>
      <c r="D1671" s="706" t="s">
        <v>1841</v>
      </c>
      <c r="E1671" s="706">
        <v>47</v>
      </c>
      <c r="F1671" s="706" t="s">
        <v>28</v>
      </c>
      <c r="G1671" s="706">
        <v>402292</v>
      </c>
      <c r="H1671" s="1191">
        <v>44208</v>
      </c>
      <c r="I1671" s="706" t="s">
        <v>1993</v>
      </c>
    </row>
    <row r="1672" spans="1:9">
      <c r="A1672" s="706">
        <v>106765</v>
      </c>
      <c r="B1672" s="706" t="s">
        <v>3356</v>
      </c>
      <c r="D1672" s="706" t="s">
        <v>1841</v>
      </c>
      <c r="H1672" s="1191"/>
      <c r="I1672" s="706" t="s">
        <v>1993</v>
      </c>
    </row>
    <row r="1673" spans="1:9">
      <c r="A1673" s="706">
        <v>106766</v>
      </c>
      <c r="B1673" s="706" t="s">
        <v>3357</v>
      </c>
      <c r="D1673" s="706" t="s">
        <v>1841</v>
      </c>
      <c r="H1673" s="1191"/>
      <c r="I1673" s="706" t="s">
        <v>1993</v>
      </c>
    </row>
    <row r="1674" spans="1:9">
      <c r="A1674" s="706">
        <v>106767</v>
      </c>
      <c r="B1674" s="706" t="s">
        <v>3358</v>
      </c>
      <c r="D1674" s="706" t="s">
        <v>1841</v>
      </c>
      <c r="H1674" s="1191"/>
      <c r="I1674" s="706" t="s">
        <v>1993</v>
      </c>
    </row>
    <row r="1675" spans="1:9">
      <c r="A1675" s="706">
        <v>106768</v>
      </c>
      <c r="B1675" s="706" t="s">
        <v>3359</v>
      </c>
      <c r="D1675" s="706" t="s">
        <v>1841</v>
      </c>
      <c r="H1675" s="1191"/>
      <c r="I1675" s="706" t="s">
        <v>1993</v>
      </c>
    </row>
    <row r="1676" spans="1:9">
      <c r="A1676" s="706">
        <v>106769</v>
      </c>
      <c r="B1676" s="706" t="s">
        <v>3360</v>
      </c>
      <c r="D1676" s="706" t="s">
        <v>1841</v>
      </c>
      <c r="H1676" s="1191"/>
      <c r="I1676" s="706" t="s">
        <v>1993</v>
      </c>
    </row>
    <row r="1677" spans="1:9">
      <c r="A1677" s="706">
        <v>106770</v>
      </c>
      <c r="B1677" s="706" t="s">
        <v>3361</v>
      </c>
      <c r="D1677" s="706" t="s">
        <v>1841</v>
      </c>
      <c r="H1677" s="1191"/>
      <c r="I1677" s="706" t="s">
        <v>1993</v>
      </c>
    </row>
    <row r="1678" spans="1:9">
      <c r="A1678" s="706">
        <v>106771</v>
      </c>
      <c r="B1678" s="706" t="s">
        <v>3362</v>
      </c>
      <c r="D1678" s="706" t="s">
        <v>1841</v>
      </c>
      <c r="H1678" s="1191"/>
      <c r="I1678" s="706" t="s">
        <v>1993</v>
      </c>
    </row>
    <row r="1679" spans="1:9">
      <c r="A1679" s="706">
        <v>106772</v>
      </c>
      <c r="B1679" s="706" t="s">
        <v>3363</v>
      </c>
      <c r="D1679" s="706" t="s">
        <v>1841</v>
      </c>
      <c r="H1679" s="1191"/>
      <c r="I1679" s="706" t="s">
        <v>1993</v>
      </c>
    </row>
    <row r="1680" spans="1:9">
      <c r="A1680" s="706">
        <v>106773</v>
      </c>
      <c r="B1680" s="706" t="s">
        <v>3364</v>
      </c>
      <c r="D1680" s="706" t="s">
        <v>1841</v>
      </c>
      <c r="H1680" s="1191"/>
      <c r="I1680" s="706" t="s">
        <v>1993</v>
      </c>
    </row>
    <row r="1681" spans="1:9">
      <c r="A1681" s="706">
        <v>106774</v>
      </c>
      <c r="B1681" s="706" t="s">
        <v>3365</v>
      </c>
      <c r="D1681" s="706" t="s">
        <v>1841</v>
      </c>
      <c r="H1681" s="1191"/>
      <c r="I1681" s="706" t="s">
        <v>1993</v>
      </c>
    </row>
    <row r="1682" spans="1:9">
      <c r="A1682" s="706">
        <v>106775</v>
      </c>
      <c r="B1682" s="706" t="s">
        <v>3366</v>
      </c>
      <c r="D1682" s="706" t="s">
        <v>1841</v>
      </c>
      <c r="H1682" s="1191"/>
      <c r="I1682" s="706" t="s">
        <v>1993</v>
      </c>
    </row>
    <row r="1683" spans="1:9">
      <c r="A1683" s="706">
        <v>106776</v>
      </c>
      <c r="B1683" s="706" t="s">
        <v>3367</v>
      </c>
      <c r="D1683" s="706" t="s">
        <v>1841</v>
      </c>
      <c r="H1683" s="1191"/>
      <c r="I1683" s="706" t="s">
        <v>1993</v>
      </c>
    </row>
    <row r="1684" spans="1:9">
      <c r="A1684" s="706">
        <v>106777</v>
      </c>
      <c r="B1684" s="706" t="s">
        <v>3368</v>
      </c>
      <c r="D1684" s="706" t="s">
        <v>1841</v>
      </c>
      <c r="H1684" s="1191"/>
      <c r="I1684" s="706" t="s">
        <v>1993</v>
      </c>
    </row>
    <row r="1685" spans="1:9">
      <c r="A1685" s="706">
        <v>106778</v>
      </c>
      <c r="B1685" s="706" t="s">
        <v>3369</v>
      </c>
      <c r="D1685" s="706" t="s">
        <v>1841</v>
      </c>
      <c r="H1685" s="1191"/>
      <c r="I1685" s="706" t="s">
        <v>1993</v>
      </c>
    </row>
    <row r="1686" spans="1:9">
      <c r="A1686" s="706">
        <v>106779</v>
      </c>
      <c r="B1686" s="706" t="s">
        <v>3370</v>
      </c>
      <c r="D1686" s="706" t="s">
        <v>1841</v>
      </c>
      <c r="H1686" s="1191"/>
      <c r="I1686" s="706" t="s">
        <v>1993</v>
      </c>
    </row>
    <row r="1687" spans="1:9">
      <c r="A1687" s="706">
        <v>106780</v>
      </c>
      <c r="B1687" s="706" t="s">
        <v>3371</v>
      </c>
      <c r="D1687" s="706" t="s">
        <v>1841</v>
      </c>
      <c r="H1687" s="1191"/>
      <c r="I1687" s="706" t="s">
        <v>1993</v>
      </c>
    </row>
    <row r="1688" spans="1:9">
      <c r="A1688" s="706">
        <v>106781</v>
      </c>
      <c r="B1688" s="706" t="s">
        <v>3372</v>
      </c>
      <c r="D1688" s="706" t="s">
        <v>1841</v>
      </c>
      <c r="H1688" s="1191"/>
      <c r="I1688" s="706" t="s">
        <v>1993</v>
      </c>
    </row>
    <row r="1689" spans="1:9">
      <c r="A1689" s="706">
        <v>106782</v>
      </c>
      <c r="B1689" s="706" t="s">
        <v>3373</v>
      </c>
      <c r="D1689" s="706" t="s">
        <v>1841</v>
      </c>
      <c r="H1689" s="1191"/>
      <c r="I1689" s="706" t="s">
        <v>1993</v>
      </c>
    </row>
    <row r="1690" spans="1:9">
      <c r="A1690" s="706">
        <v>106783</v>
      </c>
      <c r="B1690" s="706" t="s">
        <v>3374</v>
      </c>
      <c r="D1690" s="706" t="s">
        <v>1841</v>
      </c>
      <c r="H1690" s="1191"/>
      <c r="I1690" s="706" t="s">
        <v>1993</v>
      </c>
    </row>
    <row r="1691" spans="1:9">
      <c r="A1691" s="706">
        <v>106784</v>
      </c>
      <c r="B1691" s="706" t="s">
        <v>3375</v>
      </c>
      <c r="D1691" s="706" t="s">
        <v>1841</v>
      </c>
      <c r="H1691" s="1191"/>
      <c r="I1691" s="706" t="s">
        <v>1993</v>
      </c>
    </row>
    <row r="1692" spans="1:9">
      <c r="A1692" s="706">
        <v>106785</v>
      </c>
      <c r="B1692" s="706" t="s">
        <v>3376</v>
      </c>
      <c r="D1692" s="706" t="s">
        <v>1841</v>
      </c>
      <c r="H1692" s="1191"/>
      <c r="I1692" s="706" t="s">
        <v>1993</v>
      </c>
    </row>
    <row r="1693" spans="1:9">
      <c r="A1693" s="706">
        <v>106786</v>
      </c>
      <c r="B1693" s="706" t="s">
        <v>3377</v>
      </c>
      <c r="D1693" s="706" t="s">
        <v>1841</v>
      </c>
      <c r="H1693" s="1191"/>
      <c r="I1693" s="706" t="s">
        <v>1993</v>
      </c>
    </row>
    <row r="1694" spans="1:9">
      <c r="A1694" s="706">
        <v>106787</v>
      </c>
      <c r="B1694" s="706" t="s">
        <v>3378</v>
      </c>
      <c r="D1694" s="706" t="s">
        <v>1841</v>
      </c>
      <c r="H1694" s="1191"/>
      <c r="I1694" s="706" t="s">
        <v>1993</v>
      </c>
    </row>
    <row r="1695" spans="1:9">
      <c r="A1695" s="706">
        <v>106788</v>
      </c>
      <c r="B1695" s="706" t="s">
        <v>3379</v>
      </c>
      <c r="D1695" s="706" t="s">
        <v>1841</v>
      </c>
      <c r="H1695" s="1191"/>
      <c r="I1695" s="706" t="s">
        <v>1993</v>
      </c>
    </row>
    <row r="1696" spans="1:9">
      <c r="A1696" s="706">
        <v>106789</v>
      </c>
      <c r="B1696" s="706" t="s">
        <v>3380</v>
      </c>
      <c r="D1696" s="706" t="s">
        <v>1841</v>
      </c>
      <c r="H1696" s="1191"/>
      <c r="I1696" s="706" t="s">
        <v>1993</v>
      </c>
    </row>
    <row r="1697" spans="1:9">
      <c r="A1697" s="706">
        <v>106790</v>
      </c>
      <c r="B1697" s="706" t="s">
        <v>3381</v>
      </c>
      <c r="D1697" s="706" t="s">
        <v>1841</v>
      </c>
      <c r="H1697" s="1191"/>
      <c r="I1697" s="706" t="s">
        <v>1993</v>
      </c>
    </row>
    <row r="1698" spans="1:9">
      <c r="A1698" s="706">
        <v>106791</v>
      </c>
      <c r="B1698" s="706" t="s">
        <v>3382</v>
      </c>
      <c r="D1698" s="706" t="s">
        <v>1841</v>
      </c>
      <c r="H1698" s="1191"/>
      <c r="I1698" s="706" t="s">
        <v>1993</v>
      </c>
    </row>
    <row r="1699" spans="1:9">
      <c r="A1699" s="706">
        <v>106792</v>
      </c>
      <c r="B1699" s="706" t="s">
        <v>3383</v>
      </c>
      <c r="D1699" s="706" t="s">
        <v>1841</v>
      </c>
      <c r="H1699" s="1191"/>
      <c r="I1699" s="706" t="s">
        <v>1993</v>
      </c>
    </row>
    <row r="1700" spans="1:9">
      <c r="A1700" s="706">
        <v>106793</v>
      </c>
      <c r="B1700" s="706" t="s">
        <v>3384</v>
      </c>
      <c r="D1700" s="706" t="s">
        <v>1841</v>
      </c>
      <c r="H1700" s="1191"/>
      <c r="I1700" s="706" t="s">
        <v>1993</v>
      </c>
    </row>
    <row r="1701" spans="1:9">
      <c r="A1701" s="706">
        <v>106794</v>
      </c>
      <c r="B1701" s="706" t="s">
        <v>3385</v>
      </c>
      <c r="D1701" s="706" t="s">
        <v>1841</v>
      </c>
      <c r="H1701" s="1191"/>
      <c r="I1701" s="706" t="s">
        <v>1993</v>
      </c>
    </row>
    <row r="1702" spans="1:9">
      <c r="A1702" s="706">
        <v>106795</v>
      </c>
      <c r="B1702" s="706" t="s">
        <v>3386</v>
      </c>
      <c r="D1702" s="706" t="s">
        <v>1841</v>
      </c>
      <c r="H1702" s="1191"/>
      <c r="I1702" s="706" t="s">
        <v>1993</v>
      </c>
    </row>
    <row r="1703" spans="1:9">
      <c r="A1703" s="706">
        <v>106796</v>
      </c>
      <c r="B1703" s="706" t="s">
        <v>3387</v>
      </c>
      <c r="D1703" s="706" t="s">
        <v>1841</v>
      </c>
      <c r="H1703" s="1191"/>
      <c r="I1703" s="706" t="s">
        <v>1993</v>
      </c>
    </row>
    <row r="1704" spans="1:9">
      <c r="A1704" s="706">
        <v>106797</v>
      </c>
      <c r="B1704" s="706" t="s">
        <v>3388</v>
      </c>
      <c r="D1704" s="706" t="s">
        <v>1841</v>
      </c>
      <c r="H1704" s="1191"/>
      <c r="I1704" s="706" t="s">
        <v>1993</v>
      </c>
    </row>
    <row r="1705" spans="1:9">
      <c r="A1705" s="706">
        <v>106798</v>
      </c>
      <c r="B1705" s="706" t="s">
        <v>3389</v>
      </c>
      <c r="D1705" s="706" t="s">
        <v>1841</v>
      </c>
      <c r="H1705" s="1191"/>
      <c r="I1705" s="706" t="s">
        <v>1993</v>
      </c>
    </row>
    <row r="1706" spans="1:9">
      <c r="A1706" s="706">
        <v>106799</v>
      </c>
      <c r="B1706" s="706" t="s">
        <v>3390</v>
      </c>
      <c r="D1706" s="706" t="s">
        <v>1841</v>
      </c>
      <c r="H1706" s="1191"/>
      <c r="I1706" s="706" t="s">
        <v>1993</v>
      </c>
    </row>
    <row r="1707" spans="1:9">
      <c r="A1707" s="706">
        <v>106800</v>
      </c>
      <c r="B1707" s="706" t="s">
        <v>3391</v>
      </c>
      <c r="D1707" s="706" t="s">
        <v>1841</v>
      </c>
      <c r="H1707" s="1191"/>
      <c r="I1707" s="706" t="s">
        <v>1993</v>
      </c>
    </row>
    <row r="1708" spans="1:9">
      <c r="A1708" s="706">
        <v>106801</v>
      </c>
      <c r="B1708" s="706" t="s">
        <v>3392</v>
      </c>
      <c r="D1708" s="706" t="s">
        <v>1841</v>
      </c>
      <c r="H1708" s="1191"/>
      <c r="I1708" s="706" t="s">
        <v>1993</v>
      </c>
    </row>
    <row r="1709" spans="1:9">
      <c r="A1709" s="706">
        <v>106802</v>
      </c>
      <c r="B1709" s="706" t="s">
        <v>3393</v>
      </c>
      <c r="D1709" s="706" t="s">
        <v>1841</v>
      </c>
      <c r="H1709" s="1191"/>
      <c r="I1709" s="706" t="s">
        <v>1993</v>
      </c>
    </row>
    <row r="1710" spans="1:9">
      <c r="A1710" s="706">
        <v>106803</v>
      </c>
      <c r="B1710" s="706" t="s">
        <v>3394</v>
      </c>
      <c r="D1710" s="706" t="s">
        <v>1841</v>
      </c>
      <c r="H1710" s="1191"/>
      <c r="I1710" s="706" t="s">
        <v>1993</v>
      </c>
    </row>
    <row r="1711" spans="1:9">
      <c r="A1711" s="706">
        <v>106804</v>
      </c>
      <c r="B1711" s="706" t="s">
        <v>3395</v>
      </c>
      <c r="D1711" s="706" t="s">
        <v>1841</v>
      </c>
      <c r="H1711" s="1191"/>
      <c r="I1711" s="706" t="s">
        <v>1993</v>
      </c>
    </row>
    <row r="1712" spans="1:9">
      <c r="A1712" s="706">
        <v>106805</v>
      </c>
      <c r="B1712" s="706" t="s">
        <v>3396</v>
      </c>
      <c r="D1712" s="706" t="s">
        <v>1841</v>
      </c>
      <c r="H1712" s="1191"/>
      <c r="I1712" s="706" t="s">
        <v>1993</v>
      </c>
    </row>
    <row r="1713" spans="1:9">
      <c r="A1713" s="706">
        <v>106806</v>
      </c>
      <c r="B1713" s="706" t="s">
        <v>3397</v>
      </c>
      <c r="D1713" s="706" t="s">
        <v>1841</v>
      </c>
      <c r="H1713" s="1191"/>
      <c r="I1713" s="706" t="s">
        <v>1993</v>
      </c>
    </row>
    <row r="1714" spans="1:9">
      <c r="A1714" s="706">
        <v>106807</v>
      </c>
      <c r="B1714" s="706" t="s">
        <v>3398</v>
      </c>
      <c r="D1714" s="706" t="s">
        <v>1841</v>
      </c>
      <c r="H1714" s="1191"/>
      <c r="I1714" s="706" t="s">
        <v>1993</v>
      </c>
    </row>
    <row r="1715" spans="1:9">
      <c r="A1715" s="706">
        <v>106808</v>
      </c>
      <c r="B1715" s="706" t="s">
        <v>3399</v>
      </c>
      <c r="D1715" s="706" t="s">
        <v>1841</v>
      </c>
      <c r="H1715" s="1191"/>
      <c r="I1715" s="706" t="s">
        <v>1993</v>
      </c>
    </row>
    <row r="1716" spans="1:9">
      <c r="A1716" s="706">
        <v>106809</v>
      </c>
      <c r="B1716" s="706" t="s">
        <v>3400</v>
      </c>
      <c r="D1716" s="706" t="s">
        <v>1841</v>
      </c>
      <c r="H1716" s="1191"/>
      <c r="I1716" s="706" t="s">
        <v>1993</v>
      </c>
    </row>
    <row r="1717" spans="1:9">
      <c r="A1717" s="706">
        <v>106810</v>
      </c>
      <c r="B1717" s="706" t="s">
        <v>3401</v>
      </c>
      <c r="D1717" s="706" t="s">
        <v>1841</v>
      </c>
      <c r="H1717" s="1191"/>
      <c r="I1717" s="706" t="s">
        <v>1993</v>
      </c>
    </row>
    <row r="1718" spans="1:9">
      <c r="A1718" s="706">
        <v>106811</v>
      </c>
      <c r="B1718" s="706" t="s">
        <v>3402</v>
      </c>
      <c r="C1718" s="706" t="s">
        <v>8189</v>
      </c>
      <c r="D1718" s="706" t="s">
        <v>1841</v>
      </c>
      <c r="E1718" s="706">
        <v>22</v>
      </c>
      <c r="F1718" s="706" t="s">
        <v>28</v>
      </c>
      <c r="G1718" s="706">
        <v>400077</v>
      </c>
      <c r="H1718" s="1191">
        <v>43924</v>
      </c>
      <c r="I1718" s="706" t="s">
        <v>1993</v>
      </c>
    </row>
    <row r="1719" spans="1:9">
      <c r="A1719" s="706">
        <v>106812</v>
      </c>
      <c r="B1719" s="706" t="s">
        <v>3403</v>
      </c>
      <c r="D1719" s="706" t="s">
        <v>1841</v>
      </c>
      <c r="H1719" s="1191"/>
      <c r="I1719" s="706" t="s">
        <v>1993</v>
      </c>
    </row>
    <row r="1720" spans="1:9">
      <c r="A1720" s="706">
        <v>106813</v>
      </c>
      <c r="B1720" s="706" t="s">
        <v>3404</v>
      </c>
      <c r="D1720" s="706" t="s">
        <v>1841</v>
      </c>
      <c r="H1720" s="1191"/>
      <c r="I1720" s="706" t="s">
        <v>1993</v>
      </c>
    </row>
    <row r="1721" spans="1:9">
      <c r="A1721" s="706">
        <v>106814</v>
      </c>
      <c r="B1721" s="706" t="s">
        <v>3405</v>
      </c>
      <c r="D1721" s="706" t="s">
        <v>1841</v>
      </c>
      <c r="H1721" s="1191"/>
      <c r="I1721" s="706" t="s">
        <v>1993</v>
      </c>
    </row>
    <row r="1722" spans="1:9">
      <c r="A1722" s="706">
        <v>106815</v>
      </c>
      <c r="B1722" s="706" t="s">
        <v>3406</v>
      </c>
      <c r="D1722" s="706" t="s">
        <v>1841</v>
      </c>
      <c r="H1722" s="1191"/>
      <c r="I1722" s="706" t="s">
        <v>1993</v>
      </c>
    </row>
    <row r="1723" spans="1:9">
      <c r="A1723" s="706">
        <v>106816</v>
      </c>
      <c r="B1723" s="706" t="s">
        <v>3407</v>
      </c>
      <c r="D1723" s="706" t="s">
        <v>1841</v>
      </c>
      <c r="H1723" s="1191"/>
      <c r="I1723" s="706" t="s">
        <v>1993</v>
      </c>
    </row>
    <row r="1724" spans="1:9">
      <c r="A1724" s="706">
        <v>106817</v>
      </c>
      <c r="B1724" s="706" t="s">
        <v>3408</v>
      </c>
      <c r="D1724" s="706" t="s">
        <v>1841</v>
      </c>
      <c r="H1724" s="1191"/>
      <c r="I1724" s="706" t="s">
        <v>1993</v>
      </c>
    </row>
    <row r="1725" spans="1:9">
      <c r="A1725" s="706">
        <v>106818</v>
      </c>
      <c r="B1725" s="706" t="s">
        <v>3409</v>
      </c>
      <c r="D1725" s="706" t="s">
        <v>1841</v>
      </c>
      <c r="H1725" s="1191"/>
      <c r="I1725" s="706" t="s">
        <v>1993</v>
      </c>
    </row>
    <row r="1726" spans="1:9">
      <c r="A1726" s="706">
        <v>106819</v>
      </c>
      <c r="B1726" s="706" t="s">
        <v>3410</v>
      </c>
      <c r="D1726" s="706" t="s">
        <v>1841</v>
      </c>
      <c r="H1726" s="1191"/>
      <c r="I1726" s="706" t="s">
        <v>1993</v>
      </c>
    </row>
    <row r="1727" spans="1:9">
      <c r="A1727" s="706">
        <v>106820</v>
      </c>
      <c r="B1727" s="706" t="s">
        <v>3411</v>
      </c>
      <c r="D1727" s="706" t="s">
        <v>1841</v>
      </c>
      <c r="H1727" s="1191"/>
      <c r="I1727" s="706" t="s">
        <v>1993</v>
      </c>
    </row>
    <row r="1728" spans="1:9">
      <c r="A1728" s="706">
        <v>106821</v>
      </c>
      <c r="B1728" s="706" t="s">
        <v>3412</v>
      </c>
      <c r="D1728" s="706" t="s">
        <v>1841</v>
      </c>
      <c r="H1728" s="1191"/>
      <c r="I1728" s="706" t="s">
        <v>1993</v>
      </c>
    </row>
    <row r="1729" spans="1:9">
      <c r="A1729" s="706">
        <v>106822</v>
      </c>
      <c r="B1729" s="706" t="s">
        <v>3413</v>
      </c>
      <c r="D1729" s="706" t="s">
        <v>1841</v>
      </c>
      <c r="H1729" s="1191"/>
      <c r="I1729" s="706" t="s">
        <v>1993</v>
      </c>
    </row>
    <row r="1730" spans="1:9">
      <c r="A1730" s="706">
        <v>106823</v>
      </c>
      <c r="B1730" s="706" t="s">
        <v>3414</v>
      </c>
      <c r="D1730" s="706" t="s">
        <v>1841</v>
      </c>
      <c r="H1730" s="1191"/>
      <c r="I1730" s="706" t="s">
        <v>1993</v>
      </c>
    </row>
    <row r="1731" spans="1:9">
      <c r="A1731" s="706">
        <v>106824</v>
      </c>
      <c r="B1731" s="706" t="s">
        <v>3415</v>
      </c>
      <c r="D1731" s="706" t="s">
        <v>1841</v>
      </c>
      <c r="H1731" s="1191"/>
      <c r="I1731" s="706" t="s">
        <v>1993</v>
      </c>
    </row>
    <row r="1732" spans="1:9">
      <c r="A1732" s="706">
        <v>106825</v>
      </c>
      <c r="B1732" s="706" t="s">
        <v>3416</v>
      </c>
      <c r="D1732" s="706" t="s">
        <v>1841</v>
      </c>
      <c r="H1732" s="1191"/>
      <c r="I1732" s="706" t="s">
        <v>1993</v>
      </c>
    </row>
    <row r="1733" spans="1:9">
      <c r="A1733" s="706">
        <v>106826</v>
      </c>
      <c r="B1733" s="706" t="s">
        <v>3417</v>
      </c>
      <c r="D1733" s="706" t="s">
        <v>1841</v>
      </c>
      <c r="H1733" s="1191"/>
      <c r="I1733" s="706" t="s">
        <v>1993</v>
      </c>
    </row>
    <row r="1734" spans="1:9">
      <c r="A1734" s="706">
        <v>106827</v>
      </c>
      <c r="B1734" s="706" t="s">
        <v>3418</v>
      </c>
      <c r="D1734" s="706" t="s">
        <v>1841</v>
      </c>
      <c r="H1734" s="1191"/>
      <c r="I1734" s="706" t="s">
        <v>1993</v>
      </c>
    </row>
    <row r="1735" spans="1:9">
      <c r="A1735" s="706">
        <v>106828</v>
      </c>
      <c r="B1735" s="706" t="s">
        <v>3419</v>
      </c>
      <c r="D1735" s="706" t="s">
        <v>1841</v>
      </c>
      <c r="H1735" s="1191"/>
      <c r="I1735" s="706" t="s">
        <v>1993</v>
      </c>
    </row>
    <row r="1736" spans="1:9">
      <c r="A1736" s="706">
        <v>106829</v>
      </c>
      <c r="B1736" s="706" t="s">
        <v>3420</v>
      </c>
      <c r="D1736" s="706" t="s">
        <v>1841</v>
      </c>
      <c r="H1736" s="1191"/>
      <c r="I1736" s="706" t="s">
        <v>1993</v>
      </c>
    </row>
    <row r="1737" spans="1:9">
      <c r="A1737" s="706">
        <v>106830</v>
      </c>
      <c r="B1737" s="706" t="s">
        <v>3421</v>
      </c>
      <c r="D1737" s="706" t="s">
        <v>1841</v>
      </c>
      <c r="H1737" s="1191"/>
      <c r="I1737" s="706" t="s">
        <v>1993</v>
      </c>
    </row>
    <row r="1738" spans="1:9">
      <c r="A1738" s="706">
        <v>106831</v>
      </c>
      <c r="B1738" s="706" t="s">
        <v>3422</v>
      </c>
      <c r="D1738" s="706" t="s">
        <v>1841</v>
      </c>
      <c r="H1738" s="1191"/>
      <c r="I1738" s="706" t="s">
        <v>1993</v>
      </c>
    </row>
    <row r="1739" spans="1:9">
      <c r="A1739" s="706">
        <v>106832</v>
      </c>
      <c r="B1739" s="706" t="s">
        <v>3423</v>
      </c>
      <c r="D1739" s="706" t="s">
        <v>1841</v>
      </c>
      <c r="H1739" s="1191"/>
      <c r="I1739" s="706" t="s">
        <v>1993</v>
      </c>
    </row>
    <row r="1740" spans="1:9">
      <c r="A1740" s="706">
        <v>106833</v>
      </c>
      <c r="B1740" s="706" t="s">
        <v>3424</v>
      </c>
      <c r="D1740" s="706" t="s">
        <v>1841</v>
      </c>
      <c r="H1740" s="1191"/>
      <c r="I1740" s="706" t="s">
        <v>1993</v>
      </c>
    </row>
    <row r="1741" spans="1:9">
      <c r="A1741" s="706">
        <v>106834</v>
      </c>
      <c r="B1741" s="706" t="s">
        <v>3425</v>
      </c>
      <c r="D1741" s="706" t="s">
        <v>1841</v>
      </c>
      <c r="H1741" s="1191"/>
      <c r="I1741" s="706" t="s">
        <v>1993</v>
      </c>
    </row>
    <row r="1742" spans="1:9">
      <c r="A1742" s="706">
        <v>106835</v>
      </c>
      <c r="B1742" s="706" t="s">
        <v>3426</v>
      </c>
      <c r="D1742" s="706" t="s">
        <v>1841</v>
      </c>
      <c r="H1742" s="1191"/>
      <c r="I1742" s="706" t="s">
        <v>1993</v>
      </c>
    </row>
    <row r="1743" spans="1:9">
      <c r="A1743" s="706">
        <v>106836</v>
      </c>
      <c r="B1743" s="706" t="s">
        <v>3427</v>
      </c>
      <c r="D1743" s="706" t="s">
        <v>1841</v>
      </c>
      <c r="H1743" s="1191"/>
      <c r="I1743" s="706" t="s">
        <v>1993</v>
      </c>
    </row>
    <row r="1744" spans="1:9">
      <c r="A1744" s="706">
        <v>106837</v>
      </c>
      <c r="B1744" s="706" t="s">
        <v>3428</v>
      </c>
      <c r="D1744" s="706" t="s">
        <v>1841</v>
      </c>
      <c r="H1744" s="1191"/>
      <c r="I1744" s="706" t="s">
        <v>1993</v>
      </c>
    </row>
    <row r="1745" spans="1:9">
      <c r="A1745" s="706">
        <v>106838</v>
      </c>
      <c r="B1745" s="706" t="s">
        <v>3429</v>
      </c>
      <c r="D1745" s="706" t="s">
        <v>1841</v>
      </c>
      <c r="H1745" s="1191"/>
      <c r="I1745" s="706" t="s">
        <v>1993</v>
      </c>
    </row>
    <row r="1746" spans="1:9">
      <c r="A1746" s="706">
        <v>106839</v>
      </c>
      <c r="B1746" s="706" t="s">
        <v>3430</v>
      </c>
      <c r="D1746" s="706" t="s">
        <v>1841</v>
      </c>
      <c r="H1746" s="1191"/>
      <c r="I1746" s="706" t="s">
        <v>1993</v>
      </c>
    </row>
    <row r="1747" spans="1:9">
      <c r="A1747" s="706">
        <v>106840</v>
      </c>
      <c r="B1747" s="706" t="s">
        <v>3431</v>
      </c>
      <c r="D1747" s="706" t="s">
        <v>1841</v>
      </c>
      <c r="H1747" s="1191"/>
      <c r="I1747" s="706" t="s">
        <v>1993</v>
      </c>
    </row>
    <row r="1748" spans="1:9">
      <c r="A1748" s="706">
        <v>106841</v>
      </c>
      <c r="B1748" s="706" t="s">
        <v>3432</v>
      </c>
      <c r="D1748" s="706" t="s">
        <v>1841</v>
      </c>
      <c r="H1748" s="1191"/>
      <c r="I1748" s="706" t="s">
        <v>1993</v>
      </c>
    </row>
    <row r="1749" spans="1:9">
      <c r="A1749" s="706">
        <v>106842</v>
      </c>
      <c r="B1749" s="706" t="s">
        <v>3433</v>
      </c>
      <c r="D1749" s="706" t="s">
        <v>1841</v>
      </c>
      <c r="H1749" s="1191"/>
      <c r="I1749" s="706" t="s">
        <v>1993</v>
      </c>
    </row>
    <row r="1750" spans="1:9">
      <c r="A1750" s="706">
        <v>106843</v>
      </c>
      <c r="B1750" s="706" t="s">
        <v>3434</v>
      </c>
      <c r="D1750" s="706" t="s">
        <v>1841</v>
      </c>
      <c r="H1750" s="1191"/>
      <c r="I1750" s="706" t="s">
        <v>1993</v>
      </c>
    </row>
    <row r="1751" spans="1:9">
      <c r="A1751" s="706">
        <v>106844</v>
      </c>
      <c r="B1751" s="706" t="s">
        <v>3435</v>
      </c>
      <c r="D1751" s="706" t="s">
        <v>1841</v>
      </c>
      <c r="H1751" s="1191"/>
      <c r="I1751" s="706" t="s">
        <v>1993</v>
      </c>
    </row>
    <row r="1752" spans="1:9">
      <c r="A1752" s="706">
        <v>106845</v>
      </c>
      <c r="B1752" s="706" t="s">
        <v>3436</v>
      </c>
      <c r="D1752" s="706" t="s">
        <v>1841</v>
      </c>
      <c r="H1752" s="1191"/>
      <c r="I1752" s="706" t="s">
        <v>1993</v>
      </c>
    </row>
    <row r="1753" spans="1:9">
      <c r="A1753" s="706">
        <v>106846</v>
      </c>
      <c r="B1753" s="706" t="s">
        <v>3437</v>
      </c>
      <c r="D1753" s="706" t="s">
        <v>1841</v>
      </c>
      <c r="H1753" s="1191"/>
      <c r="I1753" s="706" t="s">
        <v>1993</v>
      </c>
    </row>
    <row r="1754" spans="1:9">
      <c r="A1754" s="706">
        <v>106847</v>
      </c>
      <c r="B1754" s="706" t="s">
        <v>3438</v>
      </c>
      <c r="D1754" s="706" t="s">
        <v>1841</v>
      </c>
      <c r="H1754" s="1191"/>
      <c r="I1754" s="706" t="s">
        <v>1993</v>
      </c>
    </row>
    <row r="1755" spans="1:9">
      <c r="A1755" s="706">
        <v>106848</v>
      </c>
      <c r="B1755" s="706" t="s">
        <v>3439</v>
      </c>
      <c r="D1755" s="706" t="s">
        <v>1841</v>
      </c>
      <c r="H1755" s="1191"/>
      <c r="I1755" s="706" t="s">
        <v>1993</v>
      </c>
    </row>
    <row r="1756" spans="1:9">
      <c r="A1756" s="706">
        <v>106849</v>
      </c>
      <c r="B1756" s="706" t="s">
        <v>3440</v>
      </c>
      <c r="D1756" s="706" t="s">
        <v>1841</v>
      </c>
      <c r="H1756" s="1191"/>
      <c r="I1756" s="706" t="s">
        <v>1993</v>
      </c>
    </row>
    <row r="1757" spans="1:9">
      <c r="A1757" s="706">
        <v>106850</v>
      </c>
      <c r="B1757" s="706" t="s">
        <v>3441</v>
      </c>
      <c r="D1757" s="706" t="s">
        <v>1841</v>
      </c>
      <c r="H1757" s="1191"/>
      <c r="I1757" s="706" t="s">
        <v>1993</v>
      </c>
    </row>
    <row r="1758" spans="1:9">
      <c r="A1758" s="706">
        <v>106851</v>
      </c>
      <c r="B1758" s="706" t="s">
        <v>3442</v>
      </c>
      <c r="D1758" s="706" t="s">
        <v>1841</v>
      </c>
      <c r="H1758" s="1191"/>
      <c r="I1758" s="706" t="s">
        <v>1993</v>
      </c>
    </row>
    <row r="1759" spans="1:9">
      <c r="A1759" s="706">
        <v>106852</v>
      </c>
      <c r="B1759" s="706" t="s">
        <v>3443</v>
      </c>
      <c r="D1759" s="706" t="s">
        <v>1841</v>
      </c>
      <c r="H1759" s="1191"/>
      <c r="I1759" s="706" t="s">
        <v>1993</v>
      </c>
    </row>
    <row r="1760" spans="1:9">
      <c r="A1760" s="706">
        <v>106853</v>
      </c>
      <c r="B1760" s="706" t="s">
        <v>3444</v>
      </c>
      <c r="D1760" s="706" t="s">
        <v>1841</v>
      </c>
      <c r="H1760" s="1191"/>
      <c r="I1760" s="706" t="s">
        <v>1993</v>
      </c>
    </row>
    <row r="1761" spans="1:9">
      <c r="A1761" s="706">
        <v>106854</v>
      </c>
      <c r="B1761" s="706" t="s">
        <v>3445</v>
      </c>
      <c r="D1761" s="706" t="s">
        <v>1841</v>
      </c>
      <c r="H1761" s="1191"/>
      <c r="I1761" s="706" t="s">
        <v>1993</v>
      </c>
    </row>
    <row r="1762" spans="1:9">
      <c r="A1762" s="706">
        <v>106855</v>
      </c>
      <c r="B1762" s="706" t="s">
        <v>3446</v>
      </c>
      <c r="D1762" s="706" t="s">
        <v>1841</v>
      </c>
      <c r="H1762" s="1191"/>
      <c r="I1762" s="706" t="s">
        <v>1993</v>
      </c>
    </row>
    <row r="1763" spans="1:9">
      <c r="A1763" s="706">
        <v>106856</v>
      </c>
      <c r="B1763" s="706" t="s">
        <v>3447</v>
      </c>
      <c r="D1763" s="706" t="s">
        <v>1841</v>
      </c>
      <c r="H1763" s="1191"/>
      <c r="I1763" s="706" t="s">
        <v>1993</v>
      </c>
    </row>
    <row r="1764" spans="1:9">
      <c r="A1764" s="706">
        <v>106857</v>
      </c>
      <c r="B1764" s="706" t="s">
        <v>3448</v>
      </c>
      <c r="D1764" s="706" t="s">
        <v>1841</v>
      </c>
      <c r="H1764" s="1191"/>
      <c r="I1764" s="706" t="s">
        <v>1993</v>
      </c>
    </row>
    <row r="1765" spans="1:9">
      <c r="A1765" s="706">
        <v>106858</v>
      </c>
      <c r="B1765" s="706" t="s">
        <v>3449</v>
      </c>
      <c r="D1765" s="706" t="s">
        <v>1841</v>
      </c>
      <c r="H1765" s="1191"/>
      <c r="I1765" s="706" t="s">
        <v>1993</v>
      </c>
    </row>
    <row r="1766" spans="1:9">
      <c r="A1766" s="706">
        <v>106859</v>
      </c>
      <c r="B1766" s="706" t="s">
        <v>3450</v>
      </c>
      <c r="D1766" s="706" t="s">
        <v>1841</v>
      </c>
      <c r="H1766" s="1191"/>
      <c r="I1766" s="706" t="s">
        <v>1993</v>
      </c>
    </row>
    <row r="1767" spans="1:9">
      <c r="A1767" s="706">
        <v>106860</v>
      </c>
      <c r="B1767" s="706" t="s">
        <v>3451</v>
      </c>
      <c r="D1767" s="706" t="s">
        <v>1841</v>
      </c>
      <c r="H1767" s="1191"/>
      <c r="I1767" s="706" t="s">
        <v>1993</v>
      </c>
    </row>
    <row r="1768" spans="1:9">
      <c r="A1768" s="706">
        <v>106861</v>
      </c>
      <c r="B1768" s="706" t="s">
        <v>3452</v>
      </c>
      <c r="D1768" s="706" t="s">
        <v>1841</v>
      </c>
      <c r="H1768" s="1191"/>
      <c r="I1768" s="706" t="s">
        <v>1993</v>
      </c>
    </row>
    <row r="1769" spans="1:9">
      <c r="A1769" s="706">
        <v>106862</v>
      </c>
      <c r="B1769" s="706" t="s">
        <v>3453</v>
      </c>
      <c r="D1769" s="706" t="s">
        <v>1841</v>
      </c>
      <c r="H1769" s="1191"/>
      <c r="I1769" s="706" t="s">
        <v>1993</v>
      </c>
    </row>
    <row r="1770" spans="1:9">
      <c r="A1770" s="706">
        <v>106863</v>
      </c>
      <c r="B1770" s="706" t="s">
        <v>3454</v>
      </c>
      <c r="D1770" s="706" t="s">
        <v>1841</v>
      </c>
      <c r="H1770" s="1191"/>
      <c r="I1770" s="706" t="s">
        <v>1993</v>
      </c>
    </row>
    <row r="1771" spans="1:9">
      <c r="A1771" s="706">
        <v>106864</v>
      </c>
      <c r="B1771" s="706" t="s">
        <v>3455</v>
      </c>
      <c r="D1771" s="706" t="s">
        <v>1841</v>
      </c>
      <c r="H1771" s="1191"/>
      <c r="I1771" s="706" t="s">
        <v>1993</v>
      </c>
    </row>
    <row r="1772" spans="1:9">
      <c r="A1772" s="706">
        <v>106865</v>
      </c>
      <c r="B1772" s="706" t="s">
        <v>3456</v>
      </c>
      <c r="D1772" s="706" t="s">
        <v>1841</v>
      </c>
      <c r="H1772" s="1191"/>
      <c r="I1772" s="706" t="s">
        <v>1993</v>
      </c>
    </row>
    <row r="1773" spans="1:9">
      <c r="A1773" s="706">
        <v>106866</v>
      </c>
      <c r="B1773" s="706" t="s">
        <v>3457</v>
      </c>
      <c r="D1773" s="706" t="s">
        <v>1841</v>
      </c>
      <c r="H1773" s="1191"/>
      <c r="I1773" s="706" t="s">
        <v>1993</v>
      </c>
    </row>
    <row r="1774" spans="1:9">
      <c r="A1774" s="706">
        <v>106867</v>
      </c>
      <c r="B1774" s="706" t="s">
        <v>3458</v>
      </c>
      <c r="D1774" s="706" t="s">
        <v>1841</v>
      </c>
      <c r="H1774" s="1191"/>
      <c r="I1774" s="706" t="s">
        <v>1993</v>
      </c>
    </row>
    <row r="1775" spans="1:9">
      <c r="A1775" s="706">
        <v>106868</v>
      </c>
      <c r="B1775" s="706" t="s">
        <v>3459</v>
      </c>
      <c r="D1775" s="706" t="s">
        <v>1841</v>
      </c>
      <c r="H1775" s="1191"/>
      <c r="I1775" s="706" t="s">
        <v>1993</v>
      </c>
    </row>
    <row r="1776" spans="1:9">
      <c r="A1776" s="706">
        <v>106869</v>
      </c>
      <c r="B1776" s="706" t="s">
        <v>3460</v>
      </c>
      <c r="D1776" s="706" t="s">
        <v>1841</v>
      </c>
      <c r="H1776" s="1191"/>
      <c r="I1776" s="706" t="s">
        <v>1993</v>
      </c>
    </row>
    <row r="1777" spans="1:9">
      <c r="A1777" s="706">
        <v>106870</v>
      </c>
      <c r="B1777" s="706" t="s">
        <v>3461</v>
      </c>
      <c r="D1777" s="706" t="s">
        <v>1841</v>
      </c>
      <c r="H1777" s="1191"/>
      <c r="I1777" s="706" t="s">
        <v>1993</v>
      </c>
    </row>
    <row r="1778" spans="1:9">
      <c r="A1778" s="706">
        <v>106871</v>
      </c>
      <c r="B1778" s="706" t="s">
        <v>3462</v>
      </c>
      <c r="D1778" s="706" t="s">
        <v>1841</v>
      </c>
      <c r="H1778" s="1191"/>
      <c r="I1778" s="706" t="s">
        <v>1993</v>
      </c>
    </row>
    <row r="1779" spans="1:9">
      <c r="A1779" s="706">
        <v>106872</v>
      </c>
      <c r="B1779" s="706" t="s">
        <v>3463</v>
      </c>
      <c r="D1779" s="706" t="s">
        <v>1841</v>
      </c>
      <c r="H1779" s="1191"/>
      <c r="I1779" s="706" t="s">
        <v>1993</v>
      </c>
    </row>
    <row r="1780" spans="1:9">
      <c r="A1780" s="706">
        <v>106873</v>
      </c>
      <c r="B1780" s="706" t="s">
        <v>3464</v>
      </c>
      <c r="D1780" s="706" t="s">
        <v>1841</v>
      </c>
      <c r="H1780" s="1191"/>
      <c r="I1780" s="706" t="s">
        <v>1993</v>
      </c>
    </row>
    <row r="1781" spans="1:9">
      <c r="A1781" s="706">
        <v>106874</v>
      </c>
      <c r="B1781" s="706" t="s">
        <v>3465</v>
      </c>
      <c r="D1781" s="706" t="s">
        <v>1841</v>
      </c>
      <c r="H1781" s="1191"/>
      <c r="I1781" s="706" t="s">
        <v>1993</v>
      </c>
    </row>
    <row r="1782" spans="1:9">
      <c r="A1782" s="706">
        <v>106875</v>
      </c>
      <c r="B1782" s="706" t="s">
        <v>3466</v>
      </c>
      <c r="D1782" s="706" t="s">
        <v>1841</v>
      </c>
      <c r="H1782" s="1191"/>
      <c r="I1782" s="706" t="s">
        <v>1993</v>
      </c>
    </row>
    <row r="1783" spans="1:9">
      <c r="A1783" s="706">
        <v>106876</v>
      </c>
      <c r="B1783" s="706" t="s">
        <v>3467</v>
      </c>
      <c r="D1783" s="706" t="s">
        <v>1841</v>
      </c>
      <c r="H1783" s="1191"/>
      <c r="I1783" s="706" t="s">
        <v>1993</v>
      </c>
    </row>
    <row r="1784" spans="1:9">
      <c r="A1784" s="706">
        <v>106877</v>
      </c>
      <c r="B1784" s="706" t="s">
        <v>3468</v>
      </c>
      <c r="D1784" s="706" t="s">
        <v>1841</v>
      </c>
      <c r="H1784" s="1191"/>
      <c r="I1784" s="706" t="s">
        <v>1993</v>
      </c>
    </row>
    <row r="1785" spans="1:9">
      <c r="A1785" s="706">
        <v>106878</v>
      </c>
      <c r="B1785" s="706" t="s">
        <v>3469</v>
      </c>
      <c r="D1785" s="706" t="s">
        <v>1841</v>
      </c>
      <c r="H1785" s="1191"/>
      <c r="I1785" s="706" t="s">
        <v>1993</v>
      </c>
    </row>
    <row r="1786" spans="1:9">
      <c r="A1786" s="706">
        <v>106879</v>
      </c>
      <c r="B1786" s="706" t="s">
        <v>3470</v>
      </c>
      <c r="D1786" s="706" t="s">
        <v>1841</v>
      </c>
      <c r="H1786" s="1191"/>
      <c r="I1786" s="706" t="s">
        <v>1993</v>
      </c>
    </row>
    <row r="1787" spans="1:9">
      <c r="A1787" s="706">
        <v>106880</v>
      </c>
      <c r="B1787" s="706" t="s">
        <v>3471</v>
      </c>
      <c r="D1787" s="706" t="s">
        <v>1841</v>
      </c>
      <c r="H1787" s="1191"/>
      <c r="I1787" s="706" t="s">
        <v>1993</v>
      </c>
    </row>
    <row r="1788" spans="1:9">
      <c r="A1788" s="706">
        <v>106881</v>
      </c>
      <c r="B1788" s="706" t="s">
        <v>3472</v>
      </c>
      <c r="D1788" s="706" t="s">
        <v>1841</v>
      </c>
      <c r="H1788" s="1191"/>
      <c r="I1788" s="706" t="s">
        <v>1993</v>
      </c>
    </row>
    <row r="1789" spans="1:9">
      <c r="A1789" s="706">
        <v>106882</v>
      </c>
      <c r="B1789" s="706" t="s">
        <v>3473</v>
      </c>
      <c r="D1789" s="706" t="s">
        <v>1841</v>
      </c>
      <c r="H1789" s="1191"/>
      <c r="I1789" s="706" t="s">
        <v>1993</v>
      </c>
    </row>
    <row r="1790" spans="1:9">
      <c r="A1790" s="706">
        <v>106883</v>
      </c>
      <c r="B1790" s="706" t="s">
        <v>3474</v>
      </c>
      <c r="D1790" s="706" t="s">
        <v>1841</v>
      </c>
      <c r="H1790" s="1191"/>
      <c r="I1790" s="706" t="s">
        <v>1993</v>
      </c>
    </row>
    <row r="1791" spans="1:9">
      <c r="A1791" s="706">
        <v>106884</v>
      </c>
      <c r="B1791" s="706" t="s">
        <v>3475</v>
      </c>
      <c r="D1791" s="706" t="s">
        <v>1841</v>
      </c>
      <c r="H1791" s="1191"/>
      <c r="I1791" s="706" t="s">
        <v>1993</v>
      </c>
    </row>
    <row r="1792" spans="1:9">
      <c r="A1792" s="706">
        <v>106885</v>
      </c>
      <c r="B1792" s="706" t="s">
        <v>3476</v>
      </c>
      <c r="D1792" s="706" t="s">
        <v>1841</v>
      </c>
      <c r="H1792" s="1191"/>
      <c r="I1792" s="706" t="s">
        <v>1993</v>
      </c>
    </row>
    <row r="1793" spans="1:9">
      <c r="A1793" s="706">
        <v>106886</v>
      </c>
      <c r="B1793" s="706" t="s">
        <v>3477</v>
      </c>
      <c r="D1793" s="706" t="s">
        <v>1841</v>
      </c>
      <c r="H1793" s="1191"/>
      <c r="I1793" s="706" t="s">
        <v>1993</v>
      </c>
    </row>
    <row r="1794" spans="1:9">
      <c r="A1794" s="706">
        <v>106887</v>
      </c>
      <c r="B1794" s="706" t="s">
        <v>3478</v>
      </c>
      <c r="D1794" s="706" t="s">
        <v>1841</v>
      </c>
      <c r="H1794" s="1191"/>
      <c r="I1794" s="706" t="s">
        <v>1993</v>
      </c>
    </row>
    <row r="1795" spans="1:9">
      <c r="A1795" s="706">
        <v>106888</v>
      </c>
      <c r="B1795" s="706" t="s">
        <v>3479</v>
      </c>
      <c r="D1795" s="706" t="s">
        <v>1841</v>
      </c>
      <c r="H1795" s="1191"/>
      <c r="I1795" s="706" t="s">
        <v>1993</v>
      </c>
    </row>
    <row r="1796" spans="1:9">
      <c r="A1796" s="706">
        <v>106889</v>
      </c>
      <c r="B1796" s="706" t="s">
        <v>3480</v>
      </c>
      <c r="D1796" s="706" t="s">
        <v>1841</v>
      </c>
      <c r="H1796" s="1191"/>
      <c r="I1796" s="706" t="s">
        <v>1993</v>
      </c>
    </row>
    <row r="1797" spans="1:9">
      <c r="A1797" s="706">
        <v>106890</v>
      </c>
      <c r="B1797" s="706" t="s">
        <v>3481</v>
      </c>
      <c r="D1797" s="706" t="s">
        <v>1841</v>
      </c>
      <c r="H1797" s="1191"/>
      <c r="I1797" s="706" t="s">
        <v>1993</v>
      </c>
    </row>
    <row r="1798" spans="1:9">
      <c r="A1798" s="706">
        <v>106891</v>
      </c>
      <c r="B1798" s="706" t="s">
        <v>3482</v>
      </c>
      <c r="D1798" s="706" t="s">
        <v>1841</v>
      </c>
      <c r="H1798" s="1191"/>
      <c r="I1798" s="706" t="s">
        <v>1993</v>
      </c>
    </row>
    <row r="1799" spans="1:9">
      <c r="A1799" s="706">
        <v>106892</v>
      </c>
      <c r="B1799" s="706" t="s">
        <v>3483</v>
      </c>
      <c r="D1799" s="706" t="s">
        <v>1841</v>
      </c>
      <c r="H1799" s="1191"/>
      <c r="I1799" s="706" t="s">
        <v>1993</v>
      </c>
    </row>
    <row r="1800" spans="1:9">
      <c r="A1800" s="706">
        <v>106893</v>
      </c>
      <c r="B1800" s="706" t="s">
        <v>3484</v>
      </c>
      <c r="D1800" s="706" t="s">
        <v>1841</v>
      </c>
      <c r="H1800" s="1191"/>
      <c r="I1800" s="706" t="s">
        <v>1993</v>
      </c>
    </row>
    <row r="1801" spans="1:9">
      <c r="A1801" s="706">
        <v>106894</v>
      </c>
      <c r="B1801" s="706" t="s">
        <v>3485</v>
      </c>
      <c r="D1801" s="706" t="s">
        <v>1841</v>
      </c>
      <c r="H1801" s="1191"/>
      <c r="I1801" s="706" t="s">
        <v>1993</v>
      </c>
    </row>
    <row r="1802" spans="1:9">
      <c r="A1802" s="706">
        <v>106895</v>
      </c>
      <c r="B1802" s="706" t="s">
        <v>3486</v>
      </c>
      <c r="D1802" s="706" t="s">
        <v>1841</v>
      </c>
      <c r="H1802" s="1191"/>
      <c r="I1802" s="706" t="s">
        <v>1993</v>
      </c>
    </row>
    <row r="1803" spans="1:9">
      <c r="A1803" s="706">
        <v>106896</v>
      </c>
      <c r="B1803" s="706" t="s">
        <v>3487</v>
      </c>
      <c r="C1803" s="706" t="s">
        <v>1852</v>
      </c>
      <c r="D1803" s="706" t="s">
        <v>1841</v>
      </c>
      <c r="E1803" s="706">
        <v>27</v>
      </c>
      <c r="F1803" s="706" t="s">
        <v>28</v>
      </c>
      <c r="G1803" s="706">
        <v>410603</v>
      </c>
      <c r="H1803" s="1191">
        <v>45853</v>
      </c>
      <c r="I1803" s="706" t="s">
        <v>1993</v>
      </c>
    </row>
    <row r="1804" spans="1:9">
      <c r="A1804" s="706">
        <v>106897</v>
      </c>
      <c r="B1804" s="706" t="s">
        <v>3488</v>
      </c>
      <c r="D1804" s="706" t="s">
        <v>1841</v>
      </c>
      <c r="H1804" s="1191"/>
      <c r="I1804" s="706" t="s">
        <v>1993</v>
      </c>
    </row>
    <row r="1805" spans="1:9">
      <c r="A1805" s="706">
        <v>106898</v>
      </c>
      <c r="B1805" s="706" t="s">
        <v>3489</v>
      </c>
      <c r="D1805" s="706" t="s">
        <v>1841</v>
      </c>
      <c r="H1805" s="1191"/>
      <c r="I1805" s="706" t="s">
        <v>1993</v>
      </c>
    </row>
    <row r="1806" spans="1:9">
      <c r="A1806" s="706">
        <v>106899</v>
      </c>
      <c r="B1806" s="706" t="s">
        <v>3490</v>
      </c>
      <c r="D1806" s="706" t="s">
        <v>1841</v>
      </c>
      <c r="H1806" s="1191"/>
      <c r="I1806" s="706" t="s">
        <v>1993</v>
      </c>
    </row>
    <row r="1807" spans="1:9">
      <c r="A1807" s="706">
        <v>106900</v>
      </c>
      <c r="B1807" s="706" t="s">
        <v>3491</v>
      </c>
      <c r="D1807" s="706" t="s">
        <v>1841</v>
      </c>
      <c r="H1807" s="1191"/>
      <c r="I1807" s="706" t="s">
        <v>1993</v>
      </c>
    </row>
    <row r="1808" spans="1:9">
      <c r="A1808" s="706">
        <v>106901</v>
      </c>
      <c r="B1808" s="706" t="s">
        <v>3492</v>
      </c>
      <c r="D1808" s="706" t="s">
        <v>1841</v>
      </c>
      <c r="H1808" s="1191"/>
      <c r="I1808" s="706" t="s">
        <v>1993</v>
      </c>
    </row>
    <row r="1809" spans="1:9">
      <c r="A1809" s="706">
        <v>106902</v>
      </c>
      <c r="B1809" s="706" t="s">
        <v>3493</v>
      </c>
      <c r="D1809" s="706" t="s">
        <v>1841</v>
      </c>
      <c r="H1809" s="1191"/>
      <c r="I1809" s="706" t="s">
        <v>1993</v>
      </c>
    </row>
    <row r="1810" spans="1:9">
      <c r="A1810" s="706">
        <v>106903</v>
      </c>
      <c r="B1810" s="706" t="s">
        <v>3494</v>
      </c>
      <c r="C1810" s="706" t="s">
        <v>8197</v>
      </c>
      <c r="D1810" s="706" t="s">
        <v>1841</v>
      </c>
      <c r="E1810" s="706">
        <v>13.7</v>
      </c>
      <c r="F1810" s="706" t="s">
        <v>28</v>
      </c>
      <c r="G1810" s="706">
        <v>410615</v>
      </c>
      <c r="H1810" s="1191">
        <v>45854</v>
      </c>
      <c r="I1810" s="706" t="s">
        <v>1993</v>
      </c>
    </row>
    <row r="1811" spans="1:9">
      <c r="A1811" s="706">
        <v>106904</v>
      </c>
      <c r="B1811" s="706" t="s">
        <v>3495</v>
      </c>
      <c r="D1811" s="706" t="s">
        <v>1841</v>
      </c>
      <c r="H1811" s="1191"/>
      <c r="I1811" s="706" t="s">
        <v>1993</v>
      </c>
    </row>
    <row r="1812" spans="1:9">
      <c r="A1812" s="706">
        <v>106905</v>
      </c>
      <c r="B1812" s="706" t="s">
        <v>3496</v>
      </c>
      <c r="D1812" s="706" t="s">
        <v>1841</v>
      </c>
      <c r="H1812" s="1191"/>
      <c r="I1812" s="706" t="s">
        <v>1993</v>
      </c>
    </row>
    <row r="1813" spans="1:9">
      <c r="A1813" s="706">
        <v>106906</v>
      </c>
      <c r="B1813" s="706" t="s">
        <v>3497</v>
      </c>
      <c r="D1813" s="706" t="s">
        <v>1841</v>
      </c>
      <c r="H1813" s="1191"/>
      <c r="I1813" s="706" t="s">
        <v>1993</v>
      </c>
    </row>
    <row r="1814" spans="1:9">
      <c r="A1814" s="706">
        <v>106907</v>
      </c>
      <c r="B1814" s="706" t="s">
        <v>3498</v>
      </c>
      <c r="D1814" s="706" t="s">
        <v>1841</v>
      </c>
      <c r="H1814" s="1191"/>
      <c r="I1814" s="706" t="s">
        <v>1993</v>
      </c>
    </row>
    <row r="1815" spans="1:9">
      <c r="A1815" s="706">
        <v>106908</v>
      </c>
      <c r="B1815" s="706" t="s">
        <v>3499</v>
      </c>
      <c r="D1815" s="706" t="s">
        <v>1841</v>
      </c>
      <c r="H1815" s="1191"/>
      <c r="I1815" s="706" t="s">
        <v>1993</v>
      </c>
    </row>
    <row r="1816" spans="1:9">
      <c r="A1816" s="706">
        <v>106909</v>
      </c>
      <c r="B1816" s="706" t="s">
        <v>3500</v>
      </c>
      <c r="D1816" s="706" t="s">
        <v>1841</v>
      </c>
      <c r="H1816" s="1191"/>
      <c r="I1816" s="706" t="s">
        <v>1993</v>
      </c>
    </row>
    <row r="1817" spans="1:9">
      <c r="A1817" s="706">
        <v>106910</v>
      </c>
      <c r="B1817" s="706" t="s">
        <v>3501</v>
      </c>
      <c r="D1817" s="706" t="s">
        <v>1841</v>
      </c>
      <c r="H1817" s="1191"/>
      <c r="I1817" s="706" t="s">
        <v>1993</v>
      </c>
    </row>
    <row r="1818" spans="1:9">
      <c r="A1818" s="706">
        <v>106911</v>
      </c>
      <c r="B1818" s="706" t="s">
        <v>3502</v>
      </c>
      <c r="D1818" s="706" t="s">
        <v>1841</v>
      </c>
      <c r="H1818" s="1191"/>
      <c r="I1818" s="706" t="s">
        <v>1993</v>
      </c>
    </row>
    <row r="1819" spans="1:9">
      <c r="A1819" s="706">
        <v>106912</v>
      </c>
      <c r="B1819" s="706" t="s">
        <v>3503</v>
      </c>
      <c r="D1819" s="706" t="s">
        <v>1841</v>
      </c>
      <c r="H1819" s="1191"/>
      <c r="I1819" s="706" t="s">
        <v>1993</v>
      </c>
    </row>
    <row r="1820" spans="1:9">
      <c r="A1820" s="706">
        <v>106913</v>
      </c>
      <c r="B1820" s="706" t="s">
        <v>3504</v>
      </c>
      <c r="D1820" s="706" t="s">
        <v>1841</v>
      </c>
      <c r="H1820" s="1191"/>
      <c r="I1820" s="706" t="s">
        <v>1993</v>
      </c>
    </row>
    <row r="1821" spans="1:9">
      <c r="A1821" s="706">
        <v>106914</v>
      </c>
      <c r="B1821" s="706" t="s">
        <v>3505</v>
      </c>
      <c r="D1821" s="706" t="s">
        <v>1841</v>
      </c>
      <c r="H1821" s="1191"/>
      <c r="I1821" s="706" t="s">
        <v>1993</v>
      </c>
    </row>
    <row r="1822" spans="1:9">
      <c r="A1822" s="706">
        <v>106915</v>
      </c>
      <c r="B1822" s="706" t="s">
        <v>3506</v>
      </c>
      <c r="D1822" s="706" t="s">
        <v>1841</v>
      </c>
      <c r="H1822" s="1191"/>
      <c r="I1822" s="706" t="s">
        <v>1993</v>
      </c>
    </row>
    <row r="1823" spans="1:9">
      <c r="A1823" s="706">
        <v>106916</v>
      </c>
      <c r="B1823" s="706" t="s">
        <v>3507</v>
      </c>
      <c r="C1823" s="706" t="s">
        <v>8197</v>
      </c>
      <c r="D1823" s="706" t="s">
        <v>1841</v>
      </c>
      <c r="E1823" s="706">
        <v>7.05</v>
      </c>
      <c r="F1823" s="706" t="s">
        <v>28</v>
      </c>
      <c r="G1823" s="706">
        <v>31630</v>
      </c>
      <c r="H1823" s="1191">
        <v>43844</v>
      </c>
      <c r="I1823" s="706" t="s">
        <v>1993</v>
      </c>
    </row>
    <row r="1824" spans="1:9">
      <c r="A1824" s="706">
        <v>106917</v>
      </c>
      <c r="B1824" s="706" t="s">
        <v>3508</v>
      </c>
      <c r="D1824" s="706" t="s">
        <v>1841</v>
      </c>
      <c r="H1824" s="1191"/>
      <c r="I1824" s="706" t="s">
        <v>1993</v>
      </c>
    </row>
    <row r="1825" spans="1:9">
      <c r="A1825" s="706">
        <v>106918</v>
      </c>
      <c r="B1825" s="706" t="s">
        <v>3509</v>
      </c>
      <c r="D1825" s="706" t="s">
        <v>1841</v>
      </c>
      <c r="H1825" s="1191"/>
      <c r="I1825" s="706" t="s">
        <v>1993</v>
      </c>
    </row>
    <row r="1826" spans="1:9">
      <c r="A1826" s="706">
        <v>106919</v>
      </c>
      <c r="B1826" s="706" t="s">
        <v>3510</v>
      </c>
      <c r="D1826" s="706" t="s">
        <v>1841</v>
      </c>
      <c r="H1826" s="1191"/>
      <c r="I1826" s="706" t="s">
        <v>1993</v>
      </c>
    </row>
    <row r="1827" spans="1:9">
      <c r="A1827" s="706">
        <v>106920</v>
      </c>
      <c r="B1827" s="706" t="s">
        <v>3511</v>
      </c>
      <c r="D1827" s="706" t="s">
        <v>1841</v>
      </c>
      <c r="H1827" s="1191"/>
      <c r="I1827" s="706" t="s">
        <v>1993</v>
      </c>
    </row>
    <row r="1828" spans="1:9">
      <c r="A1828" s="706">
        <v>106921</v>
      </c>
      <c r="B1828" s="706" t="s">
        <v>3512</v>
      </c>
      <c r="D1828" s="706" t="s">
        <v>1841</v>
      </c>
      <c r="H1828" s="1191"/>
      <c r="I1828" s="706" t="s">
        <v>1993</v>
      </c>
    </row>
    <row r="1829" spans="1:9">
      <c r="A1829" s="706">
        <v>106922</v>
      </c>
      <c r="B1829" s="706" t="s">
        <v>3513</v>
      </c>
      <c r="C1829" s="706" t="s">
        <v>8189</v>
      </c>
      <c r="D1829" s="706" t="s">
        <v>1841</v>
      </c>
      <c r="E1829" s="706">
        <v>70</v>
      </c>
      <c r="F1829" s="706" t="s">
        <v>28</v>
      </c>
      <c r="G1829" s="706">
        <v>411809</v>
      </c>
      <c r="H1829" s="1191">
        <v>46077</v>
      </c>
      <c r="I1829" s="706" t="s">
        <v>1993</v>
      </c>
    </row>
    <row r="1830" spans="1:9">
      <c r="A1830" s="706">
        <v>106923</v>
      </c>
      <c r="B1830" s="706" t="s">
        <v>3514</v>
      </c>
      <c r="D1830" s="706" t="s">
        <v>1841</v>
      </c>
      <c r="H1830" s="1191"/>
      <c r="I1830" s="706" t="s">
        <v>1993</v>
      </c>
    </row>
    <row r="1831" spans="1:9">
      <c r="A1831" s="706">
        <v>106924</v>
      </c>
      <c r="B1831" s="706" t="s">
        <v>3515</v>
      </c>
      <c r="D1831" s="706" t="s">
        <v>1841</v>
      </c>
      <c r="H1831" s="1191"/>
      <c r="I1831" s="706" t="s">
        <v>1993</v>
      </c>
    </row>
    <row r="1832" spans="1:9">
      <c r="A1832" s="706">
        <v>106925</v>
      </c>
      <c r="B1832" s="706" t="s">
        <v>3516</v>
      </c>
      <c r="C1832" s="706" t="s">
        <v>8189</v>
      </c>
      <c r="D1832" s="706" t="s">
        <v>1841</v>
      </c>
      <c r="E1832" s="706">
        <v>75</v>
      </c>
      <c r="F1832" s="706" t="s">
        <v>28</v>
      </c>
      <c r="G1832" s="706">
        <v>404830</v>
      </c>
      <c r="H1832" s="1191">
        <v>44657</v>
      </c>
      <c r="I1832" s="706" t="s">
        <v>1993</v>
      </c>
    </row>
    <row r="1833" spans="1:9">
      <c r="A1833" s="706">
        <v>106926</v>
      </c>
      <c r="B1833" s="706" t="s">
        <v>3517</v>
      </c>
      <c r="C1833" s="706" t="s">
        <v>8189</v>
      </c>
      <c r="D1833" s="706" t="s">
        <v>1841</v>
      </c>
      <c r="E1833" s="706">
        <v>24</v>
      </c>
      <c r="F1833" s="706" t="s">
        <v>28</v>
      </c>
      <c r="G1833" s="706">
        <v>407914</v>
      </c>
      <c r="H1833" s="1191">
        <v>45323</v>
      </c>
      <c r="I1833" s="706" t="s">
        <v>1993</v>
      </c>
    </row>
    <row r="1834" spans="1:9">
      <c r="A1834" s="706">
        <v>106927</v>
      </c>
      <c r="B1834" s="706" t="s">
        <v>3518</v>
      </c>
      <c r="D1834" s="706" t="s">
        <v>1841</v>
      </c>
      <c r="H1834" s="1191"/>
      <c r="I1834" s="706" t="s">
        <v>1993</v>
      </c>
    </row>
    <row r="1835" spans="1:9">
      <c r="A1835" s="706">
        <v>106928</v>
      </c>
      <c r="B1835" s="706" t="s">
        <v>3519</v>
      </c>
      <c r="D1835" s="706" t="s">
        <v>1841</v>
      </c>
      <c r="H1835" s="1191"/>
      <c r="I1835" s="706" t="s">
        <v>1993</v>
      </c>
    </row>
    <row r="1836" spans="1:9">
      <c r="A1836" s="706">
        <v>106929</v>
      </c>
      <c r="B1836" s="706" t="s">
        <v>3520</v>
      </c>
      <c r="C1836" s="706" t="s">
        <v>8189</v>
      </c>
      <c r="D1836" s="706" t="s">
        <v>1841</v>
      </c>
      <c r="E1836" s="706">
        <v>8</v>
      </c>
      <c r="F1836" s="706" t="s">
        <v>28</v>
      </c>
      <c r="G1836" s="706">
        <v>411029</v>
      </c>
      <c r="H1836" s="1191">
        <v>45925</v>
      </c>
      <c r="I1836" s="706" t="s">
        <v>1993</v>
      </c>
    </row>
    <row r="1837" spans="1:9">
      <c r="A1837" s="706">
        <v>106930</v>
      </c>
      <c r="B1837" s="706" t="s">
        <v>3521</v>
      </c>
      <c r="D1837" s="706" t="s">
        <v>1841</v>
      </c>
      <c r="H1837" s="1191"/>
      <c r="I1837" s="706" t="s">
        <v>1993</v>
      </c>
    </row>
    <row r="1838" spans="1:9">
      <c r="A1838" s="706">
        <v>106931</v>
      </c>
      <c r="B1838" s="706" t="s">
        <v>3522</v>
      </c>
      <c r="D1838" s="706" t="s">
        <v>1841</v>
      </c>
      <c r="H1838" s="1191"/>
      <c r="I1838" s="706" t="s">
        <v>1993</v>
      </c>
    </row>
    <row r="1839" spans="1:9">
      <c r="A1839" s="706">
        <v>106932</v>
      </c>
      <c r="B1839" s="706" t="s">
        <v>3523</v>
      </c>
      <c r="D1839" s="706" t="s">
        <v>1841</v>
      </c>
      <c r="H1839" s="1191"/>
      <c r="I1839" s="706" t="s">
        <v>1993</v>
      </c>
    </row>
    <row r="1840" spans="1:9">
      <c r="A1840" s="706">
        <v>106933</v>
      </c>
      <c r="B1840" s="706" t="s">
        <v>3524</v>
      </c>
      <c r="D1840" s="706" t="s">
        <v>1841</v>
      </c>
      <c r="H1840" s="1191"/>
      <c r="I1840" s="706" t="s">
        <v>1993</v>
      </c>
    </row>
    <row r="1841" spans="1:9">
      <c r="A1841" s="706">
        <v>106934</v>
      </c>
      <c r="B1841" s="706" t="s">
        <v>3525</v>
      </c>
      <c r="D1841" s="706" t="s">
        <v>1841</v>
      </c>
      <c r="H1841" s="1191"/>
      <c r="I1841" s="706" t="s">
        <v>1993</v>
      </c>
    </row>
    <row r="1842" spans="1:9">
      <c r="A1842" s="706">
        <v>106935</v>
      </c>
      <c r="B1842" s="706" t="s">
        <v>3526</v>
      </c>
      <c r="C1842" s="706" t="s">
        <v>8189</v>
      </c>
      <c r="D1842" s="706" t="s">
        <v>1841</v>
      </c>
      <c r="E1842" s="706">
        <v>29.95</v>
      </c>
      <c r="F1842" s="706" t="s">
        <v>28</v>
      </c>
      <c r="G1842" s="706">
        <v>404574</v>
      </c>
      <c r="H1842" s="1191">
        <v>44616</v>
      </c>
      <c r="I1842" s="706" t="s">
        <v>1993</v>
      </c>
    </row>
    <row r="1843" spans="1:9">
      <c r="A1843" s="706">
        <v>106936</v>
      </c>
      <c r="B1843" s="706" t="s">
        <v>3527</v>
      </c>
      <c r="D1843" s="706" t="s">
        <v>1841</v>
      </c>
      <c r="H1843" s="1191"/>
      <c r="I1843" s="706" t="s">
        <v>1993</v>
      </c>
    </row>
    <row r="1844" spans="1:9">
      <c r="A1844" s="706">
        <v>106937</v>
      </c>
      <c r="B1844" s="706" t="s">
        <v>3528</v>
      </c>
      <c r="C1844" s="706" t="s">
        <v>8189</v>
      </c>
      <c r="D1844" s="706" t="s">
        <v>1841</v>
      </c>
      <c r="E1844" s="706">
        <v>24.25</v>
      </c>
      <c r="F1844" s="706" t="s">
        <v>28</v>
      </c>
      <c r="G1844" s="706">
        <v>404881</v>
      </c>
      <c r="H1844" s="1191">
        <v>44665</v>
      </c>
      <c r="I1844" s="706" t="s">
        <v>1993</v>
      </c>
    </row>
    <row r="1845" spans="1:9">
      <c r="A1845" s="706">
        <v>106938</v>
      </c>
      <c r="B1845" s="706" t="s">
        <v>3529</v>
      </c>
      <c r="D1845" s="706" t="s">
        <v>1841</v>
      </c>
      <c r="H1845" s="1191"/>
      <c r="I1845" s="706" t="s">
        <v>1993</v>
      </c>
    </row>
    <row r="1846" spans="1:9">
      <c r="A1846" s="706">
        <v>106939</v>
      </c>
      <c r="B1846" s="706" t="s">
        <v>3530</v>
      </c>
      <c r="D1846" s="706" t="s">
        <v>1841</v>
      </c>
      <c r="H1846" s="1191"/>
      <c r="I1846" s="706" t="s">
        <v>1993</v>
      </c>
    </row>
    <row r="1847" spans="1:9">
      <c r="A1847" s="706">
        <v>106940</v>
      </c>
      <c r="B1847" s="706" t="s">
        <v>3531</v>
      </c>
      <c r="D1847" s="706" t="s">
        <v>1841</v>
      </c>
      <c r="H1847" s="1191"/>
      <c r="I1847" s="706" t="s">
        <v>1993</v>
      </c>
    </row>
    <row r="1848" spans="1:9">
      <c r="A1848" s="706">
        <v>106941</v>
      </c>
      <c r="B1848" s="706" t="s">
        <v>3532</v>
      </c>
      <c r="D1848" s="706" t="s">
        <v>1841</v>
      </c>
      <c r="H1848" s="1191"/>
      <c r="I1848" s="706" t="s">
        <v>1993</v>
      </c>
    </row>
    <row r="1849" spans="1:9">
      <c r="A1849" s="706">
        <v>106942</v>
      </c>
      <c r="B1849" s="706" t="s">
        <v>3533</v>
      </c>
      <c r="C1849" s="706" t="s">
        <v>8189</v>
      </c>
      <c r="D1849" s="706" t="s">
        <v>1841</v>
      </c>
      <c r="E1849" s="706">
        <v>11.08</v>
      </c>
      <c r="F1849" s="706" t="s">
        <v>28</v>
      </c>
      <c r="G1849" s="706">
        <v>404602</v>
      </c>
      <c r="H1849" s="1191">
        <v>44621</v>
      </c>
      <c r="I1849" s="706" t="s">
        <v>1993</v>
      </c>
    </row>
    <row r="1850" spans="1:9">
      <c r="A1850" s="706">
        <v>106943</v>
      </c>
      <c r="B1850" s="706" t="s">
        <v>3534</v>
      </c>
      <c r="D1850" s="706" t="s">
        <v>1841</v>
      </c>
      <c r="H1850" s="1191"/>
      <c r="I1850" s="706" t="s">
        <v>1993</v>
      </c>
    </row>
    <row r="1851" spans="1:9">
      <c r="A1851" s="706">
        <v>106944</v>
      </c>
      <c r="B1851" s="706" t="s">
        <v>3535</v>
      </c>
      <c r="D1851" s="706" t="s">
        <v>1841</v>
      </c>
      <c r="H1851" s="1191"/>
      <c r="I1851" s="706" t="s">
        <v>1993</v>
      </c>
    </row>
    <row r="1852" spans="1:9">
      <c r="A1852" s="706">
        <v>106945</v>
      </c>
      <c r="B1852" s="706" t="s">
        <v>3536</v>
      </c>
      <c r="D1852" s="706" t="s">
        <v>1841</v>
      </c>
      <c r="H1852" s="1191"/>
      <c r="I1852" s="706" t="s">
        <v>1993</v>
      </c>
    </row>
    <row r="1853" spans="1:9">
      <c r="A1853" s="706">
        <v>106946</v>
      </c>
      <c r="B1853" s="706" t="s">
        <v>3537</v>
      </c>
      <c r="D1853" s="706" t="s">
        <v>1841</v>
      </c>
      <c r="H1853" s="1191"/>
      <c r="I1853" s="706" t="s">
        <v>1993</v>
      </c>
    </row>
    <row r="1854" spans="1:9">
      <c r="A1854" s="706">
        <v>106947</v>
      </c>
      <c r="B1854" s="706" t="s">
        <v>3538</v>
      </c>
      <c r="D1854" s="706" t="s">
        <v>1841</v>
      </c>
      <c r="H1854" s="1191"/>
      <c r="I1854" s="706" t="s">
        <v>1993</v>
      </c>
    </row>
    <row r="1855" spans="1:9">
      <c r="A1855" s="706">
        <v>106948</v>
      </c>
      <c r="B1855" s="706" t="s">
        <v>3539</v>
      </c>
      <c r="C1855" s="706" t="s">
        <v>8197</v>
      </c>
      <c r="D1855" s="706" t="s">
        <v>1841</v>
      </c>
      <c r="E1855" s="706">
        <v>37.950000000000003</v>
      </c>
      <c r="F1855" s="706" t="s">
        <v>28</v>
      </c>
      <c r="G1855" s="706">
        <v>410615</v>
      </c>
      <c r="H1855" s="1191">
        <v>45854</v>
      </c>
      <c r="I1855" s="706" t="s">
        <v>1993</v>
      </c>
    </row>
    <row r="1856" spans="1:9">
      <c r="A1856" s="706">
        <v>106949</v>
      </c>
      <c r="B1856" s="706" t="s">
        <v>3540</v>
      </c>
      <c r="D1856" s="706" t="s">
        <v>1841</v>
      </c>
      <c r="H1856" s="1191"/>
      <c r="I1856" s="706" t="s">
        <v>1993</v>
      </c>
    </row>
    <row r="1857" spans="1:9">
      <c r="A1857" s="706">
        <v>106950</v>
      </c>
      <c r="B1857" s="706" t="s">
        <v>3541</v>
      </c>
      <c r="C1857" s="706" t="s">
        <v>8197</v>
      </c>
      <c r="D1857" s="706" t="s">
        <v>1841</v>
      </c>
      <c r="E1857" s="706">
        <v>21.25</v>
      </c>
      <c r="F1857" s="706" t="s">
        <v>28</v>
      </c>
      <c r="G1857" s="706">
        <v>410615</v>
      </c>
      <c r="H1857" s="1191">
        <v>45854</v>
      </c>
      <c r="I1857" s="706" t="s">
        <v>1993</v>
      </c>
    </row>
    <row r="1858" spans="1:9">
      <c r="A1858" s="706">
        <v>106951</v>
      </c>
      <c r="B1858" s="706" t="s">
        <v>3542</v>
      </c>
      <c r="D1858" s="706" t="s">
        <v>1841</v>
      </c>
      <c r="H1858" s="1191"/>
      <c r="I1858" s="706" t="s">
        <v>1993</v>
      </c>
    </row>
    <row r="1859" spans="1:9">
      <c r="A1859" s="706">
        <v>106952</v>
      </c>
      <c r="B1859" s="706" t="s">
        <v>3543</v>
      </c>
      <c r="D1859" s="706" t="s">
        <v>1841</v>
      </c>
      <c r="H1859" s="1191"/>
      <c r="I1859" s="706" t="s">
        <v>1993</v>
      </c>
    </row>
    <row r="1860" spans="1:9">
      <c r="A1860" s="706">
        <v>106953</v>
      </c>
      <c r="B1860" s="706" t="s">
        <v>3544</v>
      </c>
      <c r="D1860" s="706" t="s">
        <v>1841</v>
      </c>
      <c r="H1860" s="1191"/>
      <c r="I1860" s="706" t="s">
        <v>1993</v>
      </c>
    </row>
    <row r="1861" spans="1:9">
      <c r="A1861" s="706">
        <v>106954</v>
      </c>
      <c r="B1861" s="706" t="s">
        <v>3545</v>
      </c>
      <c r="D1861" s="706" t="s">
        <v>1841</v>
      </c>
      <c r="H1861" s="1191"/>
      <c r="I1861" s="706" t="s">
        <v>1993</v>
      </c>
    </row>
    <row r="1862" spans="1:9">
      <c r="A1862" s="706">
        <v>106955</v>
      </c>
      <c r="B1862" s="706" t="s">
        <v>3546</v>
      </c>
      <c r="C1862" s="706" t="s">
        <v>8197</v>
      </c>
      <c r="D1862" s="706" t="s">
        <v>1841</v>
      </c>
      <c r="E1862" s="706">
        <v>11.4</v>
      </c>
      <c r="F1862" s="706" t="s">
        <v>28</v>
      </c>
      <c r="G1862" s="706">
        <v>410615</v>
      </c>
      <c r="H1862" s="1191">
        <v>45854</v>
      </c>
      <c r="I1862" s="706" t="s">
        <v>1993</v>
      </c>
    </row>
    <row r="1863" spans="1:9">
      <c r="A1863" s="706">
        <v>106956</v>
      </c>
      <c r="B1863" s="706" t="s">
        <v>3547</v>
      </c>
      <c r="D1863" s="706" t="s">
        <v>1841</v>
      </c>
      <c r="H1863" s="1191"/>
      <c r="I1863" s="706" t="s">
        <v>1993</v>
      </c>
    </row>
    <row r="1864" spans="1:9">
      <c r="A1864" s="706">
        <v>106957</v>
      </c>
      <c r="B1864" s="706" t="s">
        <v>3548</v>
      </c>
      <c r="D1864" s="706" t="s">
        <v>1841</v>
      </c>
      <c r="H1864" s="1191"/>
      <c r="I1864" s="706" t="s">
        <v>1993</v>
      </c>
    </row>
    <row r="1865" spans="1:9">
      <c r="A1865" s="706">
        <v>106958</v>
      </c>
      <c r="B1865" s="706" t="s">
        <v>3549</v>
      </c>
      <c r="D1865" s="706" t="s">
        <v>1841</v>
      </c>
      <c r="H1865" s="1191"/>
      <c r="I1865" s="706" t="s">
        <v>1993</v>
      </c>
    </row>
    <row r="1866" spans="1:9">
      <c r="A1866" s="706">
        <v>106959</v>
      </c>
      <c r="B1866" s="706" t="s">
        <v>3550</v>
      </c>
      <c r="D1866" s="706" t="s">
        <v>1841</v>
      </c>
      <c r="H1866" s="1191"/>
      <c r="I1866" s="706" t="s">
        <v>1993</v>
      </c>
    </row>
    <row r="1867" spans="1:9">
      <c r="A1867" s="706">
        <v>106960</v>
      </c>
      <c r="B1867" s="706" t="s">
        <v>3551</v>
      </c>
      <c r="D1867" s="706" t="s">
        <v>1841</v>
      </c>
      <c r="H1867" s="1191"/>
      <c r="I1867" s="706" t="s">
        <v>1993</v>
      </c>
    </row>
    <row r="1868" spans="1:9">
      <c r="A1868" s="706">
        <v>106961</v>
      </c>
      <c r="B1868" s="706" t="s">
        <v>3552</v>
      </c>
      <c r="D1868" s="706" t="s">
        <v>1841</v>
      </c>
      <c r="H1868" s="1191"/>
      <c r="I1868" s="706" t="s">
        <v>1993</v>
      </c>
    </row>
    <row r="1869" spans="1:9">
      <c r="A1869" s="706">
        <v>106962</v>
      </c>
      <c r="B1869" s="706" t="s">
        <v>3553</v>
      </c>
      <c r="D1869" s="706" t="s">
        <v>1841</v>
      </c>
      <c r="H1869" s="1191"/>
      <c r="I1869" s="706" t="s">
        <v>1993</v>
      </c>
    </row>
    <row r="1870" spans="1:9">
      <c r="A1870" s="706">
        <v>106963</v>
      </c>
      <c r="B1870" s="706" t="s">
        <v>3554</v>
      </c>
      <c r="D1870" s="706" t="s">
        <v>1841</v>
      </c>
      <c r="H1870" s="1191"/>
      <c r="I1870" s="706" t="s">
        <v>1993</v>
      </c>
    </row>
    <row r="1871" spans="1:9">
      <c r="A1871" s="706">
        <v>106964</v>
      </c>
      <c r="B1871" s="706" t="s">
        <v>3555</v>
      </c>
      <c r="D1871" s="706" t="s">
        <v>1841</v>
      </c>
      <c r="H1871" s="1191"/>
      <c r="I1871" s="706" t="s">
        <v>1993</v>
      </c>
    </row>
    <row r="1872" spans="1:9">
      <c r="A1872" s="706">
        <v>106965</v>
      </c>
      <c r="B1872" s="706" t="s">
        <v>3556</v>
      </c>
      <c r="D1872" s="706" t="s">
        <v>1841</v>
      </c>
      <c r="H1872" s="1191"/>
      <c r="I1872" s="706" t="s">
        <v>1993</v>
      </c>
    </row>
    <row r="1873" spans="1:9">
      <c r="A1873" s="706">
        <v>106966</v>
      </c>
      <c r="B1873" s="706" t="s">
        <v>3557</v>
      </c>
      <c r="D1873" s="706" t="s">
        <v>1841</v>
      </c>
      <c r="H1873" s="1191"/>
      <c r="I1873" s="706" t="s">
        <v>1993</v>
      </c>
    </row>
    <row r="1874" spans="1:9">
      <c r="A1874" s="706">
        <v>106967</v>
      </c>
      <c r="B1874" s="706" t="s">
        <v>3558</v>
      </c>
      <c r="D1874" s="706" t="s">
        <v>1841</v>
      </c>
      <c r="H1874" s="1191"/>
      <c r="I1874" s="706" t="s">
        <v>1993</v>
      </c>
    </row>
    <row r="1875" spans="1:9">
      <c r="A1875" s="706">
        <v>106968</v>
      </c>
      <c r="B1875" s="706" t="s">
        <v>3559</v>
      </c>
      <c r="D1875" s="706" t="s">
        <v>1841</v>
      </c>
      <c r="H1875" s="1191"/>
      <c r="I1875" s="706" t="s">
        <v>1993</v>
      </c>
    </row>
    <row r="1876" spans="1:9">
      <c r="A1876" s="706">
        <v>106969</v>
      </c>
      <c r="B1876" s="706" t="s">
        <v>3560</v>
      </c>
      <c r="D1876" s="706" t="s">
        <v>1841</v>
      </c>
      <c r="H1876" s="1191"/>
      <c r="I1876" s="706" t="s">
        <v>1993</v>
      </c>
    </row>
    <row r="1877" spans="1:9">
      <c r="A1877" s="706">
        <v>106970</v>
      </c>
      <c r="B1877" s="706" t="s">
        <v>3561</v>
      </c>
      <c r="D1877" s="706" t="s">
        <v>1841</v>
      </c>
      <c r="H1877" s="1191"/>
      <c r="I1877" s="706" t="s">
        <v>1993</v>
      </c>
    </row>
    <row r="1878" spans="1:9">
      <c r="A1878" s="706">
        <v>106971</v>
      </c>
      <c r="B1878" s="706" t="s">
        <v>3562</v>
      </c>
      <c r="D1878" s="706" t="s">
        <v>1841</v>
      </c>
      <c r="H1878" s="1191"/>
      <c r="I1878" s="706" t="s">
        <v>1993</v>
      </c>
    </row>
    <row r="1879" spans="1:9">
      <c r="A1879" s="706">
        <v>106972</v>
      </c>
      <c r="B1879" s="706" t="s">
        <v>3563</v>
      </c>
      <c r="D1879" s="706" t="s">
        <v>1841</v>
      </c>
      <c r="H1879" s="1191"/>
      <c r="I1879" s="706" t="s">
        <v>1993</v>
      </c>
    </row>
    <row r="1880" spans="1:9">
      <c r="A1880" s="706">
        <v>106973</v>
      </c>
      <c r="B1880" s="706" t="s">
        <v>3564</v>
      </c>
      <c r="D1880" s="706" t="s">
        <v>1841</v>
      </c>
      <c r="H1880" s="1191"/>
      <c r="I1880" s="706" t="s">
        <v>1993</v>
      </c>
    </row>
    <row r="1881" spans="1:9">
      <c r="A1881" s="706">
        <v>106974</v>
      </c>
      <c r="B1881" s="706" t="s">
        <v>3565</v>
      </c>
      <c r="C1881" s="706" t="s">
        <v>8197</v>
      </c>
      <c r="D1881" s="706" t="s">
        <v>1841</v>
      </c>
      <c r="E1881" s="706">
        <v>12.3</v>
      </c>
      <c r="F1881" s="706" t="s">
        <v>28</v>
      </c>
      <c r="G1881" s="706">
        <v>410799</v>
      </c>
      <c r="H1881" s="1191">
        <v>45888</v>
      </c>
      <c r="I1881" s="706" t="s">
        <v>1993</v>
      </c>
    </row>
    <row r="1882" spans="1:9">
      <c r="A1882" s="706">
        <v>106975</v>
      </c>
      <c r="B1882" s="706" t="s">
        <v>3566</v>
      </c>
      <c r="D1882" s="706" t="s">
        <v>1841</v>
      </c>
      <c r="H1882" s="1191"/>
      <c r="I1882" s="706" t="s">
        <v>1993</v>
      </c>
    </row>
    <row r="1883" spans="1:9">
      <c r="A1883" s="706">
        <v>106976</v>
      </c>
      <c r="B1883" s="706" t="s">
        <v>3567</v>
      </c>
      <c r="C1883" s="706" t="s">
        <v>1852</v>
      </c>
      <c r="D1883" s="706" t="s">
        <v>1841</v>
      </c>
      <c r="E1883" s="706">
        <v>11.25</v>
      </c>
      <c r="F1883" s="706" t="s">
        <v>28</v>
      </c>
      <c r="G1883" s="706">
        <v>410039</v>
      </c>
      <c r="H1883" s="1191">
        <v>45736</v>
      </c>
      <c r="I1883" s="706" t="s">
        <v>1993</v>
      </c>
    </row>
    <row r="1884" spans="1:9">
      <c r="A1884" s="706">
        <v>106977</v>
      </c>
      <c r="B1884" s="706" t="s">
        <v>3568</v>
      </c>
      <c r="D1884" s="706" t="s">
        <v>1841</v>
      </c>
      <c r="H1884" s="1191"/>
      <c r="I1884" s="706" t="s">
        <v>1993</v>
      </c>
    </row>
    <row r="1885" spans="1:9">
      <c r="A1885" s="706">
        <v>106978</v>
      </c>
      <c r="B1885" s="706" t="s">
        <v>3569</v>
      </c>
      <c r="D1885" s="706" t="s">
        <v>1841</v>
      </c>
      <c r="H1885" s="1191"/>
      <c r="I1885" s="706" t="s">
        <v>1993</v>
      </c>
    </row>
    <row r="1886" spans="1:9">
      <c r="A1886" s="706">
        <v>106979</v>
      </c>
      <c r="B1886" s="706" t="s">
        <v>3570</v>
      </c>
      <c r="D1886" s="706" t="s">
        <v>1841</v>
      </c>
      <c r="H1886" s="1191"/>
      <c r="I1886" s="706" t="s">
        <v>1993</v>
      </c>
    </row>
    <row r="1887" spans="1:9">
      <c r="A1887" s="706">
        <v>106980</v>
      </c>
      <c r="B1887" s="706" t="s">
        <v>3571</v>
      </c>
      <c r="D1887" s="706" t="s">
        <v>1841</v>
      </c>
      <c r="H1887" s="1191"/>
      <c r="I1887" s="706" t="s">
        <v>1993</v>
      </c>
    </row>
    <row r="1888" spans="1:9">
      <c r="A1888" s="706">
        <v>106981</v>
      </c>
      <c r="B1888" s="706" t="s">
        <v>3572</v>
      </c>
      <c r="C1888" s="706" t="s">
        <v>1852</v>
      </c>
      <c r="D1888" s="706" t="s">
        <v>1841</v>
      </c>
      <c r="E1888" s="706">
        <v>4.68</v>
      </c>
      <c r="F1888" s="706" t="s">
        <v>28</v>
      </c>
      <c r="G1888" s="706">
        <v>410039</v>
      </c>
      <c r="H1888" s="1191">
        <v>45736</v>
      </c>
      <c r="I1888" s="706" t="s">
        <v>1993</v>
      </c>
    </row>
    <row r="1889" spans="1:9">
      <c r="A1889" s="706">
        <v>106982</v>
      </c>
      <c r="B1889" s="706" t="s">
        <v>3573</v>
      </c>
      <c r="D1889" s="706" t="s">
        <v>1841</v>
      </c>
      <c r="H1889" s="1191"/>
      <c r="I1889" s="706" t="s">
        <v>1993</v>
      </c>
    </row>
    <row r="1890" spans="1:9">
      <c r="A1890" s="706">
        <v>106983</v>
      </c>
      <c r="B1890" s="706" t="s">
        <v>3574</v>
      </c>
      <c r="D1890" s="706" t="s">
        <v>1841</v>
      </c>
      <c r="H1890" s="1191"/>
      <c r="I1890" s="706" t="s">
        <v>1993</v>
      </c>
    </row>
    <row r="1891" spans="1:9">
      <c r="A1891" s="706">
        <v>106984</v>
      </c>
      <c r="B1891" s="706" t="s">
        <v>3575</v>
      </c>
      <c r="D1891" s="706" t="s">
        <v>1841</v>
      </c>
      <c r="H1891" s="1191"/>
      <c r="I1891" s="706" t="s">
        <v>1993</v>
      </c>
    </row>
    <row r="1892" spans="1:9">
      <c r="A1892" s="706">
        <v>106985</v>
      </c>
      <c r="B1892" s="706" t="s">
        <v>3576</v>
      </c>
      <c r="D1892" s="706" t="s">
        <v>1841</v>
      </c>
      <c r="H1892" s="1191"/>
      <c r="I1892" s="706" t="s">
        <v>1993</v>
      </c>
    </row>
    <row r="1893" spans="1:9">
      <c r="A1893" s="706">
        <v>106986</v>
      </c>
      <c r="B1893" s="706" t="s">
        <v>3577</v>
      </c>
      <c r="D1893" s="706" t="s">
        <v>1841</v>
      </c>
      <c r="H1893" s="1191"/>
      <c r="I1893" s="706" t="s">
        <v>1993</v>
      </c>
    </row>
    <row r="1894" spans="1:9">
      <c r="A1894" s="706">
        <v>106987</v>
      </c>
      <c r="B1894" s="706" t="s">
        <v>3578</v>
      </c>
      <c r="C1894" s="706" t="s">
        <v>8197</v>
      </c>
      <c r="D1894" s="706" t="s">
        <v>1841</v>
      </c>
      <c r="E1894" s="706">
        <v>11.4</v>
      </c>
      <c r="F1894" s="706" t="s">
        <v>28</v>
      </c>
      <c r="G1894" s="706">
        <v>407714</v>
      </c>
      <c r="H1894" s="1191">
        <v>45293</v>
      </c>
      <c r="I1894" s="706" t="s">
        <v>1993</v>
      </c>
    </row>
    <row r="1895" spans="1:9">
      <c r="A1895" s="706">
        <v>106988</v>
      </c>
      <c r="B1895" s="706" t="s">
        <v>3579</v>
      </c>
      <c r="D1895" s="706" t="s">
        <v>1841</v>
      </c>
      <c r="H1895" s="1191"/>
      <c r="I1895" s="706" t="s">
        <v>1993</v>
      </c>
    </row>
    <row r="1896" spans="1:9">
      <c r="A1896" s="706">
        <v>106989</v>
      </c>
      <c r="B1896" s="706" t="s">
        <v>3580</v>
      </c>
      <c r="C1896" s="706" t="s">
        <v>8197</v>
      </c>
      <c r="D1896" s="706" t="s">
        <v>1841</v>
      </c>
      <c r="E1896" s="706">
        <v>8.5</v>
      </c>
      <c r="F1896" s="706" t="s">
        <v>28</v>
      </c>
      <c r="G1896" s="706">
        <v>407714</v>
      </c>
      <c r="H1896" s="1191">
        <v>45293</v>
      </c>
      <c r="I1896" s="706" t="s">
        <v>1993</v>
      </c>
    </row>
    <row r="1897" spans="1:9">
      <c r="A1897" s="706">
        <v>106990</v>
      </c>
      <c r="B1897" s="706" t="s">
        <v>3581</v>
      </c>
      <c r="D1897" s="706" t="s">
        <v>1841</v>
      </c>
      <c r="H1897" s="1191"/>
      <c r="I1897" s="706" t="s">
        <v>1993</v>
      </c>
    </row>
    <row r="1898" spans="1:9">
      <c r="A1898" s="706">
        <v>106991</v>
      </c>
      <c r="B1898" s="706" t="s">
        <v>3582</v>
      </c>
      <c r="D1898" s="706" t="s">
        <v>1841</v>
      </c>
      <c r="H1898" s="1191"/>
      <c r="I1898" s="706" t="s">
        <v>1993</v>
      </c>
    </row>
    <row r="1899" spans="1:9">
      <c r="A1899" s="706">
        <v>106992</v>
      </c>
      <c r="B1899" s="706" t="s">
        <v>3583</v>
      </c>
      <c r="D1899" s="706" t="s">
        <v>1841</v>
      </c>
      <c r="H1899" s="1191"/>
      <c r="I1899" s="706" t="s">
        <v>1993</v>
      </c>
    </row>
    <row r="1900" spans="1:9">
      <c r="A1900" s="706">
        <v>106993</v>
      </c>
      <c r="B1900" s="706" t="s">
        <v>3584</v>
      </c>
      <c r="D1900" s="706" t="s">
        <v>1841</v>
      </c>
      <c r="H1900" s="1191"/>
      <c r="I1900" s="706" t="s">
        <v>1993</v>
      </c>
    </row>
    <row r="1901" spans="1:9">
      <c r="A1901" s="706">
        <v>106994</v>
      </c>
      <c r="B1901" s="706" t="s">
        <v>3585</v>
      </c>
      <c r="C1901" s="706" t="s">
        <v>8197</v>
      </c>
      <c r="D1901" s="706" t="s">
        <v>1841</v>
      </c>
      <c r="E1901" s="706">
        <v>5.6</v>
      </c>
      <c r="F1901" s="706" t="s">
        <v>28</v>
      </c>
      <c r="G1901" s="706">
        <v>407714</v>
      </c>
      <c r="H1901" s="1191">
        <v>45293</v>
      </c>
      <c r="I1901" s="706" t="s">
        <v>1993</v>
      </c>
    </row>
    <row r="1902" spans="1:9">
      <c r="A1902" s="706">
        <v>106995</v>
      </c>
      <c r="B1902" s="706" t="s">
        <v>3586</v>
      </c>
      <c r="D1902" s="706" t="s">
        <v>1841</v>
      </c>
      <c r="H1902" s="1191"/>
      <c r="I1902" s="706" t="s">
        <v>1993</v>
      </c>
    </row>
    <row r="1903" spans="1:9">
      <c r="A1903" s="706">
        <v>106996</v>
      </c>
      <c r="B1903" s="706" t="s">
        <v>3587</v>
      </c>
      <c r="D1903" s="706" t="s">
        <v>1841</v>
      </c>
      <c r="H1903" s="1191"/>
      <c r="I1903" s="706" t="s">
        <v>1993</v>
      </c>
    </row>
    <row r="1904" spans="1:9">
      <c r="A1904" s="706">
        <v>106997</v>
      </c>
      <c r="B1904" s="706" t="s">
        <v>3588</v>
      </c>
      <c r="D1904" s="706" t="s">
        <v>1841</v>
      </c>
      <c r="H1904" s="1191"/>
      <c r="I1904" s="706" t="s">
        <v>1993</v>
      </c>
    </row>
    <row r="1905" spans="1:9">
      <c r="A1905" s="706">
        <v>106998</v>
      </c>
      <c r="B1905" s="706" t="s">
        <v>3589</v>
      </c>
      <c r="D1905" s="706" t="s">
        <v>1841</v>
      </c>
      <c r="H1905" s="1191"/>
      <c r="I1905" s="706" t="s">
        <v>1993</v>
      </c>
    </row>
    <row r="1906" spans="1:9">
      <c r="A1906" s="706">
        <v>106999</v>
      </c>
      <c r="B1906" s="706" t="s">
        <v>3590</v>
      </c>
      <c r="C1906" s="706" t="s">
        <v>8189</v>
      </c>
      <c r="D1906" s="706" t="s">
        <v>1841</v>
      </c>
      <c r="E1906" s="706">
        <v>25</v>
      </c>
      <c r="F1906" s="706" t="s">
        <v>28</v>
      </c>
      <c r="G1906" s="706">
        <v>405304</v>
      </c>
      <c r="H1906" s="1191">
        <v>44756</v>
      </c>
      <c r="I1906" s="706" t="s">
        <v>1993</v>
      </c>
    </row>
    <row r="1907" spans="1:9">
      <c r="A1907" s="706">
        <v>107000</v>
      </c>
      <c r="B1907" s="706" t="s">
        <v>3591</v>
      </c>
      <c r="D1907" s="706" t="s">
        <v>1841</v>
      </c>
      <c r="H1907" s="1191"/>
      <c r="I1907" s="706" t="s">
        <v>1993</v>
      </c>
    </row>
    <row r="1908" spans="1:9">
      <c r="A1908" s="706">
        <v>107001</v>
      </c>
      <c r="B1908" s="706" t="s">
        <v>3592</v>
      </c>
      <c r="C1908" s="706" t="s">
        <v>8189</v>
      </c>
      <c r="D1908" s="706" t="s">
        <v>1841</v>
      </c>
      <c r="E1908" s="706">
        <v>55.172400000000003</v>
      </c>
      <c r="F1908" s="706" t="s">
        <v>28</v>
      </c>
      <c r="G1908" s="706">
        <v>411802</v>
      </c>
      <c r="H1908" s="1191">
        <v>46076</v>
      </c>
      <c r="I1908" s="706" t="s">
        <v>2293</v>
      </c>
    </row>
    <row r="1909" spans="1:9">
      <c r="A1909" s="706">
        <v>107604</v>
      </c>
      <c r="B1909" s="706" t="s">
        <v>3593</v>
      </c>
      <c r="D1909" s="706" t="s">
        <v>1841</v>
      </c>
      <c r="H1909" s="1191"/>
      <c r="I1909" s="706" t="s">
        <v>3594</v>
      </c>
    </row>
    <row r="1910" spans="1:9">
      <c r="A1910" s="706">
        <v>107605</v>
      </c>
      <c r="B1910" s="706" t="s">
        <v>3595</v>
      </c>
      <c r="D1910" s="706" t="s">
        <v>1841</v>
      </c>
      <c r="H1910" s="1191"/>
      <c r="I1910" s="706" t="s">
        <v>3594</v>
      </c>
    </row>
    <row r="1911" spans="1:9">
      <c r="A1911" s="706">
        <v>107606</v>
      </c>
      <c r="B1911" s="706" t="s">
        <v>3596</v>
      </c>
      <c r="D1911" s="706" t="s">
        <v>1841</v>
      </c>
      <c r="H1911" s="1191"/>
      <c r="I1911" s="706" t="s">
        <v>3594</v>
      </c>
    </row>
    <row r="1912" spans="1:9">
      <c r="A1912" s="706">
        <v>107607</v>
      </c>
      <c r="B1912" s="706" t="s">
        <v>3597</v>
      </c>
      <c r="C1912" s="706" t="s">
        <v>8197</v>
      </c>
      <c r="D1912" s="706" t="s">
        <v>1841</v>
      </c>
      <c r="E1912" s="706">
        <v>15.95</v>
      </c>
      <c r="F1912" s="706" t="s">
        <v>28</v>
      </c>
      <c r="G1912" s="706">
        <v>411630</v>
      </c>
      <c r="H1912" s="1191">
        <v>46051</v>
      </c>
      <c r="I1912" s="706" t="s">
        <v>3594</v>
      </c>
    </row>
    <row r="1913" spans="1:9">
      <c r="A1913" s="706">
        <v>107608</v>
      </c>
      <c r="B1913" s="706" t="s">
        <v>3598</v>
      </c>
      <c r="C1913" s="706" t="s">
        <v>8197</v>
      </c>
      <c r="D1913" s="706" t="s">
        <v>1841</v>
      </c>
      <c r="E1913" s="706">
        <v>19.95</v>
      </c>
      <c r="F1913" s="706" t="s">
        <v>28</v>
      </c>
      <c r="G1913" s="706">
        <v>411630</v>
      </c>
      <c r="H1913" s="1191">
        <v>46051</v>
      </c>
      <c r="I1913" s="706" t="s">
        <v>3594</v>
      </c>
    </row>
    <row r="1914" spans="1:9">
      <c r="A1914" s="706">
        <v>107609</v>
      </c>
      <c r="B1914" s="706" t="s">
        <v>3599</v>
      </c>
      <c r="C1914" s="706" t="s">
        <v>8197</v>
      </c>
      <c r="D1914" s="706" t="s">
        <v>1841</v>
      </c>
      <c r="E1914" s="706">
        <v>39.950000000000003</v>
      </c>
      <c r="F1914" s="706" t="s">
        <v>28</v>
      </c>
      <c r="G1914" s="706">
        <v>411630</v>
      </c>
      <c r="H1914" s="1191">
        <v>46051</v>
      </c>
      <c r="I1914" s="706" t="s">
        <v>3594</v>
      </c>
    </row>
    <row r="1915" spans="1:9">
      <c r="A1915" s="706">
        <v>107610</v>
      </c>
      <c r="B1915" s="706" t="s">
        <v>3600</v>
      </c>
      <c r="D1915" s="706" t="s">
        <v>1841</v>
      </c>
      <c r="H1915" s="1191"/>
      <c r="I1915" s="706" t="s">
        <v>3594</v>
      </c>
    </row>
    <row r="1916" spans="1:9">
      <c r="A1916" s="706">
        <v>107611</v>
      </c>
      <c r="B1916" s="706" t="s">
        <v>3601</v>
      </c>
      <c r="C1916" s="706" t="s">
        <v>8189</v>
      </c>
      <c r="D1916" s="706" t="s">
        <v>1841</v>
      </c>
      <c r="E1916" s="706">
        <v>491.66660000000002</v>
      </c>
      <c r="F1916" s="706" t="s">
        <v>28</v>
      </c>
      <c r="G1916" s="706">
        <v>408682</v>
      </c>
      <c r="H1916" s="1191">
        <v>45455</v>
      </c>
      <c r="I1916" s="706" t="s">
        <v>3594</v>
      </c>
    </row>
    <row r="1917" spans="1:9">
      <c r="A1917" s="706">
        <v>107612</v>
      </c>
      <c r="B1917" s="706" t="s">
        <v>3602</v>
      </c>
      <c r="C1917" s="706" t="s">
        <v>8189</v>
      </c>
      <c r="D1917" s="706" t="s">
        <v>1841</v>
      </c>
      <c r="E1917" s="706">
        <v>613.20749999999998</v>
      </c>
      <c r="F1917" s="706" t="s">
        <v>28</v>
      </c>
      <c r="G1917" s="706">
        <v>405922</v>
      </c>
      <c r="H1917" s="1191">
        <v>44896</v>
      </c>
      <c r="I1917" s="706" t="s">
        <v>3594</v>
      </c>
    </row>
    <row r="1918" spans="1:9">
      <c r="A1918" s="706">
        <v>107613</v>
      </c>
      <c r="B1918" s="706" t="s">
        <v>3603</v>
      </c>
      <c r="D1918" s="706" t="s">
        <v>1841</v>
      </c>
      <c r="H1918" s="1191"/>
      <c r="I1918" s="706" t="s">
        <v>3594</v>
      </c>
    </row>
    <row r="1919" spans="1:9">
      <c r="A1919" s="706">
        <v>107614</v>
      </c>
      <c r="B1919" s="706" t="s">
        <v>3604</v>
      </c>
      <c r="D1919" s="706" t="s">
        <v>1841</v>
      </c>
      <c r="H1919" s="1191"/>
      <c r="I1919" s="706" t="s">
        <v>3594</v>
      </c>
    </row>
    <row r="1920" spans="1:9">
      <c r="A1920" s="706">
        <v>107615</v>
      </c>
      <c r="B1920" s="706" t="s">
        <v>3605</v>
      </c>
      <c r="D1920" s="706" t="s">
        <v>1841</v>
      </c>
      <c r="H1920" s="1191"/>
      <c r="I1920" s="706" t="s">
        <v>3594</v>
      </c>
    </row>
    <row r="1921" spans="1:9">
      <c r="A1921" s="706">
        <v>107616</v>
      </c>
      <c r="B1921" s="706" t="s">
        <v>3606</v>
      </c>
      <c r="C1921" s="706" t="s">
        <v>3189</v>
      </c>
      <c r="D1921" s="706" t="s">
        <v>1841</v>
      </c>
      <c r="E1921" s="706">
        <v>3.3786999999999998</v>
      </c>
      <c r="F1921" s="706" t="s">
        <v>28</v>
      </c>
      <c r="G1921" s="706">
        <v>410629</v>
      </c>
      <c r="H1921" s="1191">
        <v>45855</v>
      </c>
      <c r="I1921" s="706" t="s">
        <v>3594</v>
      </c>
    </row>
    <row r="1922" spans="1:9">
      <c r="A1922" s="706">
        <v>107617</v>
      </c>
      <c r="B1922" s="706" t="s">
        <v>3607</v>
      </c>
      <c r="C1922" s="706" t="s">
        <v>3189</v>
      </c>
      <c r="D1922" s="706" t="s">
        <v>1841</v>
      </c>
      <c r="E1922" s="706">
        <v>4.6176000000000004</v>
      </c>
      <c r="F1922" s="706" t="s">
        <v>28</v>
      </c>
      <c r="G1922" s="706">
        <v>410629</v>
      </c>
      <c r="H1922" s="1191">
        <v>45855</v>
      </c>
      <c r="I1922" s="706" t="s">
        <v>3594</v>
      </c>
    </row>
    <row r="1923" spans="1:9">
      <c r="A1923" s="706">
        <v>107618</v>
      </c>
      <c r="B1923" s="706" t="s">
        <v>3608</v>
      </c>
      <c r="C1923" s="706" t="s">
        <v>3189</v>
      </c>
      <c r="D1923" s="706" t="s">
        <v>1841</v>
      </c>
      <c r="E1923" s="706">
        <v>7.3384999999999998</v>
      </c>
      <c r="F1923" s="706" t="s">
        <v>28</v>
      </c>
      <c r="G1923" s="706">
        <v>410629</v>
      </c>
      <c r="H1923" s="1191">
        <v>45855</v>
      </c>
      <c r="I1923" s="706" t="s">
        <v>3594</v>
      </c>
    </row>
    <row r="1924" spans="1:9">
      <c r="A1924" s="706">
        <v>107619</v>
      </c>
      <c r="B1924" s="706" t="s">
        <v>3609</v>
      </c>
      <c r="C1924" s="706" t="s">
        <v>3189</v>
      </c>
      <c r="D1924" s="706" t="s">
        <v>1841</v>
      </c>
      <c r="E1924" s="706">
        <v>5.4225000000000003</v>
      </c>
      <c r="F1924" s="706" t="s">
        <v>28</v>
      </c>
      <c r="G1924" s="706">
        <v>410629</v>
      </c>
      <c r="H1924" s="1191">
        <v>45855</v>
      </c>
      <c r="I1924" s="706" t="s">
        <v>3594</v>
      </c>
    </row>
    <row r="1925" spans="1:9">
      <c r="A1925" s="706">
        <v>107620</v>
      </c>
      <c r="B1925" s="706" t="s">
        <v>3610</v>
      </c>
      <c r="C1925" s="706" t="s">
        <v>3189</v>
      </c>
      <c r="D1925" s="706" t="s">
        <v>1841</v>
      </c>
      <c r="E1925" s="706">
        <v>7.3604000000000003</v>
      </c>
      <c r="F1925" s="706" t="s">
        <v>28</v>
      </c>
      <c r="G1925" s="706">
        <v>410629</v>
      </c>
      <c r="H1925" s="1191">
        <v>45855</v>
      </c>
      <c r="I1925" s="706" t="s">
        <v>3594</v>
      </c>
    </row>
    <row r="1926" spans="1:9">
      <c r="A1926" s="706">
        <v>107621</v>
      </c>
      <c r="B1926" s="706" t="s">
        <v>3611</v>
      </c>
      <c r="C1926" s="706" t="s">
        <v>3189</v>
      </c>
      <c r="D1926" s="706" t="s">
        <v>1841</v>
      </c>
      <c r="E1926" s="706">
        <v>11.4847</v>
      </c>
      <c r="F1926" s="706" t="s">
        <v>28</v>
      </c>
      <c r="G1926" s="706">
        <v>410629</v>
      </c>
      <c r="H1926" s="1191">
        <v>45855</v>
      </c>
      <c r="I1926" s="706" t="s">
        <v>3594</v>
      </c>
    </row>
    <row r="1927" spans="1:9">
      <c r="A1927" s="706">
        <v>107622</v>
      </c>
      <c r="B1927" s="706" t="s">
        <v>3612</v>
      </c>
      <c r="C1927" s="706" t="s">
        <v>2036</v>
      </c>
      <c r="D1927" s="706" t="s">
        <v>1841</v>
      </c>
      <c r="E1927" s="706">
        <v>2.8332000000000002</v>
      </c>
      <c r="F1927" s="706" t="s">
        <v>28</v>
      </c>
      <c r="G1927" s="706">
        <v>402961</v>
      </c>
      <c r="H1927" s="1191">
        <v>44308</v>
      </c>
      <c r="I1927" s="706" t="s">
        <v>3594</v>
      </c>
    </row>
    <row r="1928" spans="1:9">
      <c r="A1928" s="706">
        <v>107623</v>
      </c>
      <c r="B1928" s="706" t="s">
        <v>3613</v>
      </c>
      <c r="C1928" s="706" t="s">
        <v>2036</v>
      </c>
      <c r="D1928" s="706" t="s">
        <v>1841</v>
      </c>
      <c r="E1928" s="706">
        <v>3.8012000000000001</v>
      </c>
      <c r="F1928" s="706" t="s">
        <v>28</v>
      </c>
      <c r="G1928" s="706">
        <v>402961</v>
      </c>
      <c r="H1928" s="1191">
        <v>44308</v>
      </c>
      <c r="I1928" s="706" t="s">
        <v>3594</v>
      </c>
    </row>
    <row r="1929" spans="1:9">
      <c r="A1929" s="706">
        <v>107624</v>
      </c>
      <c r="B1929" s="706" t="s">
        <v>3614</v>
      </c>
      <c r="C1929" s="706" t="s">
        <v>2036</v>
      </c>
      <c r="D1929" s="706" t="s">
        <v>1841</v>
      </c>
      <c r="E1929" s="706">
        <v>5.7381000000000002</v>
      </c>
      <c r="F1929" s="706" t="s">
        <v>28</v>
      </c>
      <c r="G1929" s="706">
        <v>402961</v>
      </c>
      <c r="H1929" s="1191">
        <v>44308</v>
      </c>
      <c r="I1929" s="706" t="s">
        <v>3594</v>
      </c>
    </row>
    <row r="1930" spans="1:9">
      <c r="A1930" s="706">
        <v>107625</v>
      </c>
      <c r="B1930" s="706" t="s">
        <v>3615</v>
      </c>
      <c r="C1930" s="706" t="s">
        <v>2036</v>
      </c>
      <c r="D1930" s="706" t="s">
        <v>1841</v>
      </c>
      <c r="E1930" s="706">
        <v>2.1021000000000001</v>
      </c>
      <c r="F1930" s="706" t="s">
        <v>28</v>
      </c>
      <c r="G1930" s="706">
        <v>402961</v>
      </c>
      <c r="H1930" s="1191">
        <v>44308</v>
      </c>
      <c r="I1930" s="706" t="s">
        <v>3594</v>
      </c>
    </row>
    <row r="1931" spans="1:9">
      <c r="A1931" s="706">
        <v>107626</v>
      </c>
      <c r="B1931" s="706" t="s">
        <v>3616</v>
      </c>
      <c r="C1931" s="706" t="s">
        <v>8189</v>
      </c>
      <c r="D1931" s="706" t="s">
        <v>1841</v>
      </c>
      <c r="E1931" s="706">
        <v>0</v>
      </c>
      <c r="F1931" s="706" t="s">
        <v>28</v>
      </c>
      <c r="G1931" s="706">
        <v>411653</v>
      </c>
      <c r="H1931" s="1191">
        <v>46055</v>
      </c>
      <c r="I1931" s="706" t="s">
        <v>3594</v>
      </c>
    </row>
    <row r="1932" spans="1:9">
      <c r="A1932" s="706">
        <v>107627</v>
      </c>
      <c r="B1932" s="706" t="s">
        <v>3617</v>
      </c>
      <c r="D1932" s="706" t="s">
        <v>1841</v>
      </c>
      <c r="H1932" s="1191"/>
      <c r="I1932" s="706" t="s">
        <v>3594</v>
      </c>
    </row>
    <row r="1933" spans="1:9">
      <c r="A1933" s="706">
        <v>107628</v>
      </c>
      <c r="B1933" s="706" t="s">
        <v>3618</v>
      </c>
      <c r="D1933" s="706" t="s">
        <v>1841</v>
      </c>
      <c r="H1933" s="1191"/>
      <c r="I1933" s="706" t="s">
        <v>3594</v>
      </c>
    </row>
    <row r="1934" spans="1:9">
      <c r="A1934" s="706">
        <v>107629</v>
      </c>
      <c r="B1934" s="706" t="s">
        <v>3619</v>
      </c>
      <c r="C1934" s="706" t="s">
        <v>8189</v>
      </c>
      <c r="D1934" s="706" t="s">
        <v>1841</v>
      </c>
      <c r="E1934" s="706">
        <v>362.31880000000001</v>
      </c>
      <c r="F1934" s="706" t="s">
        <v>28</v>
      </c>
      <c r="G1934" s="706">
        <v>407790</v>
      </c>
      <c r="H1934" s="1191">
        <v>45307</v>
      </c>
      <c r="I1934" s="706" t="s">
        <v>3594</v>
      </c>
    </row>
    <row r="1935" spans="1:9">
      <c r="A1935" s="706">
        <v>107630</v>
      </c>
      <c r="B1935" s="706" t="s">
        <v>3620</v>
      </c>
      <c r="C1935" s="706" t="s">
        <v>8189</v>
      </c>
      <c r="D1935" s="706" t="s">
        <v>1841</v>
      </c>
      <c r="E1935" s="706">
        <v>211.86439999999999</v>
      </c>
      <c r="F1935" s="706" t="s">
        <v>28</v>
      </c>
      <c r="G1935" s="706">
        <v>402421</v>
      </c>
      <c r="H1935" s="1191">
        <v>44224</v>
      </c>
      <c r="I1935" s="706" t="s">
        <v>3594</v>
      </c>
    </row>
    <row r="1936" spans="1:9">
      <c r="A1936" s="706">
        <v>107631</v>
      </c>
      <c r="B1936" s="706" t="s">
        <v>3621</v>
      </c>
      <c r="C1936" s="706" t="s">
        <v>1852</v>
      </c>
      <c r="D1936" s="706" t="s">
        <v>1841</v>
      </c>
      <c r="E1936" s="706">
        <v>48.5</v>
      </c>
      <c r="F1936" s="706" t="s">
        <v>28</v>
      </c>
      <c r="G1936" s="706">
        <v>410764</v>
      </c>
      <c r="H1936" s="1191">
        <v>45882</v>
      </c>
      <c r="I1936" s="706" t="s">
        <v>3594</v>
      </c>
    </row>
    <row r="1937" spans="1:9">
      <c r="A1937" s="706">
        <v>107632</v>
      </c>
      <c r="B1937" s="706" t="s">
        <v>3622</v>
      </c>
      <c r="C1937" s="706" t="s">
        <v>8197</v>
      </c>
      <c r="D1937" s="706" t="s">
        <v>1841</v>
      </c>
      <c r="E1937" s="706">
        <v>29.95</v>
      </c>
      <c r="F1937" s="706" t="s">
        <v>28</v>
      </c>
      <c r="G1937" s="706">
        <v>409756</v>
      </c>
      <c r="H1937" s="1191">
        <v>45687</v>
      </c>
      <c r="I1937" s="706" t="s">
        <v>3594</v>
      </c>
    </row>
    <row r="1938" spans="1:9">
      <c r="A1938" s="706">
        <v>107633</v>
      </c>
      <c r="B1938" s="706" t="s">
        <v>3623</v>
      </c>
      <c r="C1938" s="706" t="s">
        <v>8197</v>
      </c>
      <c r="D1938" s="706" t="s">
        <v>1841</v>
      </c>
      <c r="E1938" s="706">
        <v>16.95</v>
      </c>
      <c r="F1938" s="706" t="s">
        <v>28</v>
      </c>
      <c r="G1938" s="706">
        <v>409721</v>
      </c>
      <c r="H1938" s="1191">
        <v>45684</v>
      </c>
      <c r="I1938" s="706" t="s">
        <v>3594</v>
      </c>
    </row>
    <row r="1939" spans="1:9">
      <c r="A1939" s="706">
        <v>107634</v>
      </c>
      <c r="B1939" s="706" t="s">
        <v>3624</v>
      </c>
      <c r="C1939" s="706" t="s">
        <v>8189</v>
      </c>
      <c r="D1939" s="706" t="s">
        <v>1841</v>
      </c>
      <c r="E1939" s="706">
        <v>230</v>
      </c>
      <c r="F1939" s="706" t="s">
        <v>28</v>
      </c>
      <c r="G1939" s="706">
        <v>401463</v>
      </c>
      <c r="H1939" s="1191">
        <v>44075</v>
      </c>
      <c r="I1939" s="706" t="s">
        <v>3594</v>
      </c>
    </row>
    <row r="1940" spans="1:9">
      <c r="A1940" s="706">
        <v>107635</v>
      </c>
      <c r="B1940" s="706" t="s">
        <v>3625</v>
      </c>
      <c r="C1940" s="706" t="s">
        <v>8189</v>
      </c>
      <c r="D1940" s="706" t="s">
        <v>1841</v>
      </c>
      <c r="E1940" s="706">
        <v>3</v>
      </c>
      <c r="F1940" s="706" t="s">
        <v>28</v>
      </c>
      <c r="G1940" s="706">
        <v>410868</v>
      </c>
      <c r="H1940" s="1191">
        <v>45897</v>
      </c>
      <c r="I1940" s="706" t="s">
        <v>3594</v>
      </c>
    </row>
    <row r="1941" spans="1:9">
      <c r="A1941" s="706">
        <v>107636</v>
      </c>
      <c r="B1941" s="706" t="s">
        <v>3626</v>
      </c>
      <c r="C1941" s="706" t="s">
        <v>8189</v>
      </c>
      <c r="D1941" s="706" t="s">
        <v>1841</v>
      </c>
      <c r="E1941" s="706">
        <v>12.9</v>
      </c>
      <c r="F1941" s="706" t="s">
        <v>28</v>
      </c>
      <c r="G1941" s="706">
        <v>411811</v>
      </c>
      <c r="H1941" s="1191">
        <v>46077</v>
      </c>
      <c r="I1941" s="706" t="s">
        <v>3594</v>
      </c>
    </row>
    <row r="1942" spans="1:9">
      <c r="A1942" s="706">
        <v>107637</v>
      </c>
      <c r="B1942" s="706" t="s">
        <v>3627</v>
      </c>
      <c r="C1942" s="706" t="s">
        <v>8189</v>
      </c>
      <c r="D1942" s="706" t="s">
        <v>1841</v>
      </c>
      <c r="E1942" s="706">
        <v>2</v>
      </c>
      <c r="F1942" s="706" t="s">
        <v>28</v>
      </c>
      <c r="G1942" s="706">
        <v>404875</v>
      </c>
      <c r="H1942" s="1191">
        <v>44664</v>
      </c>
      <c r="I1942" s="706" t="s">
        <v>3628</v>
      </c>
    </row>
    <row r="1943" spans="1:9">
      <c r="A1943" s="706">
        <v>107638</v>
      </c>
      <c r="B1943" s="706" t="s">
        <v>3629</v>
      </c>
      <c r="C1943" s="706" t="s">
        <v>8189</v>
      </c>
      <c r="D1943" s="706" t="s">
        <v>1841</v>
      </c>
      <c r="E1943" s="706">
        <v>0.75</v>
      </c>
      <c r="F1943" s="706" t="s">
        <v>28</v>
      </c>
      <c r="G1943" s="706">
        <v>401145</v>
      </c>
      <c r="H1943" s="1191">
        <v>44043</v>
      </c>
      <c r="I1943" s="706" t="s">
        <v>3594</v>
      </c>
    </row>
    <row r="1944" spans="1:9">
      <c r="A1944" s="706">
        <v>107639</v>
      </c>
      <c r="B1944" s="706" t="s">
        <v>3630</v>
      </c>
      <c r="D1944" s="706" t="s">
        <v>1841</v>
      </c>
      <c r="H1944" s="1191"/>
      <c r="I1944" s="706" t="s">
        <v>3594</v>
      </c>
    </row>
    <row r="1945" spans="1:9">
      <c r="A1945" s="706">
        <v>107640</v>
      </c>
      <c r="B1945" s="706" t="s">
        <v>3631</v>
      </c>
      <c r="D1945" s="706" t="s">
        <v>1841</v>
      </c>
      <c r="H1945" s="1191"/>
      <c r="I1945" s="706" t="s">
        <v>3594</v>
      </c>
    </row>
    <row r="1946" spans="1:9">
      <c r="A1946" s="706">
        <v>107641</v>
      </c>
      <c r="B1946" s="706" t="s">
        <v>3632</v>
      </c>
      <c r="C1946" s="706" t="s">
        <v>8189</v>
      </c>
      <c r="D1946" s="706" t="s">
        <v>1841</v>
      </c>
      <c r="E1946" s="706">
        <v>415.25580000000002</v>
      </c>
      <c r="F1946" s="706" t="s">
        <v>28</v>
      </c>
      <c r="G1946" s="706">
        <v>406724</v>
      </c>
      <c r="H1946" s="1191">
        <v>45083</v>
      </c>
      <c r="I1946" s="706" t="s">
        <v>3594</v>
      </c>
    </row>
    <row r="1947" spans="1:9">
      <c r="A1947" s="706">
        <v>107642</v>
      </c>
      <c r="B1947" s="706" t="s">
        <v>3633</v>
      </c>
      <c r="D1947" s="706" t="s">
        <v>1841</v>
      </c>
      <c r="H1947" s="1191"/>
      <c r="I1947" s="706" t="s">
        <v>3594</v>
      </c>
    </row>
    <row r="1948" spans="1:9">
      <c r="A1948" s="706">
        <v>107643</v>
      </c>
      <c r="B1948" s="706" t="s">
        <v>3634</v>
      </c>
      <c r="D1948" s="706" t="s">
        <v>1841</v>
      </c>
      <c r="H1948" s="1191"/>
      <c r="I1948" s="706" t="s">
        <v>3594</v>
      </c>
    </row>
    <row r="1949" spans="1:9">
      <c r="A1949" s="706">
        <v>107644</v>
      </c>
      <c r="B1949" s="706" t="s">
        <v>3635</v>
      </c>
      <c r="D1949" s="706" t="s">
        <v>1841</v>
      </c>
      <c r="H1949" s="1191"/>
      <c r="I1949" s="706" t="s">
        <v>3594</v>
      </c>
    </row>
    <row r="1950" spans="1:9">
      <c r="A1950" s="706">
        <v>107645</v>
      </c>
      <c r="B1950" s="706" t="s">
        <v>3636</v>
      </c>
      <c r="D1950" s="706" t="s">
        <v>1841</v>
      </c>
      <c r="H1950" s="1191"/>
      <c r="I1950" s="706" t="s">
        <v>3594</v>
      </c>
    </row>
    <row r="1951" spans="1:9">
      <c r="A1951" s="706">
        <v>107646</v>
      </c>
      <c r="B1951" s="706" t="s">
        <v>3637</v>
      </c>
      <c r="D1951" s="706" t="s">
        <v>1841</v>
      </c>
      <c r="H1951" s="1191"/>
      <c r="I1951" s="706" t="s">
        <v>3594</v>
      </c>
    </row>
    <row r="1952" spans="1:9">
      <c r="A1952" s="706">
        <v>107647</v>
      </c>
      <c r="B1952" s="706" t="s">
        <v>3638</v>
      </c>
      <c r="D1952" s="706" t="s">
        <v>1841</v>
      </c>
      <c r="H1952" s="1191"/>
      <c r="I1952" s="706" t="s">
        <v>3594</v>
      </c>
    </row>
    <row r="1953" spans="1:9">
      <c r="A1953" s="706">
        <v>107648</v>
      </c>
      <c r="B1953" s="706" t="s">
        <v>3639</v>
      </c>
      <c r="D1953" s="706" t="s">
        <v>1841</v>
      </c>
      <c r="H1953" s="1191"/>
      <c r="I1953" s="706" t="s">
        <v>3594</v>
      </c>
    </row>
    <row r="1954" spans="1:9">
      <c r="A1954" s="706">
        <v>107649</v>
      </c>
      <c r="B1954" s="706" t="s">
        <v>3640</v>
      </c>
      <c r="D1954" s="706" t="s">
        <v>1841</v>
      </c>
      <c r="H1954" s="1191"/>
      <c r="I1954" s="706" t="s">
        <v>3594</v>
      </c>
    </row>
    <row r="1955" spans="1:9">
      <c r="A1955" s="706">
        <v>107650</v>
      </c>
      <c r="B1955" s="706" t="s">
        <v>3641</v>
      </c>
      <c r="D1955" s="706" t="s">
        <v>1841</v>
      </c>
      <c r="H1955" s="1191"/>
      <c r="I1955" s="706" t="s">
        <v>3594</v>
      </c>
    </row>
    <row r="1956" spans="1:9">
      <c r="A1956" s="706">
        <v>107651</v>
      </c>
      <c r="B1956" s="706" t="s">
        <v>3642</v>
      </c>
      <c r="D1956" s="706" t="s">
        <v>1841</v>
      </c>
      <c r="H1956" s="1191"/>
      <c r="I1956" s="706" t="s">
        <v>3594</v>
      </c>
    </row>
    <row r="1957" spans="1:9">
      <c r="A1957" s="706">
        <v>107652</v>
      </c>
      <c r="B1957" s="706" t="s">
        <v>3643</v>
      </c>
      <c r="D1957" s="706" t="s">
        <v>1841</v>
      </c>
      <c r="H1957" s="1191"/>
      <c r="I1957" s="706" t="s">
        <v>3594</v>
      </c>
    </row>
    <row r="1958" spans="1:9">
      <c r="A1958" s="706">
        <v>107653</v>
      </c>
      <c r="B1958" s="706" t="s">
        <v>3644</v>
      </c>
      <c r="D1958" s="706" t="s">
        <v>1841</v>
      </c>
      <c r="H1958" s="1191"/>
      <c r="I1958" s="706" t="s">
        <v>3594</v>
      </c>
    </row>
    <row r="1959" spans="1:9">
      <c r="A1959" s="706">
        <v>107654</v>
      </c>
      <c r="B1959" s="706" t="s">
        <v>3645</v>
      </c>
      <c r="D1959" s="706" t="s">
        <v>1841</v>
      </c>
      <c r="H1959" s="1191"/>
      <c r="I1959" s="706" t="s">
        <v>3594</v>
      </c>
    </row>
    <row r="1960" spans="1:9">
      <c r="A1960" s="706">
        <v>107655</v>
      </c>
      <c r="B1960" s="706" t="s">
        <v>3646</v>
      </c>
      <c r="D1960" s="706" t="s">
        <v>1841</v>
      </c>
      <c r="H1960" s="1191"/>
      <c r="I1960" s="706" t="s">
        <v>3594</v>
      </c>
    </row>
    <row r="1961" spans="1:9">
      <c r="A1961" s="706">
        <v>107656</v>
      </c>
      <c r="B1961" s="706" t="s">
        <v>3647</v>
      </c>
      <c r="D1961" s="706" t="s">
        <v>1841</v>
      </c>
      <c r="H1961" s="1191"/>
      <c r="I1961" s="706" t="s">
        <v>3594</v>
      </c>
    </row>
    <row r="1962" spans="1:9">
      <c r="A1962" s="706">
        <v>107657</v>
      </c>
      <c r="B1962" s="706" t="s">
        <v>3648</v>
      </c>
      <c r="D1962" s="706" t="s">
        <v>1841</v>
      </c>
      <c r="H1962" s="1191"/>
      <c r="I1962" s="706" t="s">
        <v>3594</v>
      </c>
    </row>
    <row r="1963" spans="1:9">
      <c r="A1963" s="706">
        <v>107658</v>
      </c>
      <c r="B1963" s="706" t="s">
        <v>3649</v>
      </c>
      <c r="D1963" s="706" t="s">
        <v>1841</v>
      </c>
      <c r="H1963" s="1191"/>
      <c r="I1963" s="706" t="s">
        <v>3594</v>
      </c>
    </row>
    <row r="1964" spans="1:9">
      <c r="A1964" s="706">
        <v>107659</v>
      </c>
      <c r="B1964" s="706" t="s">
        <v>3650</v>
      </c>
      <c r="D1964" s="706" t="s">
        <v>1841</v>
      </c>
      <c r="H1964" s="1191"/>
      <c r="I1964" s="706" t="s">
        <v>3594</v>
      </c>
    </row>
    <row r="1965" spans="1:9">
      <c r="A1965" s="706">
        <v>107660</v>
      </c>
      <c r="B1965" s="706" t="s">
        <v>3651</v>
      </c>
      <c r="D1965" s="706" t="s">
        <v>1841</v>
      </c>
      <c r="H1965" s="1191"/>
      <c r="I1965" s="706" t="s">
        <v>3594</v>
      </c>
    </row>
    <row r="1966" spans="1:9">
      <c r="A1966" s="706">
        <v>107661</v>
      </c>
      <c r="B1966" s="706" t="s">
        <v>3652</v>
      </c>
      <c r="D1966" s="706" t="s">
        <v>1841</v>
      </c>
      <c r="H1966" s="1191"/>
      <c r="I1966" s="706" t="s">
        <v>3594</v>
      </c>
    </row>
    <row r="1967" spans="1:9">
      <c r="A1967" s="706">
        <v>107662</v>
      </c>
      <c r="B1967" s="706" t="s">
        <v>3653</v>
      </c>
      <c r="D1967" s="706" t="s">
        <v>1841</v>
      </c>
      <c r="H1967" s="1191"/>
      <c r="I1967" s="706" t="s">
        <v>3594</v>
      </c>
    </row>
    <row r="1968" spans="1:9">
      <c r="A1968" s="706">
        <v>107663</v>
      </c>
      <c r="B1968" s="706" t="s">
        <v>3654</v>
      </c>
      <c r="D1968" s="706" t="s">
        <v>1841</v>
      </c>
      <c r="H1968" s="1191"/>
      <c r="I1968" s="706" t="s">
        <v>3594</v>
      </c>
    </row>
    <row r="1969" spans="1:9">
      <c r="A1969" s="706">
        <v>107664</v>
      </c>
      <c r="B1969" s="706" t="s">
        <v>3655</v>
      </c>
      <c r="D1969" s="706" t="s">
        <v>1841</v>
      </c>
      <c r="H1969" s="1191"/>
      <c r="I1969" s="706" t="s">
        <v>3594</v>
      </c>
    </row>
    <row r="1970" spans="1:9">
      <c r="A1970" s="706">
        <v>107665</v>
      </c>
      <c r="B1970" s="706" t="s">
        <v>3656</v>
      </c>
      <c r="D1970" s="706" t="s">
        <v>1841</v>
      </c>
      <c r="H1970" s="1191"/>
      <c r="I1970" s="706" t="s">
        <v>3594</v>
      </c>
    </row>
    <row r="1971" spans="1:9">
      <c r="A1971" s="706">
        <v>107666</v>
      </c>
      <c r="B1971" s="706" t="s">
        <v>3657</v>
      </c>
      <c r="D1971" s="706" t="s">
        <v>1841</v>
      </c>
      <c r="H1971" s="1191"/>
      <c r="I1971" s="706" t="s">
        <v>3594</v>
      </c>
    </row>
    <row r="1972" spans="1:9">
      <c r="A1972" s="706">
        <v>107667</v>
      </c>
      <c r="B1972" s="706" t="s">
        <v>3658</v>
      </c>
      <c r="D1972" s="706" t="s">
        <v>1841</v>
      </c>
      <c r="H1972" s="1191"/>
      <c r="I1972" s="706" t="s">
        <v>3594</v>
      </c>
    </row>
    <row r="1973" spans="1:9">
      <c r="A1973" s="706">
        <v>107668</v>
      </c>
      <c r="B1973" s="706" t="s">
        <v>3659</v>
      </c>
      <c r="D1973" s="706" t="s">
        <v>1841</v>
      </c>
      <c r="H1973" s="1191"/>
      <c r="I1973" s="706" t="s">
        <v>3594</v>
      </c>
    </row>
    <row r="1974" spans="1:9">
      <c r="A1974" s="706">
        <v>107669</v>
      </c>
      <c r="B1974" s="706" t="s">
        <v>3660</v>
      </c>
      <c r="D1974" s="706" t="s">
        <v>1841</v>
      </c>
      <c r="H1974" s="1191"/>
      <c r="I1974" s="706" t="s">
        <v>3594</v>
      </c>
    </row>
    <row r="1975" spans="1:9">
      <c r="A1975" s="706">
        <v>107670</v>
      </c>
      <c r="B1975" s="706" t="s">
        <v>3661</v>
      </c>
      <c r="D1975" s="706" t="s">
        <v>1841</v>
      </c>
      <c r="H1975" s="1191"/>
      <c r="I1975" s="706" t="s">
        <v>3594</v>
      </c>
    </row>
    <row r="1976" spans="1:9">
      <c r="A1976" s="706">
        <v>107671</v>
      </c>
      <c r="B1976" s="706" t="s">
        <v>3662</v>
      </c>
      <c r="D1976" s="706" t="s">
        <v>1841</v>
      </c>
      <c r="H1976" s="1191"/>
      <c r="I1976" s="706" t="s">
        <v>3594</v>
      </c>
    </row>
    <row r="1977" spans="1:9">
      <c r="A1977" s="706">
        <v>107672</v>
      </c>
      <c r="B1977" s="706" t="s">
        <v>3663</v>
      </c>
      <c r="D1977" s="706" t="s">
        <v>1841</v>
      </c>
      <c r="H1977" s="1191"/>
      <c r="I1977" s="706" t="s">
        <v>3594</v>
      </c>
    </row>
    <row r="1978" spans="1:9">
      <c r="A1978" s="706">
        <v>107673</v>
      </c>
      <c r="B1978" s="706" t="s">
        <v>3664</v>
      </c>
      <c r="D1978" s="706" t="s">
        <v>1841</v>
      </c>
      <c r="H1978" s="1191"/>
      <c r="I1978" s="706" t="s">
        <v>3594</v>
      </c>
    </row>
    <row r="1979" spans="1:9">
      <c r="A1979" s="706">
        <v>107674</v>
      </c>
      <c r="B1979" s="706" t="s">
        <v>3665</v>
      </c>
      <c r="D1979" s="706" t="s">
        <v>1841</v>
      </c>
      <c r="H1979" s="1191"/>
      <c r="I1979" s="706" t="s">
        <v>3594</v>
      </c>
    </row>
    <row r="1980" spans="1:9">
      <c r="A1980" s="706">
        <v>107675</v>
      </c>
      <c r="B1980" s="706" t="s">
        <v>3666</v>
      </c>
      <c r="D1980" s="706" t="s">
        <v>1841</v>
      </c>
      <c r="H1980" s="1191"/>
      <c r="I1980" s="706" t="s">
        <v>3594</v>
      </c>
    </row>
    <row r="1981" spans="1:9">
      <c r="A1981" s="706">
        <v>107676</v>
      </c>
      <c r="B1981" s="706" t="s">
        <v>3667</v>
      </c>
      <c r="D1981" s="706" t="s">
        <v>1841</v>
      </c>
      <c r="H1981" s="1191"/>
      <c r="I1981" s="706" t="s">
        <v>3594</v>
      </c>
    </row>
    <row r="1982" spans="1:9">
      <c r="A1982" s="706">
        <v>107677</v>
      </c>
      <c r="B1982" s="706" t="s">
        <v>3668</v>
      </c>
      <c r="D1982" s="706" t="s">
        <v>1841</v>
      </c>
      <c r="H1982" s="1191"/>
      <c r="I1982" s="706" t="s">
        <v>3594</v>
      </c>
    </row>
    <row r="1983" spans="1:9">
      <c r="A1983" s="706">
        <v>107678</v>
      </c>
      <c r="B1983" s="706" t="s">
        <v>3669</v>
      </c>
      <c r="D1983" s="706" t="s">
        <v>1841</v>
      </c>
      <c r="H1983" s="1191"/>
      <c r="I1983" s="706" t="s">
        <v>3594</v>
      </c>
    </row>
    <row r="1984" spans="1:9">
      <c r="A1984" s="706">
        <v>107679</v>
      </c>
      <c r="B1984" s="706" t="s">
        <v>3670</v>
      </c>
      <c r="D1984" s="706" t="s">
        <v>1841</v>
      </c>
      <c r="H1984" s="1191"/>
      <c r="I1984" s="706" t="s">
        <v>3594</v>
      </c>
    </row>
    <row r="1985" spans="1:9">
      <c r="A1985" s="706">
        <v>107680</v>
      </c>
      <c r="B1985" s="706" t="s">
        <v>3671</v>
      </c>
      <c r="D1985" s="706" t="s">
        <v>1841</v>
      </c>
      <c r="H1985" s="1191"/>
      <c r="I1985" s="706" t="s">
        <v>3594</v>
      </c>
    </row>
    <row r="1986" spans="1:9">
      <c r="A1986" s="706">
        <v>107681</v>
      </c>
      <c r="B1986" s="706" t="s">
        <v>3672</v>
      </c>
      <c r="D1986" s="706" t="s">
        <v>1841</v>
      </c>
      <c r="H1986" s="1191"/>
      <c r="I1986" s="706" t="s">
        <v>3594</v>
      </c>
    </row>
    <row r="1987" spans="1:9">
      <c r="A1987" s="706">
        <v>107682</v>
      </c>
      <c r="B1987" s="706" t="s">
        <v>3673</v>
      </c>
      <c r="D1987" s="706" t="s">
        <v>1841</v>
      </c>
      <c r="H1987" s="1191"/>
      <c r="I1987" s="706" t="s">
        <v>3594</v>
      </c>
    </row>
    <row r="1988" spans="1:9">
      <c r="A1988" s="706">
        <v>107683</v>
      </c>
      <c r="B1988" s="706" t="s">
        <v>3674</v>
      </c>
      <c r="D1988" s="706" t="s">
        <v>1841</v>
      </c>
      <c r="H1988" s="1191"/>
      <c r="I1988" s="706" t="s">
        <v>3594</v>
      </c>
    </row>
    <row r="1989" spans="1:9">
      <c r="A1989" s="706">
        <v>107684</v>
      </c>
      <c r="B1989" s="706" t="s">
        <v>3675</v>
      </c>
      <c r="D1989" s="706" t="s">
        <v>1841</v>
      </c>
      <c r="H1989" s="1191"/>
      <c r="I1989" s="706" t="s">
        <v>3594</v>
      </c>
    </row>
    <row r="1990" spans="1:9">
      <c r="A1990" s="706">
        <v>107685</v>
      </c>
      <c r="B1990" s="706" t="s">
        <v>3676</v>
      </c>
      <c r="D1990" s="706" t="s">
        <v>1841</v>
      </c>
      <c r="H1990" s="1191"/>
      <c r="I1990" s="706" t="s">
        <v>3594</v>
      </c>
    </row>
    <row r="1991" spans="1:9">
      <c r="A1991" s="706">
        <v>107686</v>
      </c>
      <c r="B1991" s="706" t="s">
        <v>3677</v>
      </c>
      <c r="D1991" s="706" t="s">
        <v>1841</v>
      </c>
      <c r="H1991" s="1191"/>
      <c r="I1991" s="706" t="s">
        <v>3594</v>
      </c>
    </row>
    <row r="1992" spans="1:9">
      <c r="A1992" s="706">
        <v>107687</v>
      </c>
      <c r="B1992" s="706" t="s">
        <v>3678</v>
      </c>
      <c r="D1992" s="706" t="s">
        <v>1841</v>
      </c>
      <c r="H1992" s="1191"/>
      <c r="I1992" s="706" t="s">
        <v>3594</v>
      </c>
    </row>
    <row r="1993" spans="1:9">
      <c r="A1993" s="706">
        <v>107688</v>
      </c>
      <c r="B1993" s="706" t="s">
        <v>3679</v>
      </c>
      <c r="D1993" s="706" t="s">
        <v>1841</v>
      </c>
      <c r="H1993" s="1191"/>
      <c r="I1993" s="706" t="s">
        <v>3594</v>
      </c>
    </row>
    <row r="1994" spans="1:9">
      <c r="A1994" s="706">
        <v>107689</v>
      </c>
      <c r="B1994" s="706" t="s">
        <v>3680</v>
      </c>
      <c r="D1994" s="706" t="s">
        <v>1841</v>
      </c>
      <c r="H1994" s="1191"/>
      <c r="I1994" s="706" t="s">
        <v>3594</v>
      </c>
    </row>
    <row r="1995" spans="1:9">
      <c r="A1995" s="706">
        <v>107690</v>
      </c>
      <c r="B1995" s="706" t="s">
        <v>3681</v>
      </c>
      <c r="D1995" s="706" t="s">
        <v>1841</v>
      </c>
      <c r="H1995" s="1191"/>
      <c r="I1995" s="706" t="s">
        <v>3594</v>
      </c>
    </row>
    <row r="1996" spans="1:9">
      <c r="A1996" s="706">
        <v>107691</v>
      </c>
      <c r="B1996" s="706" t="s">
        <v>3682</v>
      </c>
      <c r="D1996" s="706" t="s">
        <v>1841</v>
      </c>
      <c r="H1996" s="1191"/>
      <c r="I1996" s="706" t="s">
        <v>3594</v>
      </c>
    </row>
    <row r="1997" spans="1:9">
      <c r="A1997" s="706">
        <v>107692</v>
      </c>
      <c r="B1997" s="706" t="s">
        <v>3683</v>
      </c>
      <c r="D1997" s="706" t="s">
        <v>1841</v>
      </c>
      <c r="H1997" s="1191"/>
      <c r="I1997" s="706" t="s">
        <v>3594</v>
      </c>
    </row>
    <row r="1998" spans="1:9">
      <c r="A1998" s="706">
        <v>107693</v>
      </c>
      <c r="B1998" s="706" t="s">
        <v>3684</v>
      </c>
      <c r="D1998" s="706" t="s">
        <v>1841</v>
      </c>
      <c r="H1998" s="1191"/>
      <c r="I1998" s="706" t="s">
        <v>3594</v>
      </c>
    </row>
    <row r="1999" spans="1:9">
      <c r="A1999" s="706">
        <v>107694</v>
      </c>
      <c r="B1999" s="706" t="s">
        <v>3685</v>
      </c>
      <c r="D1999" s="706" t="s">
        <v>1841</v>
      </c>
      <c r="H1999" s="1191"/>
      <c r="I1999" s="706" t="s">
        <v>3594</v>
      </c>
    </row>
    <row r="2000" spans="1:9">
      <c r="A2000" s="706">
        <v>107695</v>
      </c>
      <c r="B2000" s="706" t="s">
        <v>3686</v>
      </c>
      <c r="D2000" s="706" t="s">
        <v>1841</v>
      </c>
      <c r="H2000" s="1191"/>
      <c r="I2000" s="706" t="s">
        <v>3594</v>
      </c>
    </row>
    <row r="2001" spans="1:9">
      <c r="A2001" s="706">
        <v>107696</v>
      </c>
      <c r="B2001" s="706" t="s">
        <v>3687</v>
      </c>
      <c r="D2001" s="706" t="s">
        <v>1841</v>
      </c>
      <c r="H2001" s="1191"/>
      <c r="I2001" s="706" t="s">
        <v>3594</v>
      </c>
    </row>
    <row r="2002" spans="1:9">
      <c r="A2002" s="706">
        <v>107697</v>
      </c>
      <c r="B2002" s="706" t="s">
        <v>3688</v>
      </c>
      <c r="D2002" s="706" t="s">
        <v>1841</v>
      </c>
      <c r="H2002" s="1191"/>
      <c r="I2002" s="706" t="s">
        <v>3594</v>
      </c>
    </row>
    <row r="2003" spans="1:9">
      <c r="A2003" s="706">
        <v>107698</v>
      </c>
      <c r="B2003" s="706" t="s">
        <v>3689</v>
      </c>
      <c r="D2003" s="706" t="s">
        <v>1841</v>
      </c>
      <c r="H2003" s="1191"/>
      <c r="I2003" s="706" t="s">
        <v>3594</v>
      </c>
    </row>
    <row r="2004" spans="1:9">
      <c r="A2004" s="706">
        <v>107699</v>
      </c>
      <c r="B2004" s="706" t="s">
        <v>3690</v>
      </c>
      <c r="D2004" s="706" t="s">
        <v>1841</v>
      </c>
      <c r="H2004" s="1191"/>
      <c r="I2004" s="706" t="s">
        <v>3594</v>
      </c>
    </row>
    <row r="2005" spans="1:9">
      <c r="A2005" s="706">
        <v>107700</v>
      </c>
      <c r="B2005" s="706" t="s">
        <v>3691</v>
      </c>
      <c r="D2005" s="706" t="s">
        <v>1841</v>
      </c>
      <c r="H2005" s="1191"/>
      <c r="I2005" s="706" t="s">
        <v>3594</v>
      </c>
    </row>
    <row r="2006" spans="1:9">
      <c r="A2006" s="706">
        <v>107701</v>
      </c>
      <c r="B2006" s="706" t="s">
        <v>3692</v>
      </c>
      <c r="D2006" s="706" t="s">
        <v>1841</v>
      </c>
      <c r="H2006" s="1191"/>
      <c r="I2006" s="706" t="s">
        <v>3594</v>
      </c>
    </row>
    <row r="2007" spans="1:9">
      <c r="A2007" s="706">
        <v>107702</v>
      </c>
      <c r="B2007" s="706" t="s">
        <v>3693</v>
      </c>
      <c r="D2007" s="706" t="s">
        <v>1841</v>
      </c>
      <c r="H2007" s="1191"/>
      <c r="I2007" s="706" t="s">
        <v>3594</v>
      </c>
    </row>
    <row r="2008" spans="1:9">
      <c r="A2008" s="706">
        <v>107703</v>
      </c>
      <c r="B2008" s="706" t="s">
        <v>3694</v>
      </c>
      <c r="D2008" s="706" t="s">
        <v>1841</v>
      </c>
      <c r="H2008" s="1191"/>
      <c r="I2008" s="706" t="s">
        <v>3594</v>
      </c>
    </row>
    <row r="2009" spans="1:9">
      <c r="A2009" s="706">
        <v>107704</v>
      </c>
      <c r="B2009" s="706" t="s">
        <v>3695</v>
      </c>
      <c r="D2009" s="706" t="s">
        <v>1841</v>
      </c>
      <c r="H2009" s="1191"/>
      <c r="I2009" s="706" t="s">
        <v>3594</v>
      </c>
    </row>
    <row r="2010" spans="1:9">
      <c r="A2010" s="706">
        <v>107705</v>
      </c>
      <c r="B2010" s="706" t="s">
        <v>3696</v>
      </c>
      <c r="D2010" s="706" t="s">
        <v>1841</v>
      </c>
      <c r="H2010" s="1191"/>
      <c r="I2010" s="706" t="s">
        <v>3594</v>
      </c>
    </row>
    <row r="2011" spans="1:9">
      <c r="A2011" s="706">
        <v>107706</v>
      </c>
      <c r="B2011" s="706" t="s">
        <v>3697</v>
      </c>
      <c r="D2011" s="706" t="s">
        <v>1841</v>
      </c>
      <c r="H2011" s="1191"/>
      <c r="I2011" s="706" t="s">
        <v>3594</v>
      </c>
    </row>
    <row r="2012" spans="1:9">
      <c r="A2012" s="706">
        <v>107707</v>
      </c>
      <c r="B2012" s="706" t="s">
        <v>3698</v>
      </c>
      <c r="D2012" s="706" t="s">
        <v>1841</v>
      </c>
      <c r="H2012" s="1191"/>
      <c r="I2012" s="706" t="s">
        <v>3594</v>
      </c>
    </row>
    <row r="2013" spans="1:9">
      <c r="A2013" s="706">
        <v>107708</v>
      </c>
      <c r="B2013" s="706" t="s">
        <v>3699</v>
      </c>
      <c r="D2013" s="706" t="s">
        <v>1841</v>
      </c>
      <c r="H2013" s="1191"/>
      <c r="I2013" s="706" t="s">
        <v>3594</v>
      </c>
    </row>
    <row r="2014" spans="1:9">
      <c r="A2014" s="706">
        <v>107709</v>
      </c>
      <c r="B2014" s="706" t="s">
        <v>3700</v>
      </c>
      <c r="D2014" s="706" t="s">
        <v>1841</v>
      </c>
      <c r="H2014" s="1191"/>
      <c r="I2014" s="706" t="s">
        <v>3594</v>
      </c>
    </row>
    <row r="2015" spans="1:9">
      <c r="A2015" s="706">
        <v>107710</v>
      </c>
      <c r="B2015" s="706" t="s">
        <v>3701</v>
      </c>
      <c r="D2015" s="706" t="s">
        <v>1841</v>
      </c>
      <c r="H2015" s="1191"/>
      <c r="I2015" s="706" t="s">
        <v>3594</v>
      </c>
    </row>
    <row r="2016" spans="1:9">
      <c r="A2016" s="706">
        <v>107711</v>
      </c>
      <c r="B2016" s="706" t="s">
        <v>3702</v>
      </c>
      <c r="D2016" s="706" t="s">
        <v>1841</v>
      </c>
      <c r="H2016" s="1191"/>
      <c r="I2016" s="706" t="s">
        <v>3594</v>
      </c>
    </row>
    <row r="2017" spans="1:9">
      <c r="A2017" s="706">
        <v>107712</v>
      </c>
      <c r="B2017" s="706" t="s">
        <v>3703</v>
      </c>
      <c r="D2017" s="706" t="s">
        <v>1841</v>
      </c>
      <c r="H2017" s="1191"/>
      <c r="I2017" s="706" t="s">
        <v>3594</v>
      </c>
    </row>
    <row r="2018" spans="1:9">
      <c r="A2018" s="706">
        <v>107713</v>
      </c>
      <c r="B2018" s="706" t="s">
        <v>3704</v>
      </c>
      <c r="D2018" s="706" t="s">
        <v>1841</v>
      </c>
      <c r="H2018" s="1191"/>
      <c r="I2018" s="706" t="s">
        <v>3594</v>
      </c>
    </row>
    <row r="2019" spans="1:9">
      <c r="A2019" s="706">
        <v>107714</v>
      </c>
      <c r="B2019" s="706" t="s">
        <v>3705</v>
      </c>
      <c r="D2019" s="706" t="s">
        <v>1841</v>
      </c>
      <c r="H2019" s="1191"/>
      <c r="I2019" s="706" t="s">
        <v>3594</v>
      </c>
    </row>
    <row r="2020" spans="1:9">
      <c r="A2020" s="706">
        <v>107715</v>
      </c>
      <c r="B2020" s="706" t="s">
        <v>3706</v>
      </c>
      <c r="D2020" s="706" t="s">
        <v>1841</v>
      </c>
      <c r="H2020" s="1191"/>
      <c r="I2020" s="706" t="s">
        <v>3594</v>
      </c>
    </row>
    <row r="2021" spans="1:9">
      <c r="A2021" s="706">
        <v>107716</v>
      </c>
      <c r="B2021" s="706" t="s">
        <v>3707</v>
      </c>
      <c r="D2021" s="706" t="s">
        <v>1841</v>
      </c>
      <c r="H2021" s="1191"/>
      <c r="I2021" s="706" t="s">
        <v>3594</v>
      </c>
    </row>
    <row r="2022" spans="1:9">
      <c r="A2022" s="706">
        <v>107717</v>
      </c>
      <c r="B2022" s="706" t="s">
        <v>3708</v>
      </c>
      <c r="D2022" s="706" t="s">
        <v>1841</v>
      </c>
      <c r="H2022" s="1191"/>
      <c r="I2022" s="706" t="s">
        <v>3594</v>
      </c>
    </row>
    <row r="2023" spans="1:9">
      <c r="A2023" s="706">
        <v>107718</v>
      </c>
      <c r="B2023" s="706" t="s">
        <v>3709</v>
      </c>
      <c r="D2023" s="706" t="s">
        <v>1841</v>
      </c>
      <c r="H2023" s="1191"/>
      <c r="I2023" s="706" t="s">
        <v>3594</v>
      </c>
    </row>
    <row r="2024" spans="1:9">
      <c r="A2024" s="706">
        <v>107719</v>
      </c>
      <c r="B2024" s="706" t="s">
        <v>3710</v>
      </c>
      <c r="D2024" s="706" t="s">
        <v>1841</v>
      </c>
      <c r="H2024" s="1191"/>
      <c r="I2024" s="706" t="s">
        <v>3594</v>
      </c>
    </row>
    <row r="2025" spans="1:9">
      <c r="A2025" s="706">
        <v>107720</v>
      </c>
      <c r="B2025" s="706" t="s">
        <v>3711</v>
      </c>
      <c r="D2025" s="706" t="s">
        <v>1841</v>
      </c>
      <c r="H2025" s="1191"/>
      <c r="I2025" s="706" t="s">
        <v>3594</v>
      </c>
    </row>
    <row r="2026" spans="1:9">
      <c r="A2026" s="706">
        <v>107721</v>
      </c>
      <c r="B2026" s="706" t="s">
        <v>3712</v>
      </c>
      <c r="D2026" s="706" t="s">
        <v>1841</v>
      </c>
      <c r="H2026" s="1191"/>
      <c r="I2026" s="706" t="s">
        <v>3594</v>
      </c>
    </row>
    <row r="2027" spans="1:9">
      <c r="A2027" s="706">
        <v>107722</v>
      </c>
      <c r="B2027" s="706" t="s">
        <v>3713</v>
      </c>
      <c r="D2027" s="706" t="s">
        <v>1841</v>
      </c>
      <c r="H2027" s="1191"/>
      <c r="I2027" s="706" t="s">
        <v>3594</v>
      </c>
    </row>
    <row r="2028" spans="1:9">
      <c r="A2028" s="706">
        <v>107723</v>
      </c>
      <c r="B2028" s="706" t="s">
        <v>3714</v>
      </c>
      <c r="D2028" s="706" t="s">
        <v>1841</v>
      </c>
      <c r="H2028" s="1191"/>
      <c r="I2028" s="706" t="s">
        <v>3594</v>
      </c>
    </row>
    <row r="2029" spans="1:9">
      <c r="A2029" s="706">
        <v>107724</v>
      </c>
      <c r="B2029" s="706" t="s">
        <v>3715</v>
      </c>
      <c r="D2029" s="706" t="s">
        <v>1841</v>
      </c>
      <c r="H2029" s="1191"/>
      <c r="I2029" s="706" t="s">
        <v>3594</v>
      </c>
    </row>
    <row r="2030" spans="1:9">
      <c r="A2030" s="706">
        <v>107725</v>
      </c>
      <c r="B2030" s="706" t="s">
        <v>3716</v>
      </c>
      <c r="D2030" s="706" t="s">
        <v>1841</v>
      </c>
      <c r="H2030" s="1191"/>
      <c r="I2030" s="706" t="s">
        <v>3594</v>
      </c>
    </row>
    <row r="2031" spans="1:9">
      <c r="A2031" s="706">
        <v>107726</v>
      </c>
      <c r="B2031" s="706" t="s">
        <v>3717</v>
      </c>
      <c r="D2031" s="706" t="s">
        <v>1841</v>
      </c>
      <c r="H2031" s="1191"/>
      <c r="I2031" s="706" t="s">
        <v>3594</v>
      </c>
    </row>
    <row r="2032" spans="1:9">
      <c r="A2032" s="706">
        <v>107727</v>
      </c>
      <c r="B2032" s="706" t="s">
        <v>3718</v>
      </c>
      <c r="D2032" s="706" t="s">
        <v>1841</v>
      </c>
      <c r="H2032" s="1191"/>
      <c r="I2032" s="706" t="s">
        <v>3594</v>
      </c>
    </row>
    <row r="2033" spans="1:9">
      <c r="A2033" s="706">
        <v>107728</v>
      </c>
      <c r="B2033" s="706" t="s">
        <v>3719</v>
      </c>
      <c r="D2033" s="706" t="s">
        <v>1841</v>
      </c>
      <c r="H2033" s="1191"/>
      <c r="I2033" s="706" t="s">
        <v>3594</v>
      </c>
    </row>
    <row r="2034" spans="1:9">
      <c r="A2034" s="706">
        <v>107729</v>
      </c>
      <c r="B2034" s="706" t="s">
        <v>3720</v>
      </c>
      <c r="D2034" s="706" t="s">
        <v>1841</v>
      </c>
      <c r="H2034" s="1191"/>
      <c r="I2034" s="706" t="s">
        <v>3594</v>
      </c>
    </row>
    <row r="2035" spans="1:9">
      <c r="A2035" s="706">
        <v>107730</v>
      </c>
      <c r="B2035" s="706" t="s">
        <v>3721</v>
      </c>
      <c r="D2035" s="706" t="s">
        <v>1841</v>
      </c>
      <c r="H2035" s="1191"/>
      <c r="I2035" s="706" t="s">
        <v>3594</v>
      </c>
    </row>
    <row r="2036" spans="1:9">
      <c r="A2036" s="706">
        <v>107731</v>
      </c>
      <c r="B2036" s="706" t="s">
        <v>3722</v>
      </c>
      <c r="D2036" s="706" t="s">
        <v>1841</v>
      </c>
      <c r="H2036" s="1191"/>
      <c r="I2036" s="706" t="s">
        <v>3594</v>
      </c>
    </row>
    <row r="2037" spans="1:9">
      <c r="A2037" s="706">
        <v>107732</v>
      </c>
      <c r="B2037" s="706" t="s">
        <v>3723</v>
      </c>
      <c r="D2037" s="706" t="s">
        <v>1841</v>
      </c>
      <c r="H2037" s="1191"/>
      <c r="I2037" s="706" t="s">
        <v>3594</v>
      </c>
    </row>
    <row r="2038" spans="1:9">
      <c r="A2038" s="706">
        <v>107733</v>
      </c>
      <c r="B2038" s="706" t="s">
        <v>3724</v>
      </c>
      <c r="D2038" s="706" t="s">
        <v>1841</v>
      </c>
      <c r="H2038" s="1191"/>
      <c r="I2038" s="706" t="s">
        <v>3594</v>
      </c>
    </row>
    <row r="2039" spans="1:9">
      <c r="A2039" s="706">
        <v>107734</v>
      </c>
      <c r="B2039" s="706" t="s">
        <v>3725</v>
      </c>
      <c r="D2039" s="706" t="s">
        <v>1841</v>
      </c>
      <c r="H2039" s="1191"/>
      <c r="I2039" s="706" t="s">
        <v>3594</v>
      </c>
    </row>
    <row r="2040" spans="1:9">
      <c r="A2040" s="706">
        <v>107735</v>
      </c>
      <c r="B2040" s="706" t="s">
        <v>3726</v>
      </c>
      <c r="D2040" s="706" t="s">
        <v>1841</v>
      </c>
      <c r="H2040" s="1191"/>
      <c r="I2040" s="706" t="s">
        <v>3594</v>
      </c>
    </row>
    <row r="2041" spans="1:9">
      <c r="A2041" s="706">
        <v>107736</v>
      </c>
      <c r="B2041" s="706" t="s">
        <v>3727</v>
      </c>
      <c r="D2041" s="706" t="s">
        <v>1841</v>
      </c>
      <c r="H2041" s="1191"/>
      <c r="I2041" s="706" t="s">
        <v>3594</v>
      </c>
    </row>
    <row r="2042" spans="1:9">
      <c r="A2042" s="706">
        <v>107737</v>
      </c>
      <c r="B2042" s="706" t="s">
        <v>3728</v>
      </c>
      <c r="D2042" s="706" t="s">
        <v>1841</v>
      </c>
      <c r="H2042" s="1191"/>
      <c r="I2042" s="706" t="s">
        <v>3594</v>
      </c>
    </row>
    <row r="2043" spans="1:9">
      <c r="A2043" s="706">
        <v>107738</v>
      </c>
      <c r="B2043" s="706" t="s">
        <v>3729</v>
      </c>
      <c r="D2043" s="706" t="s">
        <v>1841</v>
      </c>
      <c r="H2043" s="1191"/>
      <c r="I2043" s="706" t="s">
        <v>3594</v>
      </c>
    </row>
    <row r="2044" spans="1:9">
      <c r="A2044" s="706">
        <v>107739</v>
      </c>
      <c r="B2044" s="706" t="s">
        <v>3730</v>
      </c>
      <c r="D2044" s="706" t="s">
        <v>1841</v>
      </c>
      <c r="H2044" s="1191"/>
      <c r="I2044" s="706" t="s">
        <v>3594</v>
      </c>
    </row>
    <row r="2045" spans="1:9">
      <c r="A2045" s="706">
        <v>107740</v>
      </c>
      <c r="B2045" s="706" t="s">
        <v>3731</v>
      </c>
      <c r="D2045" s="706" t="s">
        <v>1841</v>
      </c>
      <c r="H2045" s="1191"/>
      <c r="I2045" s="706" t="s">
        <v>3594</v>
      </c>
    </row>
    <row r="2046" spans="1:9">
      <c r="A2046" s="706">
        <v>107741</v>
      </c>
      <c r="B2046" s="706" t="s">
        <v>3732</v>
      </c>
      <c r="D2046" s="706" t="s">
        <v>1841</v>
      </c>
      <c r="H2046" s="1191"/>
      <c r="I2046" s="706" t="s">
        <v>3594</v>
      </c>
    </row>
    <row r="2047" spans="1:9">
      <c r="A2047" s="706">
        <v>107742</v>
      </c>
      <c r="B2047" s="706" t="s">
        <v>3733</v>
      </c>
      <c r="D2047" s="706" t="s">
        <v>1841</v>
      </c>
      <c r="H2047" s="1191"/>
      <c r="I2047" s="706" t="s">
        <v>3594</v>
      </c>
    </row>
    <row r="2048" spans="1:9">
      <c r="A2048" s="706">
        <v>107743</v>
      </c>
      <c r="B2048" s="706" t="s">
        <v>3734</v>
      </c>
      <c r="D2048" s="706" t="s">
        <v>1841</v>
      </c>
      <c r="H2048" s="1191"/>
      <c r="I2048" s="706" t="s">
        <v>3594</v>
      </c>
    </row>
    <row r="2049" spans="1:9">
      <c r="A2049" s="706">
        <v>107744</v>
      </c>
      <c r="B2049" s="706" t="s">
        <v>3735</v>
      </c>
      <c r="D2049" s="706" t="s">
        <v>1841</v>
      </c>
      <c r="H2049" s="1191"/>
      <c r="I2049" s="706" t="s">
        <v>3594</v>
      </c>
    </row>
    <row r="2050" spans="1:9">
      <c r="A2050" s="706">
        <v>107745</v>
      </c>
      <c r="B2050" s="706" t="s">
        <v>3736</v>
      </c>
      <c r="D2050" s="706" t="s">
        <v>1841</v>
      </c>
      <c r="H2050" s="1191"/>
      <c r="I2050" s="706" t="s">
        <v>3594</v>
      </c>
    </row>
    <row r="2051" spans="1:9">
      <c r="A2051" s="706">
        <v>107746</v>
      </c>
      <c r="B2051" s="706" t="s">
        <v>3737</v>
      </c>
      <c r="D2051" s="706" t="s">
        <v>1841</v>
      </c>
      <c r="H2051" s="1191"/>
      <c r="I2051" s="706" t="s">
        <v>3594</v>
      </c>
    </row>
    <row r="2052" spans="1:9">
      <c r="A2052" s="706">
        <v>107747</v>
      </c>
      <c r="B2052" s="706" t="s">
        <v>3738</v>
      </c>
      <c r="D2052" s="706" t="s">
        <v>1841</v>
      </c>
      <c r="H2052" s="1191"/>
      <c r="I2052" s="706" t="s">
        <v>3594</v>
      </c>
    </row>
    <row r="2053" spans="1:9">
      <c r="A2053" s="706">
        <v>107748</v>
      </c>
      <c r="B2053" s="706" t="s">
        <v>3739</v>
      </c>
      <c r="D2053" s="706" t="s">
        <v>1841</v>
      </c>
      <c r="H2053" s="1191"/>
      <c r="I2053" s="706" t="s">
        <v>3594</v>
      </c>
    </row>
    <row r="2054" spans="1:9">
      <c r="A2054" s="706">
        <v>107749</v>
      </c>
      <c r="B2054" s="706" t="s">
        <v>3740</v>
      </c>
      <c r="D2054" s="706" t="s">
        <v>1841</v>
      </c>
      <c r="H2054" s="1191"/>
      <c r="I2054" s="706" t="s">
        <v>3594</v>
      </c>
    </row>
    <row r="2055" spans="1:9">
      <c r="A2055" s="706">
        <v>107750</v>
      </c>
      <c r="B2055" s="706" t="s">
        <v>3741</v>
      </c>
      <c r="C2055" s="706" t="s">
        <v>8189</v>
      </c>
      <c r="D2055" s="706" t="s">
        <v>1841</v>
      </c>
      <c r="E2055" s="706">
        <v>230</v>
      </c>
      <c r="F2055" s="706" t="s">
        <v>28</v>
      </c>
      <c r="G2055" s="706">
        <v>404963</v>
      </c>
      <c r="H2055" s="1191">
        <v>44686</v>
      </c>
      <c r="I2055" s="706" t="s">
        <v>3594</v>
      </c>
    </row>
    <row r="2056" spans="1:9">
      <c r="A2056" s="706">
        <v>107751</v>
      </c>
      <c r="B2056" s="706" t="s">
        <v>3742</v>
      </c>
      <c r="D2056" s="706" t="s">
        <v>1841</v>
      </c>
      <c r="H2056" s="1191"/>
      <c r="I2056" s="706" t="s">
        <v>3594</v>
      </c>
    </row>
    <row r="2057" spans="1:9">
      <c r="A2057" s="706">
        <v>107752</v>
      </c>
      <c r="B2057" s="706" t="s">
        <v>3743</v>
      </c>
      <c r="D2057" s="706" t="s">
        <v>1841</v>
      </c>
      <c r="H2057" s="1191"/>
      <c r="I2057" s="706" t="s">
        <v>3594</v>
      </c>
    </row>
    <row r="2058" spans="1:9">
      <c r="A2058" s="706">
        <v>107753</v>
      </c>
      <c r="B2058" s="706" t="s">
        <v>3744</v>
      </c>
      <c r="D2058" s="706" t="s">
        <v>1841</v>
      </c>
      <c r="H2058" s="1191"/>
      <c r="I2058" s="706" t="s">
        <v>3594</v>
      </c>
    </row>
    <row r="2059" spans="1:9">
      <c r="A2059" s="706">
        <v>107754</v>
      </c>
      <c r="B2059" s="706" t="s">
        <v>3745</v>
      </c>
      <c r="D2059" s="706" t="s">
        <v>1841</v>
      </c>
      <c r="H2059" s="1191"/>
      <c r="I2059" s="706" t="s">
        <v>3594</v>
      </c>
    </row>
    <row r="2060" spans="1:9">
      <c r="A2060" s="706">
        <v>107755</v>
      </c>
      <c r="B2060" s="706" t="s">
        <v>3746</v>
      </c>
      <c r="D2060" s="706" t="s">
        <v>1841</v>
      </c>
      <c r="H2060" s="1191"/>
      <c r="I2060" s="706" t="s">
        <v>3594</v>
      </c>
    </row>
    <row r="2061" spans="1:9">
      <c r="A2061" s="706">
        <v>107756</v>
      </c>
      <c r="B2061" s="706" t="s">
        <v>3747</v>
      </c>
      <c r="D2061" s="706" t="s">
        <v>1841</v>
      </c>
      <c r="H2061" s="1191"/>
      <c r="I2061" s="706" t="s">
        <v>3594</v>
      </c>
    </row>
    <row r="2062" spans="1:9">
      <c r="A2062" s="706">
        <v>107757</v>
      </c>
      <c r="B2062" s="706" t="s">
        <v>3748</v>
      </c>
      <c r="D2062" s="706" t="s">
        <v>1841</v>
      </c>
      <c r="H2062" s="1191"/>
      <c r="I2062" s="706" t="s">
        <v>3594</v>
      </c>
    </row>
    <row r="2063" spans="1:9">
      <c r="A2063" s="706">
        <v>107758</v>
      </c>
      <c r="B2063" s="706" t="s">
        <v>3749</v>
      </c>
      <c r="D2063" s="706" t="s">
        <v>1841</v>
      </c>
      <c r="H2063" s="1191"/>
      <c r="I2063" s="706" t="s">
        <v>3594</v>
      </c>
    </row>
    <row r="2064" spans="1:9">
      <c r="A2064" s="706">
        <v>107759</v>
      </c>
      <c r="B2064" s="706" t="s">
        <v>3750</v>
      </c>
      <c r="D2064" s="706" t="s">
        <v>1841</v>
      </c>
      <c r="H2064" s="1191"/>
      <c r="I2064" s="706" t="s">
        <v>3594</v>
      </c>
    </row>
    <row r="2065" spans="1:9">
      <c r="A2065" s="706">
        <v>107760</v>
      </c>
      <c r="B2065" s="706" t="s">
        <v>3751</v>
      </c>
      <c r="D2065" s="706" t="s">
        <v>1841</v>
      </c>
      <c r="H2065" s="1191"/>
      <c r="I2065" s="706" t="s">
        <v>3594</v>
      </c>
    </row>
    <row r="2066" spans="1:9">
      <c r="A2066" s="706">
        <v>107761</v>
      </c>
      <c r="B2066" s="706" t="s">
        <v>3752</v>
      </c>
      <c r="D2066" s="706" t="s">
        <v>1841</v>
      </c>
      <c r="H2066" s="1191"/>
      <c r="I2066" s="706" t="s">
        <v>3594</v>
      </c>
    </row>
    <row r="2067" spans="1:9">
      <c r="A2067" s="706">
        <v>107762</v>
      </c>
      <c r="B2067" s="706" t="s">
        <v>3753</v>
      </c>
      <c r="D2067" s="706" t="s">
        <v>1841</v>
      </c>
      <c r="H2067" s="1191"/>
      <c r="I2067" s="706" t="s">
        <v>3594</v>
      </c>
    </row>
    <row r="2068" spans="1:9">
      <c r="A2068" s="706">
        <v>107763</v>
      </c>
      <c r="B2068" s="706" t="s">
        <v>3754</v>
      </c>
      <c r="D2068" s="706" t="s">
        <v>1841</v>
      </c>
      <c r="H2068" s="1191"/>
      <c r="I2068" s="706" t="s">
        <v>3594</v>
      </c>
    </row>
    <row r="2069" spans="1:9">
      <c r="A2069" s="706">
        <v>107764</v>
      </c>
      <c r="B2069" s="706" t="s">
        <v>3755</v>
      </c>
      <c r="D2069" s="706" t="s">
        <v>1841</v>
      </c>
      <c r="H2069" s="1191"/>
      <c r="I2069" s="706" t="s">
        <v>3594</v>
      </c>
    </row>
    <row r="2070" spans="1:9">
      <c r="A2070" s="706">
        <v>107765</v>
      </c>
      <c r="B2070" s="706" t="s">
        <v>3756</v>
      </c>
      <c r="D2070" s="706" t="s">
        <v>1841</v>
      </c>
      <c r="H2070" s="1191"/>
      <c r="I2070" s="706" t="s">
        <v>3594</v>
      </c>
    </row>
    <row r="2071" spans="1:9">
      <c r="A2071" s="706">
        <v>107766</v>
      </c>
      <c r="B2071" s="706" t="s">
        <v>3757</v>
      </c>
      <c r="D2071" s="706" t="s">
        <v>1841</v>
      </c>
      <c r="H2071" s="1191"/>
      <c r="I2071" s="706" t="s">
        <v>3594</v>
      </c>
    </row>
    <row r="2072" spans="1:9">
      <c r="A2072" s="706">
        <v>107767</v>
      </c>
      <c r="B2072" s="706" t="s">
        <v>3758</v>
      </c>
      <c r="D2072" s="706" t="s">
        <v>1841</v>
      </c>
      <c r="H2072" s="1191"/>
      <c r="I2072" s="706" t="s">
        <v>3594</v>
      </c>
    </row>
    <row r="2073" spans="1:9">
      <c r="A2073" s="706">
        <v>107768</v>
      </c>
      <c r="B2073" s="706" t="s">
        <v>3759</v>
      </c>
      <c r="D2073" s="706" t="s">
        <v>1841</v>
      </c>
      <c r="H2073" s="1191"/>
      <c r="I2073" s="706" t="s">
        <v>3594</v>
      </c>
    </row>
    <row r="2074" spans="1:9">
      <c r="A2074" s="706">
        <v>107769</v>
      </c>
      <c r="B2074" s="706" t="s">
        <v>3760</v>
      </c>
      <c r="D2074" s="706" t="s">
        <v>1841</v>
      </c>
      <c r="H2074" s="1191"/>
      <c r="I2074" s="706" t="s">
        <v>3594</v>
      </c>
    </row>
    <row r="2075" spans="1:9">
      <c r="A2075" s="706">
        <v>107770</v>
      </c>
      <c r="B2075" s="706" t="s">
        <v>3761</v>
      </c>
      <c r="D2075" s="706" t="s">
        <v>1841</v>
      </c>
      <c r="H2075" s="1191"/>
      <c r="I2075" s="706" t="s">
        <v>3594</v>
      </c>
    </row>
    <row r="2076" spans="1:9">
      <c r="A2076" s="706">
        <v>107771</v>
      </c>
      <c r="B2076" s="706" t="s">
        <v>3762</v>
      </c>
      <c r="D2076" s="706" t="s">
        <v>1841</v>
      </c>
      <c r="H2076" s="1191"/>
      <c r="I2076" s="706" t="s">
        <v>3594</v>
      </c>
    </row>
    <row r="2077" spans="1:9">
      <c r="A2077" s="706">
        <v>107772</v>
      </c>
      <c r="B2077" s="706" t="s">
        <v>3763</v>
      </c>
      <c r="D2077" s="706" t="s">
        <v>1841</v>
      </c>
      <c r="H2077" s="1191"/>
      <c r="I2077" s="706" t="s">
        <v>3594</v>
      </c>
    </row>
    <row r="2078" spans="1:9">
      <c r="A2078" s="706">
        <v>107773</v>
      </c>
      <c r="B2078" s="706" t="s">
        <v>3764</v>
      </c>
      <c r="D2078" s="706" t="s">
        <v>1841</v>
      </c>
      <c r="H2078" s="1191"/>
      <c r="I2078" s="706" t="s">
        <v>3594</v>
      </c>
    </row>
    <row r="2079" spans="1:9">
      <c r="A2079" s="706">
        <v>107774</v>
      </c>
      <c r="B2079" s="706" t="s">
        <v>3765</v>
      </c>
      <c r="D2079" s="706" t="s">
        <v>1841</v>
      </c>
      <c r="H2079" s="1191"/>
      <c r="I2079" s="706" t="s">
        <v>3594</v>
      </c>
    </row>
    <row r="2080" spans="1:9">
      <c r="A2080" s="706">
        <v>107775</v>
      </c>
      <c r="B2080" s="706" t="s">
        <v>3766</v>
      </c>
      <c r="D2080" s="706" t="s">
        <v>1841</v>
      </c>
      <c r="H2080" s="1191"/>
      <c r="I2080" s="706" t="s">
        <v>3594</v>
      </c>
    </row>
    <row r="2081" spans="1:9">
      <c r="A2081" s="706">
        <v>107776</v>
      </c>
      <c r="B2081" s="706" t="s">
        <v>3767</v>
      </c>
      <c r="D2081" s="706" t="s">
        <v>1841</v>
      </c>
      <c r="H2081" s="1191"/>
      <c r="I2081" s="706" t="s">
        <v>3594</v>
      </c>
    </row>
    <row r="2082" spans="1:9">
      <c r="A2082" s="706">
        <v>107777</v>
      </c>
      <c r="B2082" s="706" t="s">
        <v>3768</v>
      </c>
      <c r="D2082" s="706" t="s">
        <v>1841</v>
      </c>
      <c r="H2082" s="1191"/>
      <c r="I2082" s="706" t="s">
        <v>3594</v>
      </c>
    </row>
    <row r="2083" spans="1:9">
      <c r="A2083" s="706">
        <v>107778</v>
      </c>
      <c r="B2083" s="706" t="s">
        <v>3769</v>
      </c>
      <c r="D2083" s="706" t="s">
        <v>1841</v>
      </c>
      <c r="H2083" s="1191"/>
      <c r="I2083" s="706" t="s">
        <v>3594</v>
      </c>
    </row>
    <row r="2084" spans="1:9">
      <c r="A2084" s="706">
        <v>107779</v>
      </c>
      <c r="B2084" s="706" t="s">
        <v>3770</v>
      </c>
      <c r="D2084" s="706" t="s">
        <v>1841</v>
      </c>
      <c r="H2084" s="1191"/>
      <c r="I2084" s="706" t="s">
        <v>3594</v>
      </c>
    </row>
    <row r="2085" spans="1:9">
      <c r="A2085" s="706">
        <v>107780</v>
      </c>
      <c r="B2085" s="706" t="s">
        <v>3771</v>
      </c>
      <c r="D2085" s="706" t="s">
        <v>1841</v>
      </c>
      <c r="H2085" s="1191"/>
      <c r="I2085" s="706" t="s">
        <v>3594</v>
      </c>
    </row>
    <row r="2086" spans="1:9">
      <c r="A2086" s="706">
        <v>107781</v>
      </c>
      <c r="B2086" s="706" t="s">
        <v>3772</v>
      </c>
      <c r="D2086" s="706" t="s">
        <v>1841</v>
      </c>
      <c r="H2086" s="1191"/>
      <c r="I2086" s="706" t="s">
        <v>3594</v>
      </c>
    </row>
    <row r="2087" spans="1:9">
      <c r="A2087" s="706">
        <v>107782</v>
      </c>
      <c r="B2087" s="706" t="s">
        <v>3773</v>
      </c>
      <c r="D2087" s="706" t="s">
        <v>1841</v>
      </c>
      <c r="H2087" s="1191"/>
      <c r="I2087" s="706" t="s">
        <v>3594</v>
      </c>
    </row>
    <row r="2088" spans="1:9">
      <c r="A2088" s="706">
        <v>107783</v>
      </c>
      <c r="B2088" s="706" t="s">
        <v>3774</v>
      </c>
      <c r="D2088" s="706" t="s">
        <v>1841</v>
      </c>
      <c r="H2088" s="1191"/>
      <c r="I2088" s="706" t="s">
        <v>3594</v>
      </c>
    </row>
    <row r="2089" spans="1:9">
      <c r="A2089" s="706">
        <v>107784</v>
      </c>
      <c r="B2089" s="706" t="s">
        <v>3775</v>
      </c>
      <c r="D2089" s="706" t="s">
        <v>1841</v>
      </c>
      <c r="H2089" s="1191"/>
      <c r="I2089" s="706" t="s">
        <v>3594</v>
      </c>
    </row>
    <row r="2090" spans="1:9">
      <c r="A2090" s="706">
        <v>107785</v>
      </c>
      <c r="B2090" s="706" t="s">
        <v>3776</v>
      </c>
      <c r="D2090" s="706" t="s">
        <v>1841</v>
      </c>
      <c r="H2090" s="1191"/>
      <c r="I2090" s="706" t="s">
        <v>3594</v>
      </c>
    </row>
    <row r="2091" spans="1:9">
      <c r="A2091" s="706">
        <v>107786</v>
      </c>
      <c r="B2091" s="706" t="s">
        <v>3777</v>
      </c>
      <c r="D2091" s="706" t="s">
        <v>1841</v>
      </c>
      <c r="H2091" s="1191"/>
      <c r="I2091" s="706" t="s">
        <v>3594</v>
      </c>
    </row>
    <row r="2092" spans="1:9">
      <c r="A2092" s="706">
        <v>107787</v>
      </c>
      <c r="B2092" s="706" t="s">
        <v>3778</v>
      </c>
      <c r="D2092" s="706" t="s">
        <v>1841</v>
      </c>
      <c r="H2092" s="1191"/>
      <c r="I2092" s="706" t="s">
        <v>3594</v>
      </c>
    </row>
    <row r="2093" spans="1:9">
      <c r="A2093" s="706">
        <v>107788</v>
      </c>
      <c r="B2093" s="706" t="s">
        <v>3779</v>
      </c>
      <c r="D2093" s="706" t="s">
        <v>1841</v>
      </c>
      <c r="H2093" s="1191"/>
      <c r="I2093" s="706" t="s">
        <v>3594</v>
      </c>
    </row>
    <row r="2094" spans="1:9">
      <c r="A2094" s="706">
        <v>107789</v>
      </c>
      <c r="B2094" s="706" t="s">
        <v>3780</v>
      </c>
      <c r="D2094" s="706" t="s">
        <v>1841</v>
      </c>
      <c r="H2094" s="1191"/>
      <c r="I2094" s="706" t="s">
        <v>3594</v>
      </c>
    </row>
    <row r="2095" spans="1:9">
      <c r="A2095" s="706">
        <v>107790</v>
      </c>
      <c r="B2095" s="706" t="s">
        <v>3781</v>
      </c>
      <c r="D2095" s="706" t="s">
        <v>1841</v>
      </c>
      <c r="H2095" s="1191"/>
      <c r="I2095" s="706" t="s">
        <v>3594</v>
      </c>
    </row>
    <row r="2096" spans="1:9">
      <c r="A2096" s="706">
        <v>107791</v>
      </c>
      <c r="B2096" s="706" t="s">
        <v>3782</v>
      </c>
      <c r="D2096" s="706" t="s">
        <v>1841</v>
      </c>
      <c r="H2096" s="1191"/>
      <c r="I2096" s="706" t="s">
        <v>3594</v>
      </c>
    </row>
    <row r="2097" spans="1:9">
      <c r="A2097" s="706">
        <v>107792</v>
      </c>
      <c r="B2097" s="706" t="s">
        <v>3783</v>
      </c>
      <c r="D2097" s="706" t="s">
        <v>1841</v>
      </c>
      <c r="H2097" s="1191"/>
      <c r="I2097" s="706" t="s">
        <v>3594</v>
      </c>
    </row>
    <row r="2098" spans="1:9">
      <c r="A2098" s="706">
        <v>107793</v>
      </c>
      <c r="B2098" s="706" t="s">
        <v>3784</v>
      </c>
      <c r="C2098" s="706" t="s">
        <v>8189</v>
      </c>
      <c r="D2098" s="706" t="s">
        <v>1841</v>
      </c>
      <c r="E2098" s="706">
        <v>333.3</v>
      </c>
      <c r="F2098" s="706" t="s">
        <v>28</v>
      </c>
      <c r="G2098" s="706">
        <v>407811</v>
      </c>
      <c r="H2098" s="1191">
        <v>45310</v>
      </c>
      <c r="I2098" s="706" t="s">
        <v>3594</v>
      </c>
    </row>
    <row r="2099" spans="1:9">
      <c r="A2099" s="706">
        <v>107794</v>
      </c>
      <c r="B2099" s="706" t="s">
        <v>3785</v>
      </c>
      <c r="D2099" s="706" t="s">
        <v>1841</v>
      </c>
      <c r="H2099" s="1191"/>
      <c r="I2099" s="706" t="s">
        <v>3594</v>
      </c>
    </row>
    <row r="2100" spans="1:9">
      <c r="A2100" s="706">
        <v>107795</v>
      </c>
      <c r="B2100" s="706" t="s">
        <v>3786</v>
      </c>
      <c r="D2100" s="706" t="s">
        <v>1841</v>
      </c>
      <c r="H2100" s="1191"/>
      <c r="I2100" s="706" t="s">
        <v>3594</v>
      </c>
    </row>
    <row r="2101" spans="1:9">
      <c r="A2101" s="706">
        <v>107796</v>
      </c>
      <c r="B2101" s="706" t="s">
        <v>3787</v>
      </c>
      <c r="D2101" s="706" t="s">
        <v>1841</v>
      </c>
      <c r="H2101" s="1191"/>
      <c r="I2101" s="706" t="s">
        <v>3594</v>
      </c>
    </row>
    <row r="2102" spans="1:9">
      <c r="A2102" s="706">
        <v>107797</v>
      </c>
      <c r="B2102" s="706" t="s">
        <v>3788</v>
      </c>
      <c r="D2102" s="706" t="s">
        <v>1841</v>
      </c>
      <c r="H2102" s="1191"/>
      <c r="I2102" s="706" t="s">
        <v>3594</v>
      </c>
    </row>
    <row r="2103" spans="1:9">
      <c r="A2103" s="706">
        <v>107798</v>
      </c>
      <c r="B2103" s="706" t="s">
        <v>3789</v>
      </c>
      <c r="D2103" s="706" t="s">
        <v>1841</v>
      </c>
      <c r="H2103" s="1191"/>
      <c r="I2103" s="706" t="s">
        <v>3594</v>
      </c>
    </row>
    <row r="2104" spans="1:9">
      <c r="A2104" s="706">
        <v>107799</v>
      </c>
      <c r="B2104" s="706" t="s">
        <v>3790</v>
      </c>
      <c r="D2104" s="706" t="s">
        <v>1841</v>
      </c>
      <c r="H2104" s="1191"/>
      <c r="I2104" s="706" t="s">
        <v>3594</v>
      </c>
    </row>
    <row r="2105" spans="1:9">
      <c r="A2105" s="706">
        <v>107800</v>
      </c>
      <c r="B2105" s="706" t="s">
        <v>3791</v>
      </c>
      <c r="D2105" s="706" t="s">
        <v>1841</v>
      </c>
      <c r="H2105" s="1191"/>
      <c r="I2105" s="706" t="s">
        <v>3594</v>
      </c>
    </row>
    <row r="2106" spans="1:9">
      <c r="A2106" s="706">
        <v>107801</v>
      </c>
      <c r="B2106" s="706" t="s">
        <v>3792</v>
      </c>
      <c r="D2106" s="706" t="s">
        <v>1841</v>
      </c>
      <c r="H2106" s="1191"/>
      <c r="I2106" s="706" t="s">
        <v>3594</v>
      </c>
    </row>
    <row r="2107" spans="1:9">
      <c r="A2107" s="706">
        <v>107802</v>
      </c>
      <c r="B2107" s="706" t="s">
        <v>3793</v>
      </c>
      <c r="D2107" s="706" t="s">
        <v>1841</v>
      </c>
      <c r="H2107" s="1191"/>
      <c r="I2107" s="706" t="s">
        <v>3594</v>
      </c>
    </row>
    <row r="2108" spans="1:9">
      <c r="A2108" s="706">
        <v>107803</v>
      </c>
      <c r="B2108" s="706" t="s">
        <v>3794</v>
      </c>
      <c r="D2108" s="706" t="s">
        <v>1841</v>
      </c>
      <c r="H2108" s="1191"/>
      <c r="I2108" s="706" t="s">
        <v>3594</v>
      </c>
    </row>
    <row r="2109" spans="1:9">
      <c r="A2109" s="706">
        <v>107804</v>
      </c>
      <c r="B2109" s="706" t="s">
        <v>3795</v>
      </c>
      <c r="D2109" s="706" t="s">
        <v>1841</v>
      </c>
      <c r="H2109" s="1191"/>
      <c r="I2109" s="706" t="s">
        <v>3594</v>
      </c>
    </row>
    <row r="2110" spans="1:9">
      <c r="A2110" s="706">
        <v>107805</v>
      </c>
      <c r="B2110" s="706" t="s">
        <v>3796</v>
      </c>
      <c r="D2110" s="706" t="s">
        <v>1841</v>
      </c>
      <c r="H2110" s="1191"/>
      <c r="I2110" s="706" t="s">
        <v>3594</v>
      </c>
    </row>
    <row r="2111" spans="1:9">
      <c r="A2111" s="706">
        <v>107806</v>
      </c>
      <c r="B2111" s="706" t="s">
        <v>3797</v>
      </c>
      <c r="D2111" s="706" t="s">
        <v>1841</v>
      </c>
      <c r="H2111" s="1191"/>
      <c r="I2111" s="706" t="s">
        <v>3594</v>
      </c>
    </row>
    <row r="2112" spans="1:9">
      <c r="A2112" s="706">
        <v>107807</v>
      </c>
      <c r="B2112" s="706" t="s">
        <v>3798</v>
      </c>
      <c r="C2112" s="706" t="s">
        <v>8189</v>
      </c>
      <c r="D2112" s="706" t="s">
        <v>1841</v>
      </c>
      <c r="E2112" s="706">
        <v>294.11700000000002</v>
      </c>
      <c r="F2112" s="706" t="s">
        <v>28</v>
      </c>
      <c r="G2112" s="706">
        <v>401405</v>
      </c>
      <c r="H2112" s="1191">
        <v>44068</v>
      </c>
      <c r="I2112" s="706" t="s">
        <v>3594</v>
      </c>
    </row>
    <row r="2113" spans="1:9">
      <c r="A2113" s="706">
        <v>107808</v>
      </c>
      <c r="B2113" s="706" t="s">
        <v>3799</v>
      </c>
      <c r="C2113" s="706" t="s">
        <v>8189</v>
      </c>
      <c r="D2113" s="706" t="s">
        <v>1841</v>
      </c>
      <c r="E2113" s="706">
        <v>125</v>
      </c>
      <c r="F2113" s="706" t="s">
        <v>28</v>
      </c>
      <c r="G2113" s="706">
        <v>411105</v>
      </c>
      <c r="H2113" s="1191">
        <v>45943</v>
      </c>
      <c r="I2113" s="706" t="s">
        <v>3594</v>
      </c>
    </row>
    <row r="2114" spans="1:9">
      <c r="A2114" s="706">
        <v>107809</v>
      </c>
      <c r="B2114" s="706" t="s">
        <v>3800</v>
      </c>
      <c r="D2114" s="706" t="s">
        <v>1841</v>
      </c>
      <c r="H2114" s="1191"/>
      <c r="I2114" s="706" t="s">
        <v>3594</v>
      </c>
    </row>
    <row r="2115" spans="1:9">
      <c r="A2115" s="706">
        <v>107810</v>
      </c>
      <c r="B2115" s="706" t="s">
        <v>3801</v>
      </c>
      <c r="D2115" s="706" t="s">
        <v>1841</v>
      </c>
      <c r="H2115" s="1191"/>
      <c r="I2115" s="706" t="s">
        <v>3594</v>
      </c>
    </row>
    <row r="2116" spans="1:9">
      <c r="A2116" s="706">
        <v>107811</v>
      </c>
      <c r="B2116" s="706" t="s">
        <v>3802</v>
      </c>
      <c r="D2116" s="706" t="s">
        <v>1841</v>
      </c>
      <c r="H2116" s="1191"/>
      <c r="I2116" s="706" t="s">
        <v>3594</v>
      </c>
    </row>
    <row r="2117" spans="1:9">
      <c r="A2117" s="706">
        <v>107812</v>
      </c>
      <c r="B2117" s="706" t="s">
        <v>3803</v>
      </c>
      <c r="D2117" s="706" t="s">
        <v>1841</v>
      </c>
      <c r="H2117" s="1191"/>
      <c r="I2117" s="706" t="s">
        <v>3594</v>
      </c>
    </row>
    <row r="2118" spans="1:9">
      <c r="A2118" s="706">
        <v>107813</v>
      </c>
      <c r="B2118" s="706" t="s">
        <v>3804</v>
      </c>
      <c r="D2118" s="706" t="s">
        <v>1841</v>
      </c>
      <c r="H2118" s="1191"/>
      <c r="I2118" s="706" t="s">
        <v>3594</v>
      </c>
    </row>
    <row r="2119" spans="1:9">
      <c r="A2119" s="706">
        <v>107814</v>
      </c>
      <c r="B2119" s="706" t="s">
        <v>3805</v>
      </c>
      <c r="D2119" s="706" t="s">
        <v>1841</v>
      </c>
      <c r="H2119" s="1191"/>
      <c r="I2119" s="706" t="s">
        <v>3594</v>
      </c>
    </row>
    <row r="2120" spans="1:9">
      <c r="A2120" s="706">
        <v>107815</v>
      </c>
      <c r="B2120" s="706" t="s">
        <v>3806</v>
      </c>
      <c r="D2120" s="706" t="s">
        <v>1841</v>
      </c>
      <c r="H2120" s="1191"/>
      <c r="I2120" s="706" t="s">
        <v>3594</v>
      </c>
    </row>
    <row r="2121" spans="1:9">
      <c r="A2121" s="706">
        <v>107816</v>
      </c>
      <c r="B2121" s="706" t="s">
        <v>3807</v>
      </c>
      <c r="D2121" s="706" t="s">
        <v>1841</v>
      </c>
      <c r="H2121" s="1191"/>
      <c r="I2121" s="706" t="s">
        <v>3594</v>
      </c>
    </row>
    <row r="2122" spans="1:9">
      <c r="A2122" s="706">
        <v>107817</v>
      </c>
      <c r="B2122" s="706" t="s">
        <v>3808</v>
      </c>
      <c r="D2122" s="706" t="s">
        <v>1841</v>
      </c>
      <c r="H2122" s="1191"/>
      <c r="I2122" s="706" t="s">
        <v>3594</v>
      </c>
    </row>
    <row r="2123" spans="1:9">
      <c r="A2123" s="706">
        <v>107818</v>
      </c>
      <c r="B2123" s="706" t="s">
        <v>3809</v>
      </c>
      <c r="D2123" s="706" t="s">
        <v>1841</v>
      </c>
      <c r="H2123" s="1191"/>
      <c r="I2123" s="706" t="s">
        <v>3594</v>
      </c>
    </row>
    <row r="2124" spans="1:9">
      <c r="A2124" s="706">
        <v>107819</v>
      </c>
      <c r="B2124" s="706" t="s">
        <v>3810</v>
      </c>
      <c r="D2124" s="706" t="s">
        <v>1841</v>
      </c>
      <c r="H2124" s="1191"/>
      <c r="I2124" s="706" t="s">
        <v>3594</v>
      </c>
    </row>
    <row r="2125" spans="1:9">
      <c r="A2125" s="706">
        <v>107820</v>
      </c>
      <c r="B2125" s="706" t="s">
        <v>3811</v>
      </c>
      <c r="D2125" s="706" t="s">
        <v>1841</v>
      </c>
      <c r="H2125" s="1191"/>
      <c r="I2125" s="706" t="s">
        <v>3594</v>
      </c>
    </row>
    <row r="2126" spans="1:9">
      <c r="A2126" s="706">
        <v>107821</v>
      </c>
      <c r="B2126" s="706" t="s">
        <v>3812</v>
      </c>
      <c r="D2126" s="706" t="s">
        <v>1841</v>
      </c>
      <c r="H2126" s="1191"/>
      <c r="I2126" s="706" t="s">
        <v>3594</v>
      </c>
    </row>
    <row r="2127" spans="1:9">
      <c r="A2127" s="706">
        <v>107822</v>
      </c>
      <c r="B2127" s="706" t="s">
        <v>3813</v>
      </c>
      <c r="D2127" s="706" t="s">
        <v>1841</v>
      </c>
      <c r="H2127" s="1191"/>
      <c r="I2127" s="706" t="s">
        <v>3594</v>
      </c>
    </row>
    <row r="2128" spans="1:9">
      <c r="A2128" s="706">
        <v>107823</v>
      </c>
      <c r="B2128" s="706" t="s">
        <v>3814</v>
      </c>
      <c r="D2128" s="706" t="s">
        <v>1841</v>
      </c>
      <c r="H2128" s="1191"/>
      <c r="I2128" s="706" t="s">
        <v>3594</v>
      </c>
    </row>
    <row r="2129" spans="1:9">
      <c r="A2129" s="706">
        <v>107824</v>
      </c>
      <c r="B2129" s="706" t="s">
        <v>3815</v>
      </c>
      <c r="D2129" s="706" t="s">
        <v>1841</v>
      </c>
      <c r="H2129" s="1191"/>
      <c r="I2129" s="706" t="s">
        <v>3594</v>
      </c>
    </row>
    <row r="2130" spans="1:9">
      <c r="A2130" s="706">
        <v>107825</v>
      </c>
      <c r="B2130" s="706" t="s">
        <v>3816</v>
      </c>
      <c r="D2130" s="706" t="s">
        <v>1841</v>
      </c>
      <c r="H2130" s="1191"/>
      <c r="I2130" s="706" t="s">
        <v>3594</v>
      </c>
    </row>
    <row r="2131" spans="1:9">
      <c r="A2131" s="706">
        <v>107826</v>
      </c>
      <c r="B2131" s="706" t="s">
        <v>3817</v>
      </c>
      <c r="D2131" s="706" t="s">
        <v>1841</v>
      </c>
      <c r="H2131" s="1191"/>
      <c r="I2131" s="706" t="s">
        <v>3594</v>
      </c>
    </row>
    <row r="2132" spans="1:9">
      <c r="A2132" s="706">
        <v>107827</v>
      </c>
      <c r="B2132" s="706" t="s">
        <v>3818</v>
      </c>
      <c r="D2132" s="706" t="s">
        <v>1841</v>
      </c>
      <c r="H2132" s="1191"/>
      <c r="I2132" s="706" t="s">
        <v>3594</v>
      </c>
    </row>
    <row r="2133" spans="1:9">
      <c r="A2133" s="706">
        <v>107828</v>
      </c>
      <c r="B2133" s="706" t="s">
        <v>3819</v>
      </c>
      <c r="D2133" s="706" t="s">
        <v>1841</v>
      </c>
      <c r="H2133" s="1191"/>
      <c r="I2133" s="706" t="s">
        <v>3594</v>
      </c>
    </row>
    <row r="2134" spans="1:9">
      <c r="A2134" s="706">
        <v>107829</v>
      </c>
      <c r="B2134" s="706" t="s">
        <v>3820</v>
      </c>
      <c r="D2134" s="706" t="s">
        <v>1841</v>
      </c>
      <c r="H2134" s="1191"/>
      <c r="I2134" s="706" t="s">
        <v>3594</v>
      </c>
    </row>
    <row r="2135" spans="1:9">
      <c r="A2135" s="706">
        <v>107830</v>
      </c>
      <c r="B2135" s="706" t="s">
        <v>3821</v>
      </c>
      <c r="D2135" s="706" t="s">
        <v>1841</v>
      </c>
      <c r="H2135" s="1191"/>
      <c r="I2135" s="706" t="s">
        <v>3594</v>
      </c>
    </row>
    <row r="2136" spans="1:9">
      <c r="A2136" s="706">
        <v>107831</v>
      </c>
      <c r="B2136" s="706" t="s">
        <v>3822</v>
      </c>
      <c r="D2136" s="706" t="s">
        <v>1841</v>
      </c>
      <c r="H2136" s="1191"/>
      <c r="I2136" s="706" t="s">
        <v>3594</v>
      </c>
    </row>
    <row r="2137" spans="1:9">
      <c r="A2137" s="706">
        <v>107832</v>
      </c>
      <c r="B2137" s="706" t="s">
        <v>3823</v>
      </c>
      <c r="D2137" s="706" t="s">
        <v>1841</v>
      </c>
      <c r="H2137" s="1191"/>
      <c r="I2137" s="706" t="s">
        <v>3594</v>
      </c>
    </row>
    <row r="2138" spans="1:9">
      <c r="A2138" s="706">
        <v>107833</v>
      </c>
      <c r="B2138" s="706" t="s">
        <v>3824</v>
      </c>
      <c r="D2138" s="706" t="s">
        <v>1841</v>
      </c>
      <c r="H2138" s="1191"/>
      <c r="I2138" s="706" t="s">
        <v>3594</v>
      </c>
    </row>
    <row r="2139" spans="1:9">
      <c r="A2139" s="706">
        <v>107834</v>
      </c>
      <c r="B2139" s="706" t="s">
        <v>3825</v>
      </c>
      <c r="D2139" s="706" t="s">
        <v>1841</v>
      </c>
      <c r="H2139" s="1191"/>
      <c r="I2139" s="706" t="s">
        <v>3594</v>
      </c>
    </row>
    <row r="2140" spans="1:9">
      <c r="A2140" s="706">
        <v>107835</v>
      </c>
      <c r="B2140" s="706" t="s">
        <v>3826</v>
      </c>
      <c r="D2140" s="706" t="s">
        <v>1841</v>
      </c>
      <c r="H2140" s="1191"/>
      <c r="I2140" s="706" t="s">
        <v>3594</v>
      </c>
    </row>
    <row r="2141" spans="1:9">
      <c r="A2141" s="706">
        <v>107836</v>
      </c>
      <c r="B2141" s="706" t="s">
        <v>3827</v>
      </c>
      <c r="D2141" s="706" t="s">
        <v>1841</v>
      </c>
      <c r="H2141" s="1191"/>
      <c r="I2141" s="706" t="s">
        <v>3594</v>
      </c>
    </row>
    <row r="2142" spans="1:9">
      <c r="A2142" s="706">
        <v>107837</v>
      </c>
      <c r="B2142" s="706" t="s">
        <v>3828</v>
      </c>
      <c r="D2142" s="706" t="s">
        <v>1841</v>
      </c>
      <c r="H2142" s="1191"/>
      <c r="I2142" s="706" t="s">
        <v>3594</v>
      </c>
    </row>
    <row r="2143" spans="1:9">
      <c r="A2143" s="706">
        <v>107838</v>
      </c>
      <c r="B2143" s="706" t="s">
        <v>3829</v>
      </c>
      <c r="D2143" s="706" t="s">
        <v>1841</v>
      </c>
      <c r="H2143" s="1191"/>
      <c r="I2143" s="706" t="s">
        <v>3594</v>
      </c>
    </row>
    <row r="2144" spans="1:9">
      <c r="A2144" s="706">
        <v>107839</v>
      </c>
      <c r="B2144" s="706" t="s">
        <v>3830</v>
      </c>
      <c r="D2144" s="706" t="s">
        <v>1841</v>
      </c>
      <c r="H2144" s="1191"/>
      <c r="I2144" s="706" t="s">
        <v>3594</v>
      </c>
    </row>
    <row r="2145" spans="1:9">
      <c r="A2145" s="706">
        <v>107840</v>
      </c>
      <c r="B2145" s="706" t="s">
        <v>3831</v>
      </c>
      <c r="D2145" s="706" t="s">
        <v>1841</v>
      </c>
      <c r="H2145" s="1191"/>
      <c r="I2145" s="706" t="s">
        <v>3594</v>
      </c>
    </row>
    <row r="2146" spans="1:9">
      <c r="A2146" s="706">
        <v>107841</v>
      </c>
      <c r="B2146" s="706" t="s">
        <v>3832</v>
      </c>
      <c r="D2146" s="706" t="s">
        <v>1841</v>
      </c>
      <c r="H2146" s="1191"/>
      <c r="I2146" s="706" t="s">
        <v>3594</v>
      </c>
    </row>
    <row r="2147" spans="1:9">
      <c r="A2147" s="706">
        <v>107842</v>
      </c>
      <c r="B2147" s="706" t="s">
        <v>3833</v>
      </c>
      <c r="D2147" s="706" t="s">
        <v>1841</v>
      </c>
      <c r="H2147" s="1191"/>
      <c r="I2147" s="706" t="s">
        <v>3594</v>
      </c>
    </row>
    <row r="2148" spans="1:9">
      <c r="A2148" s="706">
        <v>107843</v>
      </c>
      <c r="B2148" s="706" t="s">
        <v>3834</v>
      </c>
      <c r="D2148" s="706" t="s">
        <v>1841</v>
      </c>
      <c r="H2148" s="1191"/>
      <c r="I2148" s="706" t="s">
        <v>3594</v>
      </c>
    </row>
    <row r="2149" spans="1:9">
      <c r="A2149" s="706">
        <v>107844</v>
      </c>
      <c r="B2149" s="706" t="s">
        <v>3835</v>
      </c>
      <c r="D2149" s="706" t="s">
        <v>1841</v>
      </c>
      <c r="H2149" s="1191"/>
      <c r="I2149" s="706" t="s">
        <v>3594</v>
      </c>
    </row>
    <row r="2150" spans="1:9">
      <c r="A2150" s="706">
        <v>107845</v>
      </c>
      <c r="B2150" s="706" t="s">
        <v>3836</v>
      </c>
      <c r="D2150" s="706" t="s">
        <v>1841</v>
      </c>
      <c r="H2150" s="1191"/>
      <c r="I2150" s="706" t="s">
        <v>3594</v>
      </c>
    </row>
    <row r="2151" spans="1:9">
      <c r="A2151" s="706">
        <v>107846</v>
      </c>
      <c r="B2151" s="706" t="s">
        <v>3837</v>
      </c>
      <c r="D2151" s="706" t="s">
        <v>1841</v>
      </c>
      <c r="H2151" s="1191"/>
      <c r="I2151" s="706" t="s">
        <v>3594</v>
      </c>
    </row>
    <row r="2152" spans="1:9">
      <c r="A2152" s="706">
        <v>107847</v>
      </c>
      <c r="B2152" s="706" t="s">
        <v>3838</v>
      </c>
      <c r="D2152" s="706" t="s">
        <v>1841</v>
      </c>
      <c r="H2152" s="1191"/>
      <c r="I2152" s="706" t="s">
        <v>3594</v>
      </c>
    </row>
    <row r="2153" spans="1:9">
      <c r="A2153" s="706">
        <v>107848</v>
      </c>
      <c r="B2153" s="706" t="s">
        <v>3839</v>
      </c>
      <c r="D2153" s="706" t="s">
        <v>1841</v>
      </c>
      <c r="H2153" s="1191"/>
      <c r="I2153" s="706" t="s">
        <v>3594</v>
      </c>
    </row>
    <row r="2154" spans="1:9">
      <c r="A2154" s="706">
        <v>107849</v>
      </c>
      <c r="B2154" s="706" t="s">
        <v>3840</v>
      </c>
      <c r="C2154" s="706" t="s">
        <v>8189</v>
      </c>
      <c r="D2154" s="706" t="s">
        <v>1841</v>
      </c>
      <c r="E2154" s="706">
        <v>289.60000000000002</v>
      </c>
      <c r="F2154" s="706" t="s">
        <v>28</v>
      </c>
      <c r="G2154" s="706">
        <v>405530</v>
      </c>
      <c r="H2154" s="1191">
        <v>44803</v>
      </c>
      <c r="I2154" s="706" t="s">
        <v>3594</v>
      </c>
    </row>
    <row r="2155" spans="1:9">
      <c r="A2155" s="706">
        <v>107850</v>
      </c>
      <c r="B2155" s="706" t="s">
        <v>3841</v>
      </c>
      <c r="D2155" s="706" t="s">
        <v>1841</v>
      </c>
      <c r="H2155" s="1191"/>
      <c r="I2155" s="706" t="s">
        <v>3594</v>
      </c>
    </row>
    <row r="2156" spans="1:9">
      <c r="A2156" s="706">
        <v>107851</v>
      </c>
      <c r="B2156" s="706" t="s">
        <v>3842</v>
      </c>
      <c r="D2156" s="706" t="s">
        <v>1841</v>
      </c>
      <c r="H2156" s="1191"/>
      <c r="I2156" s="706" t="s">
        <v>3594</v>
      </c>
    </row>
    <row r="2157" spans="1:9">
      <c r="A2157" s="706">
        <v>107852</v>
      </c>
      <c r="B2157" s="706" t="s">
        <v>3843</v>
      </c>
      <c r="D2157" s="706" t="s">
        <v>1841</v>
      </c>
      <c r="H2157" s="1191"/>
      <c r="I2157" s="706" t="s">
        <v>3594</v>
      </c>
    </row>
    <row r="2158" spans="1:9">
      <c r="A2158" s="706">
        <v>107853</v>
      </c>
      <c r="B2158" s="706" t="s">
        <v>3844</v>
      </c>
      <c r="D2158" s="706" t="s">
        <v>1841</v>
      </c>
      <c r="H2158" s="1191"/>
      <c r="I2158" s="706" t="s">
        <v>3594</v>
      </c>
    </row>
    <row r="2159" spans="1:9">
      <c r="A2159" s="706">
        <v>107854</v>
      </c>
      <c r="B2159" s="706" t="s">
        <v>3845</v>
      </c>
      <c r="D2159" s="706" t="s">
        <v>1841</v>
      </c>
      <c r="H2159" s="1191"/>
      <c r="I2159" s="706" t="s">
        <v>3594</v>
      </c>
    </row>
    <row r="2160" spans="1:9">
      <c r="A2160" s="706">
        <v>107855</v>
      </c>
      <c r="B2160" s="706" t="s">
        <v>3846</v>
      </c>
      <c r="D2160" s="706" t="s">
        <v>1841</v>
      </c>
      <c r="H2160" s="1191"/>
      <c r="I2160" s="706" t="s">
        <v>3594</v>
      </c>
    </row>
    <row r="2161" spans="1:9">
      <c r="A2161" s="706">
        <v>107856</v>
      </c>
      <c r="B2161" s="706" t="s">
        <v>3847</v>
      </c>
      <c r="D2161" s="706" t="s">
        <v>1841</v>
      </c>
      <c r="H2161" s="1191"/>
      <c r="I2161" s="706" t="s">
        <v>3594</v>
      </c>
    </row>
    <row r="2162" spans="1:9">
      <c r="A2162" s="706">
        <v>107857</v>
      </c>
      <c r="B2162" s="706" t="s">
        <v>3848</v>
      </c>
      <c r="D2162" s="706" t="s">
        <v>1841</v>
      </c>
      <c r="H2162" s="1191"/>
      <c r="I2162" s="706" t="s">
        <v>3594</v>
      </c>
    </row>
    <row r="2163" spans="1:9">
      <c r="A2163" s="706">
        <v>107858</v>
      </c>
      <c r="B2163" s="706" t="s">
        <v>3849</v>
      </c>
      <c r="D2163" s="706" t="s">
        <v>1841</v>
      </c>
      <c r="H2163" s="1191"/>
      <c r="I2163" s="706" t="s">
        <v>3594</v>
      </c>
    </row>
    <row r="2164" spans="1:9">
      <c r="A2164" s="706">
        <v>107859</v>
      </c>
      <c r="B2164" s="706" t="s">
        <v>3850</v>
      </c>
      <c r="D2164" s="706" t="s">
        <v>1841</v>
      </c>
      <c r="H2164" s="1191"/>
      <c r="I2164" s="706" t="s">
        <v>3594</v>
      </c>
    </row>
    <row r="2165" spans="1:9">
      <c r="A2165" s="706">
        <v>107860</v>
      </c>
      <c r="B2165" s="706" t="s">
        <v>3851</v>
      </c>
      <c r="C2165" s="706" t="s">
        <v>8189</v>
      </c>
      <c r="D2165" s="706" t="s">
        <v>1841</v>
      </c>
      <c r="E2165" s="706">
        <v>89.82</v>
      </c>
      <c r="F2165" s="706" t="s">
        <v>28</v>
      </c>
      <c r="G2165" s="706">
        <v>409489</v>
      </c>
      <c r="H2165" s="1191">
        <v>45617</v>
      </c>
      <c r="I2165" s="706" t="s">
        <v>3594</v>
      </c>
    </row>
    <row r="2166" spans="1:9">
      <c r="A2166" s="706">
        <v>107861</v>
      </c>
      <c r="B2166" s="706" t="s">
        <v>3852</v>
      </c>
      <c r="D2166" s="706" t="s">
        <v>1841</v>
      </c>
      <c r="H2166" s="1191"/>
      <c r="I2166" s="706" t="s">
        <v>3594</v>
      </c>
    </row>
    <row r="2167" spans="1:9">
      <c r="A2167" s="706">
        <v>107862</v>
      </c>
      <c r="B2167" s="706" t="s">
        <v>3853</v>
      </c>
      <c r="D2167" s="706" t="s">
        <v>1841</v>
      </c>
      <c r="H2167" s="1191"/>
      <c r="I2167" s="706" t="s">
        <v>3594</v>
      </c>
    </row>
    <row r="2168" spans="1:9">
      <c r="A2168" s="706">
        <v>107863</v>
      </c>
      <c r="B2168" s="706" t="s">
        <v>3854</v>
      </c>
      <c r="D2168" s="706" t="s">
        <v>1841</v>
      </c>
      <c r="H2168" s="1191"/>
      <c r="I2168" s="706" t="s">
        <v>3594</v>
      </c>
    </row>
    <row r="2169" spans="1:9">
      <c r="A2169" s="706">
        <v>107864</v>
      </c>
      <c r="B2169" s="706" t="s">
        <v>3855</v>
      </c>
      <c r="D2169" s="706" t="s">
        <v>1841</v>
      </c>
      <c r="H2169" s="1191"/>
      <c r="I2169" s="706" t="s">
        <v>3594</v>
      </c>
    </row>
    <row r="2170" spans="1:9">
      <c r="A2170" s="706">
        <v>107865</v>
      </c>
      <c r="B2170" s="706" t="s">
        <v>3856</v>
      </c>
      <c r="D2170" s="706" t="s">
        <v>1841</v>
      </c>
      <c r="H2170" s="1191"/>
      <c r="I2170" s="706" t="s">
        <v>3594</v>
      </c>
    </row>
    <row r="2171" spans="1:9">
      <c r="A2171" s="706">
        <v>107866</v>
      </c>
      <c r="B2171" s="706" t="s">
        <v>3857</v>
      </c>
      <c r="D2171" s="706" t="s">
        <v>1841</v>
      </c>
      <c r="H2171" s="1191"/>
      <c r="I2171" s="706" t="s">
        <v>3594</v>
      </c>
    </row>
    <row r="2172" spans="1:9">
      <c r="A2172" s="706">
        <v>107867</v>
      </c>
      <c r="B2172" s="706" t="s">
        <v>3858</v>
      </c>
      <c r="D2172" s="706" t="s">
        <v>1841</v>
      </c>
      <c r="H2172" s="1191"/>
      <c r="I2172" s="706" t="s">
        <v>3594</v>
      </c>
    </row>
    <row r="2173" spans="1:9">
      <c r="A2173" s="706">
        <v>107868</v>
      </c>
      <c r="B2173" s="706" t="s">
        <v>3859</v>
      </c>
      <c r="D2173" s="706" t="s">
        <v>1841</v>
      </c>
      <c r="H2173" s="1191"/>
      <c r="I2173" s="706" t="s">
        <v>3594</v>
      </c>
    </row>
    <row r="2174" spans="1:9">
      <c r="A2174" s="706">
        <v>107869</v>
      </c>
      <c r="B2174" s="706" t="s">
        <v>3860</v>
      </c>
      <c r="D2174" s="706" t="s">
        <v>1841</v>
      </c>
      <c r="H2174" s="1191"/>
      <c r="I2174" s="706" t="s">
        <v>3594</v>
      </c>
    </row>
    <row r="2175" spans="1:9">
      <c r="A2175" s="706">
        <v>107870</v>
      </c>
      <c r="B2175" s="706" t="s">
        <v>3861</v>
      </c>
      <c r="D2175" s="706" t="s">
        <v>1841</v>
      </c>
      <c r="H2175" s="1191"/>
      <c r="I2175" s="706" t="s">
        <v>3594</v>
      </c>
    </row>
    <row r="2176" spans="1:9">
      <c r="A2176" s="706">
        <v>107871</v>
      </c>
      <c r="B2176" s="706" t="s">
        <v>3862</v>
      </c>
      <c r="D2176" s="706" t="s">
        <v>1841</v>
      </c>
      <c r="H2176" s="1191"/>
      <c r="I2176" s="706" t="s">
        <v>3594</v>
      </c>
    </row>
    <row r="2177" spans="1:9">
      <c r="A2177" s="706">
        <v>107872</v>
      </c>
      <c r="B2177" s="706" t="s">
        <v>3863</v>
      </c>
      <c r="D2177" s="706" t="s">
        <v>1841</v>
      </c>
      <c r="H2177" s="1191"/>
      <c r="I2177" s="706" t="s">
        <v>3594</v>
      </c>
    </row>
    <row r="2178" spans="1:9">
      <c r="A2178" s="706">
        <v>107873</v>
      </c>
      <c r="B2178" s="706" t="s">
        <v>3864</v>
      </c>
      <c r="D2178" s="706" t="s">
        <v>1841</v>
      </c>
      <c r="H2178" s="1191"/>
      <c r="I2178" s="706" t="s">
        <v>3594</v>
      </c>
    </row>
    <row r="2179" spans="1:9">
      <c r="A2179" s="706">
        <v>107874</v>
      </c>
      <c r="B2179" s="706" t="s">
        <v>3865</v>
      </c>
      <c r="D2179" s="706" t="s">
        <v>1841</v>
      </c>
      <c r="H2179" s="1191"/>
      <c r="I2179" s="706" t="s">
        <v>3594</v>
      </c>
    </row>
    <row r="2180" spans="1:9">
      <c r="A2180" s="706">
        <v>107875</v>
      </c>
      <c r="B2180" s="706" t="s">
        <v>3866</v>
      </c>
      <c r="D2180" s="706" t="s">
        <v>1841</v>
      </c>
      <c r="H2180" s="1191"/>
      <c r="I2180" s="706" t="s">
        <v>3594</v>
      </c>
    </row>
    <row r="2181" spans="1:9">
      <c r="A2181" s="706">
        <v>107876</v>
      </c>
      <c r="B2181" s="706" t="s">
        <v>3867</v>
      </c>
      <c r="D2181" s="706" t="s">
        <v>1841</v>
      </c>
      <c r="H2181" s="1191"/>
      <c r="I2181" s="706" t="s">
        <v>3594</v>
      </c>
    </row>
    <row r="2182" spans="1:9">
      <c r="A2182" s="706">
        <v>107877</v>
      </c>
      <c r="B2182" s="706" t="s">
        <v>3868</v>
      </c>
      <c r="D2182" s="706" t="s">
        <v>1841</v>
      </c>
      <c r="H2182" s="1191"/>
      <c r="I2182" s="706" t="s">
        <v>3594</v>
      </c>
    </row>
    <row r="2183" spans="1:9">
      <c r="A2183" s="706">
        <v>107878</v>
      </c>
      <c r="B2183" s="706" t="s">
        <v>3869</v>
      </c>
      <c r="D2183" s="706" t="s">
        <v>1841</v>
      </c>
      <c r="H2183" s="1191"/>
      <c r="I2183" s="706" t="s">
        <v>3594</v>
      </c>
    </row>
    <row r="2184" spans="1:9">
      <c r="A2184" s="706">
        <v>107879</v>
      </c>
      <c r="B2184" s="706" t="s">
        <v>3870</v>
      </c>
      <c r="C2184" s="706" t="s">
        <v>8189</v>
      </c>
      <c r="D2184" s="706" t="s">
        <v>1841</v>
      </c>
      <c r="E2184" s="706">
        <v>240</v>
      </c>
      <c r="F2184" s="706" t="s">
        <v>28</v>
      </c>
      <c r="G2184" s="706">
        <v>407661</v>
      </c>
      <c r="H2184" s="1191">
        <v>45279</v>
      </c>
      <c r="I2184" s="706" t="s">
        <v>3594</v>
      </c>
    </row>
    <row r="2185" spans="1:9">
      <c r="A2185" s="706">
        <v>107880</v>
      </c>
      <c r="B2185" s="706" t="s">
        <v>3871</v>
      </c>
      <c r="D2185" s="706" t="s">
        <v>1841</v>
      </c>
      <c r="H2185" s="1191"/>
      <c r="I2185" s="706" t="s">
        <v>3594</v>
      </c>
    </row>
    <row r="2186" spans="1:9">
      <c r="A2186" s="706">
        <v>107881</v>
      </c>
      <c r="B2186" s="706" t="s">
        <v>3872</v>
      </c>
      <c r="D2186" s="706" t="s">
        <v>1841</v>
      </c>
      <c r="H2186" s="1191"/>
      <c r="I2186" s="706" t="s">
        <v>3594</v>
      </c>
    </row>
    <row r="2187" spans="1:9">
      <c r="A2187" s="706">
        <v>107882</v>
      </c>
      <c r="B2187" s="706" t="s">
        <v>3873</v>
      </c>
      <c r="D2187" s="706" t="s">
        <v>1841</v>
      </c>
      <c r="H2187" s="1191"/>
      <c r="I2187" s="706" t="s">
        <v>3594</v>
      </c>
    </row>
    <row r="2188" spans="1:9">
      <c r="A2188" s="706">
        <v>107883</v>
      </c>
      <c r="B2188" s="706" t="s">
        <v>3874</v>
      </c>
      <c r="D2188" s="706" t="s">
        <v>1841</v>
      </c>
      <c r="H2188" s="1191"/>
      <c r="I2188" s="706" t="s">
        <v>3594</v>
      </c>
    </row>
    <row r="2189" spans="1:9">
      <c r="A2189" s="706">
        <v>107884</v>
      </c>
      <c r="B2189" s="706" t="s">
        <v>3875</v>
      </c>
      <c r="D2189" s="706" t="s">
        <v>1841</v>
      </c>
      <c r="H2189" s="1191"/>
      <c r="I2189" s="706" t="s">
        <v>3594</v>
      </c>
    </row>
    <row r="2190" spans="1:9">
      <c r="A2190" s="706">
        <v>107885</v>
      </c>
      <c r="B2190" s="706" t="s">
        <v>3876</v>
      </c>
      <c r="D2190" s="706" t="s">
        <v>1841</v>
      </c>
      <c r="H2190" s="1191"/>
      <c r="I2190" s="706" t="s">
        <v>3594</v>
      </c>
    </row>
    <row r="2191" spans="1:9">
      <c r="A2191" s="706">
        <v>107886</v>
      </c>
      <c r="B2191" s="706" t="s">
        <v>3877</v>
      </c>
      <c r="D2191" s="706" t="s">
        <v>1841</v>
      </c>
      <c r="H2191" s="1191"/>
      <c r="I2191" s="706" t="s">
        <v>3594</v>
      </c>
    </row>
    <row r="2192" spans="1:9">
      <c r="A2192" s="706">
        <v>107887</v>
      </c>
      <c r="B2192" s="706" t="s">
        <v>3878</v>
      </c>
      <c r="D2192" s="706" t="s">
        <v>1841</v>
      </c>
      <c r="H2192" s="1191"/>
      <c r="I2192" s="706" t="s">
        <v>3594</v>
      </c>
    </row>
    <row r="2193" spans="1:9">
      <c r="A2193" s="706">
        <v>107888</v>
      </c>
      <c r="B2193" s="706" t="s">
        <v>3879</v>
      </c>
      <c r="D2193" s="706" t="s">
        <v>1841</v>
      </c>
      <c r="H2193" s="1191"/>
      <c r="I2193" s="706" t="s">
        <v>3594</v>
      </c>
    </row>
    <row r="2194" spans="1:9">
      <c r="A2194" s="706">
        <v>107889</v>
      </c>
      <c r="B2194" s="706" t="s">
        <v>3880</v>
      </c>
      <c r="D2194" s="706" t="s">
        <v>1841</v>
      </c>
      <c r="H2194" s="1191"/>
      <c r="I2194" s="706" t="s">
        <v>3594</v>
      </c>
    </row>
    <row r="2195" spans="1:9">
      <c r="A2195" s="706">
        <v>107890</v>
      </c>
      <c r="B2195" s="706" t="s">
        <v>3881</v>
      </c>
      <c r="D2195" s="706" t="s">
        <v>1841</v>
      </c>
      <c r="H2195" s="1191"/>
      <c r="I2195" s="706" t="s">
        <v>3594</v>
      </c>
    </row>
    <row r="2196" spans="1:9">
      <c r="A2196" s="706">
        <v>107891</v>
      </c>
      <c r="B2196" s="706" t="s">
        <v>3882</v>
      </c>
      <c r="D2196" s="706" t="s">
        <v>1841</v>
      </c>
      <c r="H2196" s="1191"/>
      <c r="I2196" s="706" t="s">
        <v>3594</v>
      </c>
    </row>
    <row r="2197" spans="1:9">
      <c r="A2197" s="706">
        <v>107892</v>
      </c>
      <c r="B2197" s="706" t="s">
        <v>3883</v>
      </c>
      <c r="D2197" s="706" t="s">
        <v>1841</v>
      </c>
      <c r="H2197" s="1191"/>
      <c r="I2197" s="706" t="s">
        <v>3594</v>
      </c>
    </row>
    <row r="2198" spans="1:9">
      <c r="A2198" s="706">
        <v>107893</v>
      </c>
      <c r="B2198" s="706" t="s">
        <v>3884</v>
      </c>
      <c r="D2198" s="706" t="s">
        <v>1841</v>
      </c>
      <c r="H2198" s="1191"/>
      <c r="I2198" s="706" t="s">
        <v>3594</v>
      </c>
    </row>
    <row r="2199" spans="1:9">
      <c r="A2199" s="706">
        <v>107894</v>
      </c>
      <c r="B2199" s="706" t="s">
        <v>3885</v>
      </c>
      <c r="D2199" s="706" t="s">
        <v>1841</v>
      </c>
      <c r="H2199" s="1191"/>
      <c r="I2199" s="706" t="s">
        <v>3594</v>
      </c>
    </row>
    <row r="2200" spans="1:9">
      <c r="A2200" s="706">
        <v>107895</v>
      </c>
      <c r="B2200" s="706" t="s">
        <v>3886</v>
      </c>
      <c r="D2200" s="706" t="s">
        <v>1841</v>
      </c>
      <c r="H2200" s="1191"/>
      <c r="I2200" s="706" t="s">
        <v>3594</v>
      </c>
    </row>
    <row r="2201" spans="1:9">
      <c r="A2201" s="706">
        <v>107896</v>
      </c>
      <c r="B2201" s="706" t="s">
        <v>3887</v>
      </c>
      <c r="D2201" s="706" t="s">
        <v>1841</v>
      </c>
      <c r="H2201" s="1191"/>
      <c r="I2201" s="706" t="s">
        <v>3594</v>
      </c>
    </row>
    <row r="2202" spans="1:9">
      <c r="A2202" s="706">
        <v>107897</v>
      </c>
      <c r="B2202" s="706" t="s">
        <v>3888</v>
      </c>
      <c r="D2202" s="706" t="s">
        <v>1841</v>
      </c>
      <c r="H2202" s="1191"/>
      <c r="I2202" s="706" t="s">
        <v>3594</v>
      </c>
    </row>
    <row r="2203" spans="1:9">
      <c r="A2203" s="706">
        <v>107898</v>
      </c>
      <c r="B2203" s="706" t="s">
        <v>3889</v>
      </c>
      <c r="D2203" s="706" t="s">
        <v>1841</v>
      </c>
      <c r="H2203" s="1191"/>
      <c r="I2203" s="706" t="s">
        <v>3594</v>
      </c>
    </row>
    <row r="2204" spans="1:9">
      <c r="A2204" s="706">
        <v>107899</v>
      </c>
      <c r="B2204" s="706" t="s">
        <v>3890</v>
      </c>
      <c r="D2204" s="706" t="s">
        <v>1841</v>
      </c>
      <c r="H2204" s="1191"/>
      <c r="I2204" s="706" t="s">
        <v>3594</v>
      </c>
    </row>
    <row r="2205" spans="1:9">
      <c r="A2205" s="706">
        <v>107900</v>
      </c>
      <c r="B2205" s="706" t="s">
        <v>3891</v>
      </c>
      <c r="D2205" s="706" t="s">
        <v>1841</v>
      </c>
      <c r="H2205" s="1191"/>
      <c r="I2205" s="706" t="s">
        <v>3594</v>
      </c>
    </row>
    <row r="2206" spans="1:9">
      <c r="A2206" s="706">
        <v>107901</v>
      </c>
      <c r="B2206" s="706" t="s">
        <v>3892</v>
      </c>
      <c r="D2206" s="706" t="s">
        <v>1841</v>
      </c>
      <c r="H2206" s="1191"/>
      <c r="I2206" s="706" t="s">
        <v>3594</v>
      </c>
    </row>
    <row r="2207" spans="1:9">
      <c r="A2207" s="706">
        <v>107902</v>
      </c>
      <c r="B2207" s="706" t="s">
        <v>3893</v>
      </c>
      <c r="D2207" s="706" t="s">
        <v>1841</v>
      </c>
      <c r="H2207" s="1191"/>
      <c r="I2207" s="706" t="s">
        <v>3594</v>
      </c>
    </row>
    <row r="2208" spans="1:9">
      <c r="A2208" s="706">
        <v>107903</v>
      </c>
      <c r="B2208" s="706" t="s">
        <v>3894</v>
      </c>
      <c r="D2208" s="706" t="s">
        <v>1841</v>
      </c>
      <c r="H2208" s="1191"/>
      <c r="I2208" s="706" t="s">
        <v>3594</v>
      </c>
    </row>
    <row r="2209" spans="1:9">
      <c r="A2209" s="706">
        <v>107904</v>
      </c>
      <c r="B2209" s="706" t="s">
        <v>3895</v>
      </c>
      <c r="D2209" s="706" t="s">
        <v>1841</v>
      </c>
      <c r="H2209" s="1191"/>
      <c r="I2209" s="706" t="s">
        <v>3594</v>
      </c>
    </row>
    <row r="2210" spans="1:9">
      <c r="A2210" s="706">
        <v>107905</v>
      </c>
      <c r="B2210" s="706" t="s">
        <v>3896</v>
      </c>
      <c r="D2210" s="706" t="s">
        <v>1841</v>
      </c>
      <c r="H2210" s="1191"/>
      <c r="I2210" s="706" t="s">
        <v>3594</v>
      </c>
    </row>
    <row r="2211" spans="1:9">
      <c r="A2211" s="706">
        <v>107906</v>
      </c>
      <c r="B2211" s="706" t="s">
        <v>3897</v>
      </c>
      <c r="D2211" s="706" t="s">
        <v>1841</v>
      </c>
      <c r="H2211" s="1191"/>
      <c r="I2211" s="706" t="s">
        <v>3594</v>
      </c>
    </row>
    <row r="2212" spans="1:9">
      <c r="A2212" s="706">
        <v>107907</v>
      </c>
      <c r="B2212" s="706" t="s">
        <v>3898</v>
      </c>
      <c r="D2212" s="706" t="s">
        <v>1841</v>
      </c>
      <c r="H2212" s="1191"/>
      <c r="I2212" s="706" t="s">
        <v>3594</v>
      </c>
    </row>
    <row r="2213" spans="1:9">
      <c r="A2213" s="706">
        <v>107908</v>
      </c>
      <c r="B2213" s="706" t="s">
        <v>3899</v>
      </c>
      <c r="D2213" s="706" t="s">
        <v>1841</v>
      </c>
      <c r="H2213" s="1191"/>
      <c r="I2213" s="706" t="s">
        <v>3594</v>
      </c>
    </row>
    <row r="2214" spans="1:9">
      <c r="A2214" s="706">
        <v>107909</v>
      </c>
      <c r="B2214" s="706" t="s">
        <v>3900</v>
      </c>
      <c r="C2214" s="706" t="s">
        <v>8189</v>
      </c>
      <c r="D2214" s="706" t="s">
        <v>1841</v>
      </c>
      <c r="E2214" s="706">
        <v>90</v>
      </c>
      <c r="F2214" s="706" t="s">
        <v>28</v>
      </c>
      <c r="G2214" s="706">
        <v>405176</v>
      </c>
      <c r="H2214" s="1191">
        <v>44728</v>
      </c>
      <c r="I2214" s="706" t="s">
        <v>3594</v>
      </c>
    </row>
    <row r="2215" spans="1:9">
      <c r="A2215" s="706">
        <v>107910</v>
      </c>
      <c r="B2215" s="706" t="s">
        <v>3901</v>
      </c>
      <c r="C2215" s="706" t="s">
        <v>8189</v>
      </c>
      <c r="D2215" s="706" t="s">
        <v>1841</v>
      </c>
      <c r="E2215" s="706">
        <v>150</v>
      </c>
      <c r="F2215" s="706" t="s">
        <v>28</v>
      </c>
      <c r="G2215" s="706">
        <v>404875</v>
      </c>
      <c r="H2215" s="1191">
        <v>44664</v>
      </c>
      <c r="I2215" s="706" t="s">
        <v>3594</v>
      </c>
    </row>
    <row r="2216" spans="1:9">
      <c r="A2216" s="706">
        <v>107911</v>
      </c>
      <c r="B2216" s="706" t="s">
        <v>3902</v>
      </c>
      <c r="D2216" s="706" t="s">
        <v>1841</v>
      </c>
      <c r="H2216" s="1191"/>
      <c r="I2216" s="706" t="s">
        <v>3594</v>
      </c>
    </row>
    <row r="2217" spans="1:9">
      <c r="A2217" s="706">
        <v>107912</v>
      </c>
      <c r="B2217" s="706" t="s">
        <v>3903</v>
      </c>
      <c r="D2217" s="706" t="s">
        <v>1841</v>
      </c>
      <c r="H2217" s="1191"/>
      <c r="I2217" s="706" t="s">
        <v>3594</v>
      </c>
    </row>
    <row r="2218" spans="1:9">
      <c r="A2218" s="706">
        <v>107913</v>
      </c>
      <c r="B2218" s="706" t="s">
        <v>3904</v>
      </c>
      <c r="D2218" s="706" t="s">
        <v>1841</v>
      </c>
      <c r="H2218" s="1191"/>
      <c r="I2218" s="706" t="s">
        <v>3594</v>
      </c>
    </row>
    <row r="2219" spans="1:9">
      <c r="A2219" s="706">
        <v>107914</v>
      </c>
      <c r="B2219" s="706" t="s">
        <v>3905</v>
      </c>
      <c r="C2219" s="706" t="s">
        <v>8189</v>
      </c>
      <c r="D2219" s="706" t="s">
        <v>1841</v>
      </c>
      <c r="E2219" s="706">
        <v>23.659300000000002</v>
      </c>
      <c r="F2219" s="706" t="s">
        <v>28</v>
      </c>
      <c r="G2219" s="706">
        <v>402031</v>
      </c>
      <c r="H2219" s="1191">
        <v>44158</v>
      </c>
      <c r="I2219" s="706" t="s">
        <v>3594</v>
      </c>
    </row>
    <row r="2220" spans="1:9">
      <c r="A2220" s="706">
        <v>107915</v>
      </c>
      <c r="B2220" s="706" t="s">
        <v>3906</v>
      </c>
      <c r="D2220" s="706" t="s">
        <v>1841</v>
      </c>
      <c r="H2220" s="1191"/>
      <c r="I2220" s="706" t="s">
        <v>3594</v>
      </c>
    </row>
    <row r="2221" spans="1:9">
      <c r="A2221" s="706">
        <v>107916</v>
      </c>
      <c r="B2221" s="706" t="s">
        <v>3907</v>
      </c>
      <c r="D2221" s="706" t="s">
        <v>1841</v>
      </c>
      <c r="H2221" s="1191"/>
      <c r="I2221" s="706" t="s">
        <v>3594</v>
      </c>
    </row>
    <row r="2222" spans="1:9">
      <c r="A2222" s="706">
        <v>107917</v>
      </c>
      <c r="B2222" s="706" t="s">
        <v>3908</v>
      </c>
      <c r="D2222" s="706" t="s">
        <v>1841</v>
      </c>
      <c r="H2222" s="1191"/>
      <c r="I2222" s="706" t="s">
        <v>3594</v>
      </c>
    </row>
    <row r="2223" spans="1:9">
      <c r="A2223" s="706">
        <v>107918</v>
      </c>
      <c r="B2223" s="706" t="s">
        <v>3909</v>
      </c>
      <c r="D2223" s="706" t="s">
        <v>1841</v>
      </c>
      <c r="H2223" s="1191"/>
      <c r="I2223" s="706" t="s">
        <v>3594</v>
      </c>
    </row>
    <row r="2224" spans="1:9">
      <c r="A2224" s="706">
        <v>107919</v>
      </c>
      <c r="B2224" s="706" t="s">
        <v>3910</v>
      </c>
      <c r="D2224" s="706" t="s">
        <v>1841</v>
      </c>
      <c r="H2224" s="1191"/>
      <c r="I2224" s="706" t="s">
        <v>3594</v>
      </c>
    </row>
    <row r="2225" spans="1:9">
      <c r="A2225" s="706">
        <v>107920</v>
      </c>
      <c r="B2225" s="706" t="s">
        <v>3911</v>
      </c>
      <c r="D2225" s="706" t="s">
        <v>1841</v>
      </c>
      <c r="H2225" s="1191"/>
      <c r="I2225" s="706" t="s">
        <v>3594</v>
      </c>
    </row>
    <row r="2226" spans="1:9">
      <c r="A2226" s="706">
        <v>107921</v>
      </c>
      <c r="B2226" s="706" t="s">
        <v>3912</v>
      </c>
      <c r="D2226" s="706" t="s">
        <v>1841</v>
      </c>
      <c r="H2226" s="1191"/>
      <c r="I2226" s="706" t="s">
        <v>3594</v>
      </c>
    </row>
    <row r="2227" spans="1:9">
      <c r="A2227" s="706">
        <v>107922</v>
      </c>
      <c r="B2227" s="706" t="s">
        <v>3913</v>
      </c>
      <c r="C2227" s="706" t="s">
        <v>1930</v>
      </c>
      <c r="D2227" s="706" t="s">
        <v>1841</v>
      </c>
      <c r="E2227" s="706">
        <v>11.5</v>
      </c>
      <c r="F2227" s="706" t="s">
        <v>28</v>
      </c>
      <c r="G2227" s="706">
        <v>407700</v>
      </c>
      <c r="H2227" s="1191">
        <v>45288</v>
      </c>
      <c r="I2227" s="706" t="s">
        <v>3594</v>
      </c>
    </row>
    <row r="2228" spans="1:9">
      <c r="A2228" s="706">
        <v>107923</v>
      </c>
      <c r="B2228" s="706" t="s">
        <v>3914</v>
      </c>
      <c r="D2228" s="706" t="s">
        <v>1841</v>
      </c>
      <c r="H2228" s="1191"/>
      <c r="I2228" s="706" t="s">
        <v>3594</v>
      </c>
    </row>
    <row r="2229" spans="1:9">
      <c r="A2229" s="706">
        <v>107924</v>
      </c>
      <c r="B2229" s="706" t="s">
        <v>3915</v>
      </c>
      <c r="D2229" s="706" t="s">
        <v>1841</v>
      </c>
      <c r="H2229" s="1191"/>
      <c r="I2229" s="706" t="s">
        <v>3594</v>
      </c>
    </row>
    <row r="2230" spans="1:9">
      <c r="A2230" s="706">
        <v>107925</v>
      </c>
      <c r="B2230" s="706" t="s">
        <v>3916</v>
      </c>
      <c r="D2230" s="706" t="s">
        <v>1841</v>
      </c>
      <c r="H2230" s="1191"/>
      <c r="I2230" s="706" t="s">
        <v>3594</v>
      </c>
    </row>
    <row r="2231" spans="1:9">
      <c r="A2231" s="706">
        <v>107926</v>
      </c>
      <c r="B2231" s="706" t="s">
        <v>3917</v>
      </c>
      <c r="D2231" s="706" t="s">
        <v>1841</v>
      </c>
      <c r="H2231" s="1191"/>
      <c r="I2231" s="706" t="s">
        <v>3594</v>
      </c>
    </row>
    <row r="2232" spans="1:9">
      <c r="A2232" s="706">
        <v>107927</v>
      </c>
      <c r="B2232" s="706" t="s">
        <v>3918</v>
      </c>
      <c r="D2232" s="706" t="s">
        <v>1841</v>
      </c>
      <c r="H2232" s="1191"/>
      <c r="I2232" s="706" t="s">
        <v>3594</v>
      </c>
    </row>
    <row r="2233" spans="1:9">
      <c r="A2233" s="706">
        <v>107928</v>
      </c>
      <c r="B2233" s="706" t="s">
        <v>3919</v>
      </c>
      <c r="C2233" s="706" t="s">
        <v>8189</v>
      </c>
      <c r="D2233" s="706" t="s">
        <v>1841</v>
      </c>
      <c r="E2233" s="706">
        <v>132.33330000000001</v>
      </c>
      <c r="F2233" s="706" t="s">
        <v>28</v>
      </c>
      <c r="G2233" s="706">
        <v>405258</v>
      </c>
      <c r="H2233" s="1191">
        <v>44750</v>
      </c>
      <c r="I2233" s="706" t="s">
        <v>3594</v>
      </c>
    </row>
    <row r="2234" spans="1:9">
      <c r="A2234" s="706">
        <v>107929</v>
      </c>
      <c r="B2234" s="706" t="s">
        <v>3920</v>
      </c>
      <c r="D2234" s="706" t="s">
        <v>1841</v>
      </c>
      <c r="H2234" s="1191"/>
      <c r="I2234" s="706" t="s">
        <v>3594</v>
      </c>
    </row>
    <row r="2235" spans="1:9">
      <c r="A2235" s="706">
        <v>107930</v>
      </c>
      <c r="B2235" s="706" t="s">
        <v>3921</v>
      </c>
      <c r="D2235" s="706" t="s">
        <v>1841</v>
      </c>
      <c r="H2235" s="1191"/>
      <c r="I2235" s="706" t="s">
        <v>3594</v>
      </c>
    </row>
    <row r="2236" spans="1:9">
      <c r="A2236" s="706">
        <v>107931</v>
      </c>
      <c r="B2236" s="706" t="s">
        <v>3922</v>
      </c>
      <c r="D2236" s="706" t="s">
        <v>1841</v>
      </c>
      <c r="H2236" s="1191"/>
      <c r="I2236" s="706" t="s">
        <v>3594</v>
      </c>
    </row>
    <row r="2237" spans="1:9">
      <c r="A2237" s="706">
        <v>107932</v>
      </c>
      <c r="B2237" s="706" t="s">
        <v>3923</v>
      </c>
      <c r="D2237" s="706" t="s">
        <v>1841</v>
      </c>
      <c r="H2237" s="1191"/>
      <c r="I2237" s="706" t="s">
        <v>3594</v>
      </c>
    </row>
    <row r="2238" spans="1:9">
      <c r="A2238" s="706">
        <v>107933</v>
      </c>
      <c r="B2238" s="706" t="s">
        <v>3924</v>
      </c>
      <c r="D2238" s="706" t="s">
        <v>1841</v>
      </c>
      <c r="H2238" s="1191"/>
      <c r="I2238" s="706" t="s">
        <v>3594</v>
      </c>
    </row>
    <row r="2239" spans="1:9">
      <c r="A2239" s="706">
        <v>107934</v>
      </c>
      <c r="B2239" s="706" t="s">
        <v>3925</v>
      </c>
      <c r="D2239" s="706" t="s">
        <v>1841</v>
      </c>
      <c r="H2239" s="1191"/>
      <c r="I2239" s="706" t="s">
        <v>3594</v>
      </c>
    </row>
    <row r="2240" spans="1:9">
      <c r="A2240" s="706">
        <v>107935</v>
      </c>
      <c r="B2240" s="706" t="s">
        <v>3926</v>
      </c>
      <c r="D2240" s="706" t="s">
        <v>1841</v>
      </c>
      <c r="H2240" s="1191"/>
      <c r="I2240" s="706" t="s">
        <v>3594</v>
      </c>
    </row>
    <row r="2241" spans="1:9">
      <c r="A2241" s="706">
        <v>107936</v>
      </c>
      <c r="B2241" s="706" t="s">
        <v>3927</v>
      </c>
      <c r="D2241" s="706" t="s">
        <v>1841</v>
      </c>
      <c r="H2241" s="1191"/>
      <c r="I2241" s="706" t="s">
        <v>3594</v>
      </c>
    </row>
    <row r="2242" spans="1:9">
      <c r="A2242" s="706">
        <v>107937</v>
      </c>
      <c r="B2242" s="706" t="s">
        <v>3928</v>
      </c>
      <c r="C2242" s="706" t="s">
        <v>8189</v>
      </c>
      <c r="D2242" s="706" t="s">
        <v>1841</v>
      </c>
      <c r="E2242" s="706">
        <v>7.5</v>
      </c>
      <c r="F2242" s="706" t="s">
        <v>28</v>
      </c>
      <c r="G2242" s="706">
        <v>401083</v>
      </c>
      <c r="H2242" s="1191">
        <v>44035</v>
      </c>
      <c r="I2242" s="706" t="s">
        <v>3594</v>
      </c>
    </row>
    <row r="2243" spans="1:9">
      <c r="A2243" s="706">
        <v>107938</v>
      </c>
      <c r="B2243" s="706" t="s">
        <v>3929</v>
      </c>
      <c r="D2243" s="706" t="s">
        <v>1841</v>
      </c>
      <c r="H2243" s="1191"/>
      <c r="I2243" s="706" t="s">
        <v>3594</v>
      </c>
    </row>
    <row r="2244" spans="1:9">
      <c r="A2244" s="706">
        <v>107939</v>
      </c>
      <c r="B2244" s="706" t="s">
        <v>3930</v>
      </c>
      <c r="D2244" s="706" t="s">
        <v>1841</v>
      </c>
      <c r="H2244" s="1191"/>
      <c r="I2244" s="706" t="s">
        <v>3594</v>
      </c>
    </row>
    <row r="2245" spans="1:9">
      <c r="A2245" s="706">
        <v>107940</v>
      </c>
      <c r="B2245" s="706" t="s">
        <v>3931</v>
      </c>
      <c r="D2245" s="706" t="s">
        <v>1841</v>
      </c>
      <c r="H2245" s="1191"/>
      <c r="I2245" s="706" t="s">
        <v>3594</v>
      </c>
    </row>
    <row r="2246" spans="1:9">
      <c r="A2246" s="706">
        <v>107941</v>
      </c>
      <c r="B2246" s="706" t="s">
        <v>3932</v>
      </c>
      <c r="D2246" s="706" t="s">
        <v>1841</v>
      </c>
      <c r="H2246" s="1191"/>
      <c r="I2246" s="706" t="s">
        <v>3594</v>
      </c>
    </row>
    <row r="2247" spans="1:9">
      <c r="A2247" s="706">
        <v>107942</v>
      </c>
      <c r="B2247" s="706" t="s">
        <v>3933</v>
      </c>
      <c r="D2247" s="706" t="s">
        <v>1841</v>
      </c>
      <c r="H2247" s="1191"/>
      <c r="I2247" s="706" t="s">
        <v>3594</v>
      </c>
    </row>
    <row r="2248" spans="1:9">
      <c r="A2248" s="706">
        <v>107943</v>
      </c>
      <c r="B2248" s="706" t="s">
        <v>3934</v>
      </c>
      <c r="D2248" s="706" t="s">
        <v>1841</v>
      </c>
      <c r="H2248" s="1191"/>
      <c r="I2248" s="706" t="s">
        <v>3594</v>
      </c>
    </row>
    <row r="2249" spans="1:9">
      <c r="A2249" s="706">
        <v>107944</v>
      </c>
      <c r="B2249" s="706" t="s">
        <v>3935</v>
      </c>
      <c r="D2249" s="706" t="s">
        <v>1841</v>
      </c>
      <c r="H2249" s="1191"/>
      <c r="I2249" s="706" t="s">
        <v>3594</v>
      </c>
    </row>
    <row r="2250" spans="1:9">
      <c r="A2250" s="706">
        <v>107945</v>
      </c>
      <c r="B2250" s="706" t="s">
        <v>3936</v>
      </c>
      <c r="C2250" s="706" t="s">
        <v>8197</v>
      </c>
      <c r="D2250" s="706" t="s">
        <v>1841</v>
      </c>
      <c r="E2250" s="706">
        <v>11.5</v>
      </c>
      <c r="F2250" s="706" t="s">
        <v>28</v>
      </c>
      <c r="G2250" s="706">
        <v>408164</v>
      </c>
      <c r="H2250" s="1191">
        <v>45369</v>
      </c>
      <c r="I2250" s="706" t="s">
        <v>3594</v>
      </c>
    </row>
    <row r="2251" spans="1:9">
      <c r="A2251" s="706">
        <v>107946</v>
      </c>
      <c r="B2251" s="706" t="s">
        <v>3937</v>
      </c>
      <c r="D2251" s="706" t="s">
        <v>1841</v>
      </c>
      <c r="H2251" s="1191"/>
      <c r="I2251" s="706" t="s">
        <v>3594</v>
      </c>
    </row>
    <row r="2252" spans="1:9">
      <c r="A2252" s="706">
        <v>107947</v>
      </c>
      <c r="B2252" s="706" t="s">
        <v>3938</v>
      </c>
      <c r="D2252" s="706" t="s">
        <v>1841</v>
      </c>
      <c r="H2252" s="1191"/>
      <c r="I2252" s="706" t="s">
        <v>3594</v>
      </c>
    </row>
    <row r="2253" spans="1:9">
      <c r="A2253" s="706">
        <v>107948</v>
      </c>
      <c r="B2253" s="706" t="s">
        <v>3939</v>
      </c>
      <c r="D2253" s="706" t="s">
        <v>1841</v>
      </c>
      <c r="H2253" s="1191"/>
      <c r="I2253" s="706" t="s">
        <v>3594</v>
      </c>
    </row>
    <row r="2254" spans="1:9">
      <c r="A2254" s="706">
        <v>107949</v>
      </c>
      <c r="B2254" s="706" t="s">
        <v>3940</v>
      </c>
      <c r="C2254" s="706" t="s">
        <v>8189</v>
      </c>
      <c r="D2254" s="706" t="s">
        <v>1841</v>
      </c>
      <c r="E2254" s="706">
        <v>8.75</v>
      </c>
      <c r="F2254" s="706" t="s">
        <v>28</v>
      </c>
      <c r="G2254" s="706">
        <v>411219</v>
      </c>
      <c r="H2254" s="1191">
        <v>45965</v>
      </c>
      <c r="I2254" s="706" t="s">
        <v>3594</v>
      </c>
    </row>
    <row r="2255" spans="1:9">
      <c r="A2255" s="706">
        <v>107950</v>
      </c>
      <c r="B2255" s="706" t="s">
        <v>3941</v>
      </c>
      <c r="D2255" s="706" t="s">
        <v>1841</v>
      </c>
      <c r="H2255" s="1191"/>
      <c r="I2255" s="706" t="s">
        <v>3594</v>
      </c>
    </row>
    <row r="2256" spans="1:9">
      <c r="A2256" s="706">
        <v>107951</v>
      </c>
      <c r="B2256" s="706" t="s">
        <v>3942</v>
      </c>
      <c r="D2256" s="706" t="s">
        <v>1841</v>
      </c>
      <c r="H2256" s="1191"/>
      <c r="I2256" s="706" t="s">
        <v>3594</v>
      </c>
    </row>
    <row r="2257" spans="1:9">
      <c r="A2257" s="706">
        <v>107952</v>
      </c>
      <c r="B2257" s="706" t="s">
        <v>3943</v>
      </c>
      <c r="D2257" s="706" t="s">
        <v>1841</v>
      </c>
      <c r="H2257" s="1191"/>
      <c r="I2257" s="706" t="s">
        <v>3594</v>
      </c>
    </row>
    <row r="2258" spans="1:9">
      <c r="A2258" s="706">
        <v>107953</v>
      </c>
      <c r="B2258" s="706" t="s">
        <v>3944</v>
      </c>
      <c r="D2258" s="706" t="s">
        <v>1841</v>
      </c>
      <c r="H2258" s="1191"/>
      <c r="I2258" s="706" t="s">
        <v>3594</v>
      </c>
    </row>
    <row r="2259" spans="1:9">
      <c r="A2259" s="706">
        <v>107954</v>
      </c>
      <c r="B2259" s="706" t="s">
        <v>3945</v>
      </c>
      <c r="D2259" s="706" t="s">
        <v>1841</v>
      </c>
      <c r="H2259" s="1191"/>
      <c r="I2259" s="706" t="s">
        <v>3594</v>
      </c>
    </row>
    <row r="2260" spans="1:9">
      <c r="A2260" s="706">
        <v>107955</v>
      </c>
      <c r="B2260" s="706" t="s">
        <v>3946</v>
      </c>
      <c r="D2260" s="706" t="s">
        <v>1841</v>
      </c>
      <c r="H2260" s="1191"/>
      <c r="I2260" s="706" t="s">
        <v>3594</v>
      </c>
    </row>
    <row r="2261" spans="1:9">
      <c r="A2261" s="706">
        <v>107956</v>
      </c>
      <c r="B2261" s="706" t="s">
        <v>3947</v>
      </c>
      <c r="D2261" s="706" t="s">
        <v>1841</v>
      </c>
      <c r="H2261" s="1191"/>
      <c r="I2261" s="706" t="s">
        <v>3594</v>
      </c>
    </row>
    <row r="2262" spans="1:9">
      <c r="A2262" s="706">
        <v>107957</v>
      </c>
      <c r="B2262" s="706" t="s">
        <v>3948</v>
      </c>
      <c r="D2262" s="706" t="s">
        <v>1841</v>
      </c>
      <c r="H2262" s="1191"/>
      <c r="I2262" s="706" t="s">
        <v>3594</v>
      </c>
    </row>
    <row r="2263" spans="1:9">
      <c r="A2263" s="706">
        <v>107958</v>
      </c>
      <c r="B2263" s="706" t="s">
        <v>3949</v>
      </c>
      <c r="D2263" s="706" t="s">
        <v>1841</v>
      </c>
      <c r="H2263" s="1191"/>
      <c r="I2263" s="706" t="s">
        <v>3594</v>
      </c>
    </row>
    <row r="2264" spans="1:9">
      <c r="A2264" s="706">
        <v>107959</v>
      </c>
      <c r="B2264" s="706" t="s">
        <v>3950</v>
      </c>
      <c r="D2264" s="706" t="s">
        <v>1841</v>
      </c>
      <c r="H2264" s="1191"/>
      <c r="I2264" s="706" t="s">
        <v>3594</v>
      </c>
    </row>
    <row r="2265" spans="1:9">
      <c r="A2265" s="706">
        <v>107960</v>
      </c>
      <c r="B2265" s="706" t="s">
        <v>3951</v>
      </c>
      <c r="D2265" s="706" t="s">
        <v>1841</v>
      </c>
      <c r="H2265" s="1191"/>
      <c r="I2265" s="706" t="s">
        <v>3594</v>
      </c>
    </row>
    <row r="2266" spans="1:9">
      <c r="A2266" s="706">
        <v>107961</v>
      </c>
      <c r="B2266" s="706" t="s">
        <v>3952</v>
      </c>
      <c r="D2266" s="706" t="s">
        <v>1841</v>
      </c>
      <c r="H2266" s="1191"/>
      <c r="I2266" s="706" t="s">
        <v>3594</v>
      </c>
    </row>
    <row r="2267" spans="1:9">
      <c r="A2267" s="706">
        <v>107962</v>
      </c>
      <c r="B2267" s="706" t="s">
        <v>3953</v>
      </c>
      <c r="D2267" s="706" t="s">
        <v>1841</v>
      </c>
      <c r="H2267" s="1191"/>
      <c r="I2267" s="706" t="s">
        <v>3594</v>
      </c>
    </row>
    <row r="2268" spans="1:9">
      <c r="A2268" s="706">
        <v>107963</v>
      </c>
      <c r="B2268" s="706" t="s">
        <v>3954</v>
      </c>
      <c r="D2268" s="706" t="s">
        <v>1841</v>
      </c>
      <c r="H2268" s="1191"/>
      <c r="I2268" s="706" t="s">
        <v>3594</v>
      </c>
    </row>
    <row r="2269" spans="1:9">
      <c r="A2269" s="706">
        <v>107964</v>
      </c>
      <c r="B2269" s="706" t="s">
        <v>3955</v>
      </c>
      <c r="D2269" s="706" t="s">
        <v>1841</v>
      </c>
      <c r="H2269" s="1191"/>
      <c r="I2269" s="706" t="s">
        <v>3594</v>
      </c>
    </row>
    <row r="2270" spans="1:9">
      <c r="A2270" s="706">
        <v>107965</v>
      </c>
      <c r="B2270" s="706" t="s">
        <v>3956</v>
      </c>
      <c r="D2270" s="706" t="s">
        <v>1841</v>
      </c>
      <c r="H2270" s="1191"/>
      <c r="I2270" s="706" t="s">
        <v>3594</v>
      </c>
    </row>
    <row r="2271" spans="1:9">
      <c r="A2271" s="706">
        <v>107966</v>
      </c>
      <c r="B2271" s="706" t="s">
        <v>3957</v>
      </c>
      <c r="D2271" s="706" t="s">
        <v>1841</v>
      </c>
      <c r="H2271" s="1191"/>
      <c r="I2271" s="706" t="s">
        <v>3594</v>
      </c>
    </row>
    <row r="2272" spans="1:9">
      <c r="A2272" s="706">
        <v>107967</v>
      </c>
      <c r="B2272" s="706" t="s">
        <v>3958</v>
      </c>
      <c r="D2272" s="706" t="s">
        <v>1841</v>
      </c>
      <c r="H2272" s="1191"/>
      <c r="I2272" s="706" t="s">
        <v>3594</v>
      </c>
    </row>
    <row r="2273" spans="1:9">
      <c r="A2273" s="706">
        <v>107968</v>
      </c>
      <c r="B2273" s="706" t="s">
        <v>3959</v>
      </c>
      <c r="D2273" s="706" t="s">
        <v>1841</v>
      </c>
      <c r="H2273" s="1191"/>
      <c r="I2273" s="706" t="s">
        <v>3594</v>
      </c>
    </row>
    <row r="2274" spans="1:9">
      <c r="A2274" s="706">
        <v>107969</v>
      </c>
      <c r="B2274" s="706" t="s">
        <v>3960</v>
      </c>
      <c r="D2274" s="706" t="s">
        <v>1841</v>
      </c>
      <c r="H2274" s="1191"/>
      <c r="I2274" s="706" t="s">
        <v>3594</v>
      </c>
    </row>
    <row r="2275" spans="1:9">
      <c r="A2275" s="706">
        <v>107970</v>
      </c>
      <c r="B2275" s="706" t="s">
        <v>3961</v>
      </c>
      <c r="D2275" s="706" t="s">
        <v>1841</v>
      </c>
      <c r="H2275" s="1191"/>
      <c r="I2275" s="706" t="s">
        <v>3594</v>
      </c>
    </row>
    <row r="2276" spans="1:9">
      <c r="A2276" s="706">
        <v>107971</v>
      </c>
      <c r="B2276" s="706" t="s">
        <v>3962</v>
      </c>
      <c r="D2276" s="706" t="s">
        <v>1841</v>
      </c>
      <c r="H2276" s="1191"/>
      <c r="I2276" s="706" t="s">
        <v>3594</v>
      </c>
    </row>
    <row r="2277" spans="1:9">
      <c r="A2277" s="706">
        <v>107972</v>
      </c>
      <c r="B2277" s="706" t="s">
        <v>3963</v>
      </c>
      <c r="D2277" s="706" t="s">
        <v>1841</v>
      </c>
      <c r="H2277" s="1191"/>
      <c r="I2277" s="706" t="s">
        <v>3594</v>
      </c>
    </row>
    <row r="2278" spans="1:9">
      <c r="A2278" s="706">
        <v>107973</v>
      </c>
      <c r="B2278" s="706" t="s">
        <v>3964</v>
      </c>
      <c r="C2278" s="706" t="s">
        <v>8197</v>
      </c>
      <c r="D2278" s="706" t="s">
        <v>1841</v>
      </c>
      <c r="E2278" s="706">
        <v>29.729700000000001</v>
      </c>
      <c r="F2278" s="706" t="s">
        <v>28</v>
      </c>
      <c r="G2278" s="706">
        <v>408819</v>
      </c>
      <c r="H2278" s="1191">
        <v>45488</v>
      </c>
      <c r="I2278" s="706" t="s">
        <v>3594</v>
      </c>
    </row>
    <row r="2279" spans="1:9">
      <c r="A2279" s="706">
        <v>107974</v>
      </c>
      <c r="B2279" s="706" t="s">
        <v>3965</v>
      </c>
      <c r="C2279" s="706" t="s">
        <v>8197</v>
      </c>
      <c r="D2279" s="706" t="s">
        <v>1841</v>
      </c>
      <c r="E2279" s="706">
        <v>17.95</v>
      </c>
      <c r="F2279" s="706" t="s">
        <v>28</v>
      </c>
      <c r="G2279" s="706">
        <v>407431</v>
      </c>
      <c r="H2279" s="1191">
        <v>45230</v>
      </c>
      <c r="I2279" s="706" t="s">
        <v>3594</v>
      </c>
    </row>
    <row r="2280" spans="1:9">
      <c r="A2280" s="706">
        <v>107975</v>
      </c>
      <c r="B2280" s="706" t="s">
        <v>3966</v>
      </c>
      <c r="C2280" s="706" t="s">
        <v>8197</v>
      </c>
      <c r="D2280" s="706" t="s">
        <v>1841</v>
      </c>
      <c r="E2280" s="706">
        <v>8.9499999999999993</v>
      </c>
      <c r="F2280" s="706" t="s">
        <v>28</v>
      </c>
      <c r="G2280" s="706">
        <v>402934</v>
      </c>
      <c r="H2280" s="1191">
        <v>44305</v>
      </c>
      <c r="I2280" s="706" t="s">
        <v>3594</v>
      </c>
    </row>
    <row r="2281" spans="1:9">
      <c r="A2281" s="706">
        <v>107976</v>
      </c>
      <c r="B2281" s="706" t="s">
        <v>3967</v>
      </c>
      <c r="D2281" s="706" t="s">
        <v>1841</v>
      </c>
      <c r="H2281" s="1191"/>
      <c r="I2281" s="706" t="s">
        <v>3594</v>
      </c>
    </row>
    <row r="2282" spans="1:9">
      <c r="A2282" s="706">
        <v>107977</v>
      </c>
      <c r="B2282" s="706" t="s">
        <v>3968</v>
      </c>
      <c r="D2282" s="706" t="s">
        <v>1841</v>
      </c>
      <c r="H2282" s="1191"/>
      <c r="I2282" s="706" t="s">
        <v>3594</v>
      </c>
    </row>
    <row r="2283" spans="1:9">
      <c r="A2283" s="706">
        <v>107978</v>
      </c>
      <c r="B2283" s="706" t="s">
        <v>3969</v>
      </c>
      <c r="D2283" s="706" t="s">
        <v>1841</v>
      </c>
      <c r="H2283" s="1191"/>
      <c r="I2283" s="706" t="s">
        <v>3594</v>
      </c>
    </row>
    <row r="2284" spans="1:9">
      <c r="A2284" s="706">
        <v>107979</v>
      </c>
      <c r="B2284" s="706" t="s">
        <v>3970</v>
      </c>
      <c r="D2284" s="706" t="s">
        <v>1841</v>
      </c>
      <c r="H2284" s="1191"/>
      <c r="I2284" s="706" t="s">
        <v>3594</v>
      </c>
    </row>
    <row r="2285" spans="1:9">
      <c r="A2285" s="706">
        <v>107980</v>
      </c>
      <c r="B2285" s="706" t="s">
        <v>3971</v>
      </c>
      <c r="D2285" s="706" t="s">
        <v>1841</v>
      </c>
      <c r="H2285" s="1191"/>
      <c r="I2285" s="706" t="s">
        <v>3594</v>
      </c>
    </row>
    <row r="2286" spans="1:9">
      <c r="A2286" s="706">
        <v>107981</v>
      </c>
      <c r="B2286" s="706" t="s">
        <v>3972</v>
      </c>
      <c r="D2286" s="706" t="s">
        <v>1841</v>
      </c>
      <c r="H2286" s="1191"/>
      <c r="I2286" s="706" t="s">
        <v>3594</v>
      </c>
    </row>
    <row r="2287" spans="1:9">
      <c r="A2287" s="706">
        <v>107982</v>
      </c>
      <c r="B2287" s="706" t="s">
        <v>3973</v>
      </c>
      <c r="D2287" s="706" t="s">
        <v>1841</v>
      </c>
      <c r="H2287" s="1191"/>
      <c r="I2287" s="706" t="s">
        <v>3594</v>
      </c>
    </row>
    <row r="2288" spans="1:9">
      <c r="A2288" s="706">
        <v>107983</v>
      </c>
      <c r="B2288" s="706" t="s">
        <v>3974</v>
      </c>
      <c r="D2288" s="706" t="s">
        <v>1841</v>
      </c>
      <c r="H2288" s="1191"/>
      <c r="I2288" s="706" t="s">
        <v>3594</v>
      </c>
    </row>
    <row r="2289" spans="1:9">
      <c r="A2289" s="706">
        <v>107984</v>
      </c>
      <c r="B2289" s="706" t="s">
        <v>3975</v>
      </c>
      <c r="D2289" s="706" t="s">
        <v>1841</v>
      </c>
      <c r="H2289" s="1191"/>
      <c r="I2289" s="706" t="s">
        <v>3594</v>
      </c>
    </row>
    <row r="2290" spans="1:9">
      <c r="A2290" s="706">
        <v>107985</v>
      </c>
      <c r="B2290" s="706" t="s">
        <v>3976</v>
      </c>
      <c r="D2290" s="706" t="s">
        <v>1841</v>
      </c>
      <c r="H2290" s="1191"/>
      <c r="I2290" s="706" t="s">
        <v>3594</v>
      </c>
    </row>
    <row r="2291" spans="1:9">
      <c r="A2291" s="706">
        <v>107986</v>
      </c>
      <c r="B2291" s="706" t="s">
        <v>3977</v>
      </c>
      <c r="D2291" s="706" t="s">
        <v>1841</v>
      </c>
      <c r="H2291" s="1191"/>
      <c r="I2291" s="706" t="s">
        <v>3594</v>
      </c>
    </row>
    <row r="2292" spans="1:9">
      <c r="A2292" s="706">
        <v>107987</v>
      </c>
      <c r="B2292" s="706" t="s">
        <v>3978</v>
      </c>
      <c r="D2292" s="706" t="s">
        <v>1841</v>
      </c>
      <c r="H2292" s="1191"/>
      <c r="I2292" s="706" t="s">
        <v>3594</v>
      </c>
    </row>
    <row r="2293" spans="1:9">
      <c r="A2293" s="706">
        <v>107988</v>
      </c>
      <c r="B2293" s="706" t="s">
        <v>3979</v>
      </c>
      <c r="C2293" s="706" t="s">
        <v>8197</v>
      </c>
      <c r="D2293" s="706" t="s">
        <v>1841</v>
      </c>
      <c r="E2293" s="706">
        <v>17.95</v>
      </c>
      <c r="F2293" s="706" t="s">
        <v>28</v>
      </c>
      <c r="G2293" s="706">
        <v>401308</v>
      </c>
      <c r="H2293" s="1191">
        <v>44057</v>
      </c>
      <c r="I2293" s="706" t="s">
        <v>3594</v>
      </c>
    </row>
    <row r="2294" spans="1:9">
      <c r="A2294" s="706">
        <v>107989</v>
      </c>
      <c r="B2294" s="706" t="s">
        <v>3980</v>
      </c>
      <c r="C2294" s="706" t="s">
        <v>8197</v>
      </c>
      <c r="D2294" s="706" t="s">
        <v>1841</v>
      </c>
      <c r="E2294" s="706">
        <v>8.68</v>
      </c>
      <c r="F2294" s="706" t="s">
        <v>28</v>
      </c>
      <c r="G2294" s="706">
        <v>401308</v>
      </c>
      <c r="H2294" s="1191">
        <v>44057</v>
      </c>
      <c r="I2294" s="706" t="s">
        <v>3594</v>
      </c>
    </row>
    <row r="2295" spans="1:9">
      <c r="A2295" s="706">
        <v>107990</v>
      </c>
      <c r="B2295" s="706" t="s">
        <v>3981</v>
      </c>
      <c r="C2295" s="706" t="s">
        <v>8189</v>
      </c>
      <c r="D2295" s="706" t="s">
        <v>1841</v>
      </c>
      <c r="E2295" s="706">
        <v>5</v>
      </c>
      <c r="F2295" s="706" t="s">
        <v>28</v>
      </c>
      <c r="G2295" s="706">
        <v>401384</v>
      </c>
      <c r="H2295" s="1191">
        <v>44067</v>
      </c>
      <c r="I2295" s="706" t="s">
        <v>3594</v>
      </c>
    </row>
    <row r="2296" spans="1:9">
      <c r="A2296" s="706">
        <v>107991</v>
      </c>
      <c r="B2296" s="706" t="s">
        <v>3982</v>
      </c>
      <c r="D2296" s="706" t="s">
        <v>1841</v>
      </c>
      <c r="H2296" s="1191"/>
      <c r="I2296" s="706" t="s">
        <v>3594</v>
      </c>
    </row>
    <row r="2297" spans="1:9">
      <c r="A2297" s="706">
        <v>107992</v>
      </c>
      <c r="B2297" s="706" t="s">
        <v>3983</v>
      </c>
      <c r="D2297" s="706" t="s">
        <v>1841</v>
      </c>
      <c r="H2297" s="1191"/>
      <c r="I2297" s="706" t="s">
        <v>3594</v>
      </c>
    </row>
    <row r="2298" spans="1:9">
      <c r="A2298" s="706">
        <v>107993</v>
      </c>
      <c r="B2298" s="706" t="s">
        <v>3984</v>
      </c>
      <c r="D2298" s="706" t="s">
        <v>1841</v>
      </c>
      <c r="H2298" s="1191"/>
      <c r="I2298" s="706" t="s">
        <v>3594</v>
      </c>
    </row>
    <row r="2299" spans="1:9">
      <c r="A2299" s="706">
        <v>107994</v>
      </c>
      <c r="B2299" s="706" t="s">
        <v>3985</v>
      </c>
      <c r="C2299" s="706" t="s">
        <v>8189</v>
      </c>
      <c r="D2299" s="706" t="s">
        <v>1841</v>
      </c>
      <c r="E2299" s="706">
        <v>6.5</v>
      </c>
      <c r="F2299" s="706" t="s">
        <v>28</v>
      </c>
      <c r="G2299" s="706">
        <v>409831</v>
      </c>
      <c r="H2299" s="1191">
        <v>45701</v>
      </c>
      <c r="I2299" s="706" t="s">
        <v>3594</v>
      </c>
    </row>
    <row r="2300" spans="1:9">
      <c r="A2300" s="706">
        <v>107995</v>
      </c>
      <c r="B2300" s="706" t="s">
        <v>3986</v>
      </c>
      <c r="D2300" s="706" t="s">
        <v>1841</v>
      </c>
      <c r="H2300" s="1191"/>
      <c r="I2300" s="706" t="s">
        <v>3594</v>
      </c>
    </row>
    <row r="2301" spans="1:9">
      <c r="A2301" s="706">
        <v>107996</v>
      </c>
      <c r="B2301" s="706" t="s">
        <v>3987</v>
      </c>
      <c r="D2301" s="706" t="s">
        <v>1841</v>
      </c>
      <c r="H2301" s="1191"/>
      <c r="I2301" s="706" t="s">
        <v>3594</v>
      </c>
    </row>
    <row r="2302" spans="1:9">
      <c r="A2302" s="706">
        <v>107997</v>
      </c>
      <c r="B2302" s="706" t="s">
        <v>3988</v>
      </c>
      <c r="C2302" s="706" t="s">
        <v>8187</v>
      </c>
      <c r="D2302" s="706" t="s">
        <v>1841</v>
      </c>
      <c r="E2302" s="706">
        <v>23.18</v>
      </c>
      <c r="F2302" s="706" t="s">
        <v>28</v>
      </c>
      <c r="G2302" s="706">
        <v>406819</v>
      </c>
      <c r="H2302" s="1191">
        <v>45106</v>
      </c>
      <c r="I2302" s="706" t="s">
        <v>3594</v>
      </c>
    </row>
    <row r="2303" spans="1:9">
      <c r="A2303" s="706">
        <v>107998</v>
      </c>
      <c r="B2303" s="706" t="s">
        <v>3989</v>
      </c>
      <c r="D2303" s="706" t="s">
        <v>1841</v>
      </c>
      <c r="H2303" s="1191"/>
      <c r="I2303" s="706" t="s">
        <v>3594</v>
      </c>
    </row>
    <row r="2304" spans="1:9">
      <c r="A2304" s="706">
        <v>108581</v>
      </c>
      <c r="B2304" s="706" t="s">
        <v>3990</v>
      </c>
      <c r="D2304" s="706" t="s">
        <v>1841</v>
      </c>
      <c r="H2304" s="1191"/>
      <c r="I2304" s="706" t="s">
        <v>2106</v>
      </c>
    </row>
    <row r="2305" spans="1:9">
      <c r="A2305" s="706">
        <v>108582</v>
      </c>
      <c r="B2305" s="706" t="s">
        <v>3991</v>
      </c>
      <c r="D2305" s="706" t="s">
        <v>1841</v>
      </c>
      <c r="H2305" s="1191"/>
      <c r="I2305" s="706" t="s">
        <v>2106</v>
      </c>
    </row>
    <row r="2306" spans="1:9">
      <c r="A2306" s="706">
        <v>108583</v>
      </c>
      <c r="B2306" s="706" t="s">
        <v>3992</v>
      </c>
      <c r="D2306" s="706" t="s">
        <v>1841</v>
      </c>
      <c r="H2306" s="1191"/>
      <c r="I2306" s="706" t="s">
        <v>2106</v>
      </c>
    </row>
    <row r="2307" spans="1:9">
      <c r="A2307" s="706">
        <v>108584</v>
      </c>
      <c r="B2307" s="706" t="s">
        <v>3993</v>
      </c>
      <c r="D2307" s="706" t="s">
        <v>1841</v>
      </c>
      <c r="H2307" s="1191"/>
      <c r="I2307" s="706" t="s">
        <v>2106</v>
      </c>
    </row>
    <row r="2308" spans="1:9">
      <c r="A2308" s="706">
        <v>108585</v>
      </c>
      <c r="B2308" s="706" t="s">
        <v>3994</v>
      </c>
      <c r="D2308" s="706" t="s">
        <v>1841</v>
      </c>
      <c r="H2308" s="1191"/>
      <c r="I2308" s="706" t="s">
        <v>2106</v>
      </c>
    </row>
    <row r="2309" spans="1:9">
      <c r="A2309" s="706">
        <v>108586</v>
      </c>
      <c r="B2309" s="706" t="s">
        <v>3995</v>
      </c>
      <c r="D2309" s="706" t="s">
        <v>1841</v>
      </c>
      <c r="H2309" s="1191"/>
      <c r="I2309" s="706" t="s">
        <v>2106</v>
      </c>
    </row>
    <row r="2310" spans="1:9">
      <c r="A2310" s="706">
        <v>108587</v>
      </c>
      <c r="B2310" s="706" t="s">
        <v>3996</v>
      </c>
      <c r="D2310" s="706" t="s">
        <v>1841</v>
      </c>
      <c r="H2310" s="1191"/>
      <c r="I2310" s="706" t="s">
        <v>2106</v>
      </c>
    </row>
    <row r="2311" spans="1:9">
      <c r="A2311" s="706">
        <v>108588</v>
      </c>
      <c r="B2311" s="706" t="s">
        <v>3997</v>
      </c>
      <c r="D2311" s="706" t="s">
        <v>1841</v>
      </c>
      <c r="H2311" s="1191"/>
      <c r="I2311" s="706" t="s">
        <v>2106</v>
      </c>
    </row>
    <row r="2312" spans="1:9">
      <c r="A2312" s="706">
        <v>108589</v>
      </c>
      <c r="B2312" s="706" t="s">
        <v>3998</v>
      </c>
      <c r="D2312" s="706" t="s">
        <v>1841</v>
      </c>
      <c r="H2312" s="1191"/>
      <c r="I2312" s="706" t="s">
        <v>2106</v>
      </c>
    </row>
    <row r="2313" spans="1:9">
      <c r="A2313" s="706">
        <v>108590</v>
      </c>
      <c r="B2313" s="706" t="s">
        <v>3999</v>
      </c>
      <c r="D2313" s="706" t="s">
        <v>1841</v>
      </c>
      <c r="H2313" s="1191"/>
      <c r="I2313" s="706" t="s">
        <v>2106</v>
      </c>
    </row>
    <row r="2314" spans="1:9">
      <c r="A2314" s="706">
        <v>108591</v>
      </c>
      <c r="B2314" s="706" t="s">
        <v>4000</v>
      </c>
      <c r="D2314" s="706" t="s">
        <v>1841</v>
      </c>
      <c r="H2314" s="1191"/>
      <c r="I2314" s="706" t="s">
        <v>2106</v>
      </c>
    </row>
    <row r="2315" spans="1:9">
      <c r="A2315" s="706">
        <v>108592</v>
      </c>
      <c r="B2315" s="706" t="s">
        <v>4001</v>
      </c>
      <c r="D2315" s="706" t="s">
        <v>1841</v>
      </c>
      <c r="H2315" s="1191"/>
      <c r="I2315" s="706" t="s">
        <v>2106</v>
      </c>
    </row>
    <row r="2316" spans="1:9">
      <c r="A2316" s="706">
        <v>108593</v>
      </c>
      <c r="B2316" s="706" t="s">
        <v>4002</v>
      </c>
      <c r="D2316" s="706" t="s">
        <v>1841</v>
      </c>
      <c r="H2316" s="1191"/>
      <c r="I2316" s="706" t="s">
        <v>2106</v>
      </c>
    </row>
    <row r="2317" spans="1:9">
      <c r="A2317" s="706">
        <v>108594</v>
      </c>
      <c r="B2317" s="706" t="s">
        <v>4003</v>
      </c>
      <c r="D2317" s="706" t="s">
        <v>1841</v>
      </c>
      <c r="H2317" s="1191"/>
      <c r="I2317" s="706" t="s">
        <v>2106</v>
      </c>
    </row>
    <row r="2318" spans="1:9">
      <c r="A2318" s="706">
        <v>108595</v>
      </c>
      <c r="B2318" s="706" t="s">
        <v>4004</v>
      </c>
      <c r="D2318" s="706" t="s">
        <v>1841</v>
      </c>
      <c r="H2318" s="1191"/>
      <c r="I2318" s="706" t="s">
        <v>2106</v>
      </c>
    </row>
    <row r="2319" spans="1:9">
      <c r="A2319" s="706">
        <v>108596</v>
      </c>
      <c r="B2319" s="706" t="s">
        <v>4005</v>
      </c>
      <c r="D2319" s="706" t="s">
        <v>1841</v>
      </c>
      <c r="H2319" s="1191"/>
      <c r="I2319" s="706" t="s">
        <v>2106</v>
      </c>
    </row>
    <row r="2320" spans="1:9">
      <c r="A2320" s="706">
        <v>108597</v>
      </c>
      <c r="B2320" s="706" t="s">
        <v>4006</v>
      </c>
      <c r="D2320" s="706" t="s">
        <v>1841</v>
      </c>
      <c r="H2320" s="1191"/>
      <c r="I2320" s="706" t="s">
        <v>2106</v>
      </c>
    </row>
    <row r="2321" spans="1:9">
      <c r="A2321" s="706">
        <v>108598</v>
      </c>
      <c r="B2321" s="706" t="s">
        <v>4007</v>
      </c>
      <c r="D2321" s="706" t="s">
        <v>1841</v>
      </c>
      <c r="H2321" s="1191"/>
      <c r="I2321" s="706" t="s">
        <v>2106</v>
      </c>
    </row>
    <row r="2322" spans="1:9">
      <c r="A2322" s="706">
        <v>108599</v>
      </c>
      <c r="B2322" s="706" t="s">
        <v>4008</v>
      </c>
      <c r="D2322" s="706" t="s">
        <v>1841</v>
      </c>
      <c r="H2322" s="1191"/>
      <c r="I2322" s="706" t="s">
        <v>2106</v>
      </c>
    </row>
    <row r="2323" spans="1:9">
      <c r="A2323" s="706">
        <v>108600</v>
      </c>
      <c r="B2323" s="706" t="s">
        <v>4009</v>
      </c>
      <c r="D2323" s="706" t="s">
        <v>1841</v>
      </c>
      <c r="H2323" s="1191"/>
      <c r="I2323" s="706" t="s">
        <v>2106</v>
      </c>
    </row>
    <row r="2324" spans="1:9">
      <c r="A2324" s="706">
        <v>108773</v>
      </c>
      <c r="B2324" s="706" t="s">
        <v>4010</v>
      </c>
      <c r="D2324" s="706" t="s">
        <v>1841</v>
      </c>
      <c r="H2324" s="1191"/>
      <c r="I2324" s="706" t="s">
        <v>2106</v>
      </c>
    </row>
    <row r="2325" spans="1:9">
      <c r="A2325" s="706">
        <v>108774</v>
      </c>
      <c r="B2325" s="706" t="s">
        <v>4011</v>
      </c>
      <c r="D2325" s="706" t="s">
        <v>1841</v>
      </c>
      <c r="H2325" s="1191"/>
      <c r="I2325" s="706" t="s">
        <v>2106</v>
      </c>
    </row>
    <row r="2326" spans="1:9">
      <c r="A2326" s="706">
        <v>108775</v>
      </c>
      <c r="B2326" s="706" t="s">
        <v>4012</v>
      </c>
      <c r="D2326" s="706" t="s">
        <v>1841</v>
      </c>
      <c r="H2326" s="1191"/>
      <c r="I2326" s="706" t="s">
        <v>2106</v>
      </c>
    </row>
    <row r="2327" spans="1:9">
      <c r="A2327" s="706">
        <v>108776</v>
      </c>
      <c r="B2327" s="706" t="s">
        <v>4013</v>
      </c>
      <c r="D2327" s="706" t="s">
        <v>1841</v>
      </c>
      <c r="H2327" s="1191"/>
      <c r="I2327" s="706" t="s">
        <v>2106</v>
      </c>
    </row>
    <row r="2328" spans="1:9">
      <c r="A2328" s="706">
        <v>108777</v>
      </c>
      <c r="B2328" s="706" t="s">
        <v>4014</v>
      </c>
      <c r="D2328" s="706" t="s">
        <v>1841</v>
      </c>
      <c r="H2328" s="1191"/>
      <c r="I2328" s="706" t="s">
        <v>2106</v>
      </c>
    </row>
    <row r="2329" spans="1:9">
      <c r="A2329" s="706">
        <v>108778</v>
      </c>
      <c r="B2329" s="706" t="s">
        <v>4015</v>
      </c>
      <c r="D2329" s="706" t="s">
        <v>1841</v>
      </c>
      <c r="H2329" s="1191"/>
      <c r="I2329" s="706" t="s">
        <v>2106</v>
      </c>
    </row>
    <row r="2330" spans="1:9">
      <c r="A2330" s="706">
        <v>108779</v>
      </c>
      <c r="B2330" s="706" t="s">
        <v>4016</v>
      </c>
      <c r="D2330" s="706" t="s">
        <v>1841</v>
      </c>
      <c r="H2330" s="1191"/>
      <c r="I2330" s="706" t="s">
        <v>2106</v>
      </c>
    </row>
    <row r="2331" spans="1:9">
      <c r="A2331" s="706">
        <v>108780</v>
      </c>
      <c r="B2331" s="706" t="s">
        <v>4017</v>
      </c>
      <c r="D2331" s="706" t="s">
        <v>1841</v>
      </c>
      <c r="H2331" s="1191"/>
      <c r="I2331" s="706" t="s">
        <v>2106</v>
      </c>
    </row>
    <row r="2332" spans="1:9">
      <c r="A2332" s="706">
        <v>108781</v>
      </c>
      <c r="B2332" s="706" t="s">
        <v>4018</v>
      </c>
      <c r="D2332" s="706" t="s">
        <v>1841</v>
      </c>
      <c r="H2332" s="1191"/>
      <c r="I2332" s="706" t="s">
        <v>2106</v>
      </c>
    </row>
    <row r="2333" spans="1:9">
      <c r="A2333" s="706">
        <v>108782</v>
      </c>
      <c r="B2333" s="706" t="s">
        <v>4019</v>
      </c>
      <c r="D2333" s="706" t="s">
        <v>1841</v>
      </c>
      <c r="H2333" s="1191"/>
      <c r="I2333" s="706" t="s">
        <v>2106</v>
      </c>
    </row>
    <row r="2334" spans="1:9">
      <c r="A2334" s="706">
        <v>108783</v>
      </c>
      <c r="B2334" s="706" t="s">
        <v>4020</v>
      </c>
      <c r="D2334" s="706" t="s">
        <v>1841</v>
      </c>
      <c r="H2334" s="1191"/>
      <c r="I2334" s="706" t="s">
        <v>2106</v>
      </c>
    </row>
    <row r="2335" spans="1:9">
      <c r="A2335" s="706">
        <v>108784</v>
      </c>
      <c r="B2335" s="706" t="s">
        <v>4021</v>
      </c>
      <c r="D2335" s="706" t="s">
        <v>1841</v>
      </c>
      <c r="H2335" s="1191"/>
      <c r="I2335" s="706" t="s">
        <v>2106</v>
      </c>
    </row>
    <row r="2336" spans="1:9">
      <c r="A2336" s="706">
        <v>108785</v>
      </c>
      <c r="B2336" s="706" t="s">
        <v>4022</v>
      </c>
      <c r="D2336" s="706" t="s">
        <v>1841</v>
      </c>
      <c r="H2336" s="1191"/>
      <c r="I2336" s="706" t="s">
        <v>2106</v>
      </c>
    </row>
    <row r="2337" spans="1:9">
      <c r="A2337" s="706">
        <v>108786</v>
      </c>
      <c r="B2337" s="706" t="s">
        <v>4023</v>
      </c>
      <c r="D2337" s="706" t="s">
        <v>1841</v>
      </c>
      <c r="H2337" s="1191"/>
      <c r="I2337" s="706" t="s">
        <v>2106</v>
      </c>
    </row>
    <row r="2338" spans="1:9">
      <c r="A2338" s="706">
        <v>108787</v>
      </c>
      <c r="B2338" s="706" t="s">
        <v>4024</v>
      </c>
      <c r="D2338" s="706" t="s">
        <v>1841</v>
      </c>
      <c r="H2338" s="1191"/>
      <c r="I2338" s="706" t="s">
        <v>2106</v>
      </c>
    </row>
    <row r="2339" spans="1:9">
      <c r="A2339" s="706">
        <v>108788</v>
      </c>
      <c r="B2339" s="706" t="s">
        <v>4025</v>
      </c>
      <c r="D2339" s="706" t="s">
        <v>1841</v>
      </c>
      <c r="H2339" s="1191"/>
      <c r="I2339" s="706" t="s">
        <v>2106</v>
      </c>
    </row>
    <row r="2340" spans="1:9">
      <c r="A2340" s="706">
        <v>108789</v>
      </c>
      <c r="B2340" s="706" t="s">
        <v>4026</v>
      </c>
      <c r="D2340" s="706" t="s">
        <v>1841</v>
      </c>
      <c r="H2340" s="1191"/>
      <c r="I2340" s="706" t="s">
        <v>2106</v>
      </c>
    </row>
    <row r="2341" spans="1:9">
      <c r="A2341" s="706">
        <v>108790</v>
      </c>
      <c r="B2341" s="706" t="s">
        <v>4027</v>
      </c>
      <c r="D2341" s="706" t="s">
        <v>1841</v>
      </c>
      <c r="H2341" s="1191"/>
      <c r="I2341" s="706" t="s">
        <v>2106</v>
      </c>
    </row>
    <row r="2342" spans="1:9">
      <c r="A2342" s="706">
        <v>108791</v>
      </c>
      <c r="B2342" s="706" t="s">
        <v>4028</v>
      </c>
      <c r="D2342" s="706" t="s">
        <v>1841</v>
      </c>
      <c r="H2342" s="1191"/>
      <c r="I2342" s="706" t="s">
        <v>2106</v>
      </c>
    </row>
    <row r="2343" spans="1:9">
      <c r="A2343" s="706">
        <v>108792</v>
      </c>
      <c r="B2343" s="706" t="s">
        <v>4029</v>
      </c>
      <c r="D2343" s="706" t="s">
        <v>1841</v>
      </c>
      <c r="H2343" s="1191"/>
      <c r="I2343" s="706" t="s">
        <v>2106</v>
      </c>
    </row>
    <row r="2344" spans="1:9">
      <c r="A2344" s="706">
        <v>108793</v>
      </c>
      <c r="B2344" s="706" t="s">
        <v>4030</v>
      </c>
      <c r="D2344" s="706" t="s">
        <v>1841</v>
      </c>
      <c r="H2344" s="1191"/>
      <c r="I2344" s="706" t="s">
        <v>2106</v>
      </c>
    </row>
    <row r="2345" spans="1:9">
      <c r="A2345" s="706">
        <v>108794</v>
      </c>
      <c r="B2345" s="706" t="s">
        <v>4031</v>
      </c>
      <c r="D2345" s="706" t="s">
        <v>1841</v>
      </c>
      <c r="H2345" s="1191"/>
      <c r="I2345" s="706" t="s">
        <v>2106</v>
      </c>
    </row>
    <row r="2346" spans="1:9">
      <c r="A2346" s="706">
        <v>108795</v>
      </c>
      <c r="B2346" s="706" t="s">
        <v>4032</v>
      </c>
      <c r="D2346" s="706" t="s">
        <v>1841</v>
      </c>
      <c r="H2346" s="1191"/>
      <c r="I2346" s="706" t="s">
        <v>2106</v>
      </c>
    </row>
    <row r="2347" spans="1:9">
      <c r="A2347" s="706">
        <v>108796</v>
      </c>
      <c r="B2347" s="706" t="s">
        <v>4033</v>
      </c>
      <c r="D2347" s="706" t="s">
        <v>1841</v>
      </c>
      <c r="H2347" s="1191"/>
      <c r="I2347" s="706" t="s">
        <v>2106</v>
      </c>
    </row>
    <row r="2348" spans="1:9">
      <c r="A2348" s="706">
        <v>108797</v>
      </c>
      <c r="B2348" s="706" t="s">
        <v>4034</v>
      </c>
      <c r="D2348" s="706" t="s">
        <v>1841</v>
      </c>
      <c r="H2348" s="1191"/>
      <c r="I2348" s="706" t="s">
        <v>2106</v>
      </c>
    </row>
    <row r="2349" spans="1:9">
      <c r="A2349" s="706">
        <v>108798</v>
      </c>
      <c r="B2349" s="706" t="s">
        <v>4035</v>
      </c>
      <c r="D2349" s="706" t="s">
        <v>1841</v>
      </c>
      <c r="H2349" s="1191"/>
      <c r="I2349" s="706" t="s">
        <v>2106</v>
      </c>
    </row>
    <row r="2350" spans="1:9">
      <c r="A2350" s="706">
        <v>108799</v>
      </c>
      <c r="B2350" s="706" t="s">
        <v>4036</v>
      </c>
      <c r="D2350" s="706" t="s">
        <v>1841</v>
      </c>
      <c r="H2350" s="1191"/>
      <c r="I2350" s="706" t="s">
        <v>2106</v>
      </c>
    </row>
    <row r="2351" spans="1:9">
      <c r="A2351" s="706">
        <v>108800</v>
      </c>
      <c r="B2351" s="706" t="s">
        <v>4037</v>
      </c>
      <c r="D2351" s="706" t="s">
        <v>1841</v>
      </c>
      <c r="H2351" s="1191"/>
      <c r="I2351" s="706" t="s">
        <v>2106</v>
      </c>
    </row>
    <row r="2352" spans="1:9">
      <c r="A2352" s="706">
        <v>109481</v>
      </c>
      <c r="B2352" s="706" t="s">
        <v>4038</v>
      </c>
      <c r="D2352" s="706" t="s">
        <v>1841</v>
      </c>
      <c r="H2352" s="1191"/>
      <c r="I2352" s="706" t="s">
        <v>2106</v>
      </c>
    </row>
    <row r="2353" spans="1:9">
      <c r="A2353" s="706">
        <v>109482</v>
      </c>
      <c r="B2353" s="706" t="s">
        <v>4039</v>
      </c>
      <c r="D2353" s="706" t="s">
        <v>1841</v>
      </c>
      <c r="H2353" s="1191"/>
      <c r="I2353" s="706" t="s">
        <v>2106</v>
      </c>
    </row>
    <row r="2354" spans="1:9">
      <c r="A2354" s="706">
        <v>109483</v>
      </c>
      <c r="B2354" s="706" t="s">
        <v>4040</v>
      </c>
      <c r="D2354" s="706" t="s">
        <v>1841</v>
      </c>
      <c r="H2354" s="1191"/>
      <c r="I2354" s="706" t="s">
        <v>2106</v>
      </c>
    </row>
    <row r="2355" spans="1:9">
      <c r="A2355" s="706">
        <v>109484</v>
      </c>
      <c r="B2355" s="706" t="s">
        <v>4041</v>
      </c>
      <c r="D2355" s="706" t="s">
        <v>1841</v>
      </c>
      <c r="H2355" s="1191"/>
      <c r="I2355" s="706" t="s">
        <v>2106</v>
      </c>
    </row>
    <row r="2356" spans="1:9">
      <c r="A2356" s="706">
        <v>109485</v>
      </c>
      <c r="B2356" s="706" t="s">
        <v>4042</v>
      </c>
      <c r="D2356" s="706" t="s">
        <v>1841</v>
      </c>
      <c r="H2356" s="1191"/>
      <c r="I2356" s="706" t="s">
        <v>2106</v>
      </c>
    </row>
    <row r="2357" spans="1:9">
      <c r="A2357" s="706">
        <v>109486</v>
      </c>
      <c r="B2357" s="706" t="s">
        <v>4043</v>
      </c>
      <c r="D2357" s="706" t="s">
        <v>1841</v>
      </c>
      <c r="H2357" s="1191"/>
      <c r="I2357" s="706" t="s">
        <v>2106</v>
      </c>
    </row>
    <row r="2358" spans="1:9">
      <c r="A2358" s="706">
        <v>109487</v>
      </c>
      <c r="B2358" s="706" t="s">
        <v>4044</v>
      </c>
      <c r="D2358" s="706" t="s">
        <v>1841</v>
      </c>
      <c r="H2358" s="1191"/>
      <c r="I2358" s="706" t="s">
        <v>2106</v>
      </c>
    </row>
    <row r="2359" spans="1:9">
      <c r="A2359" s="706">
        <v>109488</v>
      </c>
      <c r="B2359" s="706" t="s">
        <v>4045</v>
      </c>
      <c r="D2359" s="706" t="s">
        <v>1841</v>
      </c>
      <c r="H2359" s="1191"/>
      <c r="I2359" s="706" t="s">
        <v>2106</v>
      </c>
    </row>
    <row r="2360" spans="1:9">
      <c r="A2360" s="706">
        <v>109489</v>
      </c>
      <c r="B2360" s="706" t="s">
        <v>4046</v>
      </c>
      <c r="D2360" s="706" t="s">
        <v>1841</v>
      </c>
      <c r="H2360" s="1191"/>
      <c r="I2360" s="706" t="s">
        <v>2106</v>
      </c>
    </row>
    <row r="2361" spans="1:9">
      <c r="A2361" s="706">
        <v>109490</v>
      </c>
      <c r="B2361" s="706" t="s">
        <v>4047</v>
      </c>
      <c r="D2361" s="706" t="s">
        <v>1841</v>
      </c>
      <c r="H2361" s="1191"/>
      <c r="I2361" s="706" t="s">
        <v>2106</v>
      </c>
    </row>
    <row r="2362" spans="1:9">
      <c r="A2362" s="706">
        <v>109491</v>
      </c>
      <c r="B2362" s="706" t="s">
        <v>4048</v>
      </c>
      <c r="D2362" s="706" t="s">
        <v>1841</v>
      </c>
      <c r="H2362" s="1191"/>
      <c r="I2362" s="706" t="s">
        <v>2106</v>
      </c>
    </row>
    <row r="2363" spans="1:9">
      <c r="A2363" s="706">
        <v>109492</v>
      </c>
      <c r="B2363" s="706" t="s">
        <v>4049</v>
      </c>
      <c r="D2363" s="706" t="s">
        <v>1841</v>
      </c>
      <c r="H2363" s="1191"/>
      <c r="I2363" s="706" t="s">
        <v>2106</v>
      </c>
    </row>
    <row r="2364" spans="1:9">
      <c r="A2364" s="706">
        <v>109493</v>
      </c>
      <c r="B2364" s="706" t="s">
        <v>4050</v>
      </c>
      <c r="D2364" s="706" t="s">
        <v>1841</v>
      </c>
      <c r="H2364" s="1191"/>
      <c r="I2364" s="706" t="s">
        <v>2106</v>
      </c>
    </row>
    <row r="2365" spans="1:9">
      <c r="A2365" s="706">
        <v>109494</v>
      </c>
      <c r="B2365" s="706" t="s">
        <v>4051</v>
      </c>
      <c r="D2365" s="706" t="s">
        <v>1841</v>
      </c>
      <c r="H2365" s="1191"/>
      <c r="I2365" s="706" t="s">
        <v>2106</v>
      </c>
    </row>
    <row r="2366" spans="1:9">
      <c r="A2366" s="706">
        <v>109495</v>
      </c>
      <c r="B2366" s="706" t="s">
        <v>4052</v>
      </c>
      <c r="D2366" s="706" t="s">
        <v>1841</v>
      </c>
      <c r="H2366" s="1191"/>
      <c r="I2366" s="706" t="s">
        <v>2106</v>
      </c>
    </row>
    <row r="2367" spans="1:9">
      <c r="A2367" s="706">
        <v>109496</v>
      </c>
      <c r="B2367" s="706" t="s">
        <v>4053</v>
      </c>
      <c r="D2367" s="706" t="s">
        <v>1841</v>
      </c>
      <c r="H2367" s="1191"/>
      <c r="I2367" s="706" t="s">
        <v>2106</v>
      </c>
    </row>
    <row r="2368" spans="1:9">
      <c r="A2368" s="706">
        <v>109497</v>
      </c>
      <c r="B2368" s="706" t="s">
        <v>4054</v>
      </c>
      <c r="D2368" s="706" t="s">
        <v>1841</v>
      </c>
      <c r="H2368" s="1191"/>
      <c r="I2368" s="706" t="s">
        <v>2106</v>
      </c>
    </row>
    <row r="2369" spans="1:9">
      <c r="A2369" s="706">
        <v>109498</v>
      </c>
      <c r="B2369" s="706" t="s">
        <v>4055</v>
      </c>
      <c r="D2369" s="706" t="s">
        <v>1841</v>
      </c>
      <c r="H2369" s="1191"/>
      <c r="I2369" s="706" t="s">
        <v>2106</v>
      </c>
    </row>
    <row r="2370" spans="1:9">
      <c r="A2370" s="706">
        <v>109499</v>
      </c>
      <c r="B2370" s="706" t="s">
        <v>4056</v>
      </c>
      <c r="D2370" s="706" t="s">
        <v>1841</v>
      </c>
      <c r="H2370" s="1191"/>
      <c r="I2370" s="706" t="s">
        <v>2106</v>
      </c>
    </row>
    <row r="2371" spans="1:9">
      <c r="A2371" s="706">
        <v>109500</v>
      </c>
      <c r="B2371" s="706" t="s">
        <v>4057</v>
      </c>
      <c r="D2371" s="706" t="s">
        <v>1841</v>
      </c>
      <c r="H2371" s="1191"/>
      <c r="I2371" s="706" t="s">
        <v>2106</v>
      </c>
    </row>
    <row r="2372" spans="1:9">
      <c r="A2372" s="706">
        <v>109501</v>
      </c>
      <c r="B2372" s="706" t="s">
        <v>4058</v>
      </c>
      <c r="D2372" s="706" t="s">
        <v>1841</v>
      </c>
      <c r="H2372" s="1191"/>
      <c r="I2372" s="706" t="s">
        <v>2106</v>
      </c>
    </row>
    <row r="2373" spans="1:9">
      <c r="A2373" s="706">
        <v>109502</v>
      </c>
      <c r="B2373" s="706" t="s">
        <v>4059</v>
      </c>
      <c r="D2373" s="706" t="s">
        <v>1841</v>
      </c>
      <c r="H2373" s="1191"/>
      <c r="I2373" s="706" t="s">
        <v>2106</v>
      </c>
    </row>
    <row r="2374" spans="1:9">
      <c r="A2374" s="706">
        <v>109503</v>
      </c>
      <c r="B2374" s="706" t="s">
        <v>4060</v>
      </c>
      <c r="D2374" s="706" t="s">
        <v>1841</v>
      </c>
      <c r="H2374" s="1191"/>
      <c r="I2374" s="706" t="s">
        <v>2106</v>
      </c>
    </row>
    <row r="2375" spans="1:9">
      <c r="A2375" s="706">
        <v>109504</v>
      </c>
      <c r="B2375" s="706" t="s">
        <v>4061</v>
      </c>
      <c r="D2375" s="706" t="s">
        <v>1841</v>
      </c>
      <c r="H2375" s="1191"/>
      <c r="I2375" s="706" t="s">
        <v>2106</v>
      </c>
    </row>
    <row r="2376" spans="1:9">
      <c r="A2376" s="706">
        <v>109505</v>
      </c>
      <c r="B2376" s="706" t="s">
        <v>4062</v>
      </c>
      <c r="D2376" s="706" t="s">
        <v>1841</v>
      </c>
      <c r="H2376" s="1191"/>
      <c r="I2376" s="706" t="s">
        <v>2106</v>
      </c>
    </row>
    <row r="2377" spans="1:9">
      <c r="A2377" s="706">
        <v>109506</v>
      </c>
      <c r="B2377" s="706" t="s">
        <v>4063</v>
      </c>
      <c r="D2377" s="706" t="s">
        <v>1841</v>
      </c>
      <c r="H2377" s="1191"/>
      <c r="I2377" s="706" t="s">
        <v>2106</v>
      </c>
    </row>
    <row r="2378" spans="1:9">
      <c r="A2378" s="706">
        <v>109507</v>
      </c>
      <c r="B2378" s="706" t="s">
        <v>4064</v>
      </c>
      <c r="D2378" s="706" t="s">
        <v>1841</v>
      </c>
      <c r="H2378" s="1191"/>
      <c r="I2378" s="706" t="s">
        <v>2106</v>
      </c>
    </row>
    <row r="2379" spans="1:9">
      <c r="A2379" s="706">
        <v>109508</v>
      </c>
      <c r="B2379" s="706" t="s">
        <v>4065</v>
      </c>
      <c r="D2379" s="706" t="s">
        <v>1841</v>
      </c>
      <c r="H2379" s="1191"/>
      <c r="I2379" s="706" t="s">
        <v>2106</v>
      </c>
    </row>
    <row r="2380" spans="1:9">
      <c r="A2380" s="706">
        <v>109509</v>
      </c>
      <c r="B2380" s="706" t="s">
        <v>4066</v>
      </c>
      <c r="D2380" s="706" t="s">
        <v>1841</v>
      </c>
      <c r="H2380" s="1191"/>
      <c r="I2380" s="706" t="s">
        <v>2106</v>
      </c>
    </row>
    <row r="2381" spans="1:9">
      <c r="A2381" s="706">
        <v>109510</v>
      </c>
      <c r="B2381" s="706" t="s">
        <v>4067</v>
      </c>
      <c r="D2381" s="706" t="s">
        <v>1841</v>
      </c>
      <c r="H2381" s="1191"/>
      <c r="I2381" s="706" t="s">
        <v>2106</v>
      </c>
    </row>
    <row r="2382" spans="1:9">
      <c r="A2382" s="706">
        <v>109511</v>
      </c>
      <c r="B2382" s="706" t="s">
        <v>4068</v>
      </c>
      <c r="D2382" s="706" t="s">
        <v>1841</v>
      </c>
      <c r="H2382" s="1191"/>
      <c r="I2382" s="706" t="s">
        <v>2106</v>
      </c>
    </row>
    <row r="2383" spans="1:9">
      <c r="A2383" s="706">
        <v>109512</v>
      </c>
      <c r="B2383" s="706" t="s">
        <v>4069</v>
      </c>
      <c r="D2383" s="706" t="s">
        <v>1841</v>
      </c>
      <c r="H2383" s="1191"/>
      <c r="I2383" s="706" t="s">
        <v>2106</v>
      </c>
    </row>
    <row r="2384" spans="1:9">
      <c r="A2384" s="706">
        <v>109513</v>
      </c>
      <c r="B2384" s="706" t="s">
        <v>4070</v>
      </c>
      <c r="D2384" s="706" t="s">
        <v>1841</v>
      </c>
      <c r="H2384" s="1191"/>
      <c r="I2384" s="706" t="s">
        <v>2106</v>
      </c>
    </row>
    <row r="2385" spans="1:9">
      <c r="A2385" s="706">
        <v>109514</v>
      </c>
      <c r="B2385" s="706" t="s">
        <v>4071</v>
      </c>
      <c r="D2385" s="706" t="s">
        <v>1841</v>
      </c>
      <c r="H2385" s="1191"/>
      <c r="I2385" s="706" t="s">
        <v>2106</v>
      </c>
    </row>
    <row r="2386" spans="1:9">
      <c r="A2386" s="706">
        <v>109515</v>
      </c>
      <c r="B2386" s="706" t="s">
        <v>4072</v>
      </c>
      <c r="D2386" s="706" t="s">
        <v>1841</v>
      </c>
      <c r="H2386" s="1191"/>
      <c r="I2386" s="706" t="s">
        <v>2106</v>
      </c>
    </row>
    <row r="2387" spans="1:9">
      <c r="A2387" s="706">
        <v>109516</v>
      </c>
      <c r="B2387" s="706" t="s">
        <v>4073</v>
      </c>
      <c r="D2387" s="706" t="s">
        <v>1841</v>
      </c>
      <c r="H2387" s="1191"/>
      <c r="I2387" s="706" t="s">
        <v>2106</v>
      </c>
    </row>
    <row r="2388" spans="1:9">
      <c r="A2388" s="706">
        <v>109517</v>
      </c>
      <c r="B2388" s="706" t="s">
        <v>4074</v>
      </c>
      <c r="D2388" s="706" t="s">
        <v>1841</v>
      </c>
      <c r="H2388" s="1191"/>
      <c r="I2388" s="706" t="s">
        <v>2106</v>
      </c>
    </row>
    <row r="2389" spans="1:9">
      <c r="A2389" s="706">
        <v>109518</v>
      </c>
      <c r="B2389" s="706" t="s">
        <v>4075</v>
      </c>
      <c r="D2389" s="706" t="s">
        <v>1841</v>
      </c>
      <c r="H2389" s="1191"/>
      <c r="I2389" s="706" t="s">
        <v>2106</v>
      </c>
    </row>
    <row r="2390" spans="1:9">
      <c r="A2390" s="706">
        <v>109519</v>
      </c>
      <c r="B2390" s="706" t="s">
        <v>4076</v>
      </c>
      <c r="D2390" s="706" t="s">
        <v>1841</v>
      </c>
      <c r="H2390" s="1191"/>
      <c r="I2390" s="706" t="s">
        <v>2106</v>
      </c>
    </row>
    <row r="2391" spans="1:9">
      <c r="A2391" s="706">
        <v>109520</v>
      </c>
      <c r="B2391" s="706" t="s">
        <v>4077</v>
      </c>
      <c r="C2391" s="706" t="s">
        <v>8189</v>
      </c>
      <c r="D2391" s="706" t="s">
        <v>1841</v>
      </c>
      <c r="E2391" s="706">
        <v>99.5</v>
      </c>
      <c r="F2391" s="706" t="s">
        <v>28</v>
      </c>
      <c r="G2391" s="706">
        <v>410633</v>
      </c>
      <c r="H2391" s="1191">
        <v>45856</v>
      </c>
      <c r="I2391" s="706" t="s">
        <v>2106</v>
      </c>
    </row>
    <row r="2392" spans="1:9">
      <c r="A2392" s="706">
        <v>109521</v>
      </c>
      <c r="B2392" s="706" t="s">
        <v>4078</v>
      </c>
      <c r="D2392" s="706" t="s">
        <v>1841</v>
      </c>
      <c r="H2392" s="1191"/>
      <c r="I2392" s="706" t="s">
        <v>2106</v>
      </c>
    </row>
    <row r="2393" spans="1:9">
      <c r="A2393" s="706">
        <v>109522</v>
      </c>
      <c r="B2393" s="706" t="s">
        <v>4079</v>
      </c>
      <c r="D2393" s="706" t="s">
        <v>1841</v>
      </c>
      <c r="H2393" s="1191"/>
      <c r="I2393" s="706" t="s">
        <v>2106</v>
      </c>
    </row>
    <row r="2394" spans="1:9">
      <c r="A2394" s="706">
        <v>109523</v>
      </c>
      <c r="B2394" s="706" t="s">
        <v>4080</v>
      </c>
      <c r="D2394" s="706" t="s">
        <v>1841</v>
      </c>
      <c r="H2394" s="1191"/>
      <c r="I2394" s="706" t="s">
        <v>2106</v>
      </c>
    </row>
    <row r="2395" spans="1:9">
      <c r="A2395" s="706">
        <v>109524</v>
      </c>
      <c r="B2395" s="706" t="s">
        <v>4081</v>
      </c>
      <c r="D2395" s="706" t="s">
        <v>1841</v>
      </c>
      <c r="H2395" s="1191"/>
      <c r="I2395" s="706" t="s">
        <v>2106</v>
      </c>
    </row>
    <row r="2396" spans="1:9">
      <c r="A2396" s="706">
        <v>109525</v>
      </c>
      <c r="B2396" s="706" t="s">
        <v>4082</v>
      </c>
      <c r="D2396" s="706" t="s">
        <v>1841</v>
      </c>
      <c r="H2396" s="1191"/>
      <c r="I2396" s="706" t="s">
        <v>2106</v>
      </c>
    </row>
    <row r="2397" spans="1:9">
      <c r="A2397" s="706">
        <v>109526</v>
      </c>
      <c r="B2397" s="706" t="s">
        <v>4083</v>
      </c>
      <c r="C2397" s="706" t="s">
        <v>8189</v>
      </c>
      <c r="D2397" s="706" t="s">
        <v>1841</v>
      </c>
      <c r="E2397" s="706">
        <v>39.880000000000003</v>
      </c>
      <c r="F2397" s="706" t="s">
        <v>28</v>
      </c>
      <c r="G2397" s="706">
        <v>403535</v>
      </c>
      <c r="H2397" s="1191">
        <v>44419</v>
      </c>
      <c r="I2397" s="706" t="s">
        <v>2106</v>
      </c>
    </row>
    <row r="2398" spans="1:9">
      <c r="A2398" s="706">
        <v>109527</v>
      </c>
      <c r="B2398" s="706" t="s">
        <v>4084</v>
      </c>
      <c r="D2398" s="706" t="s">
        <v>1841</v>
      </c>
      <c r="H2398" s="1191"/>
      <c r="I2398" s="706" t="s">
        <v>2106</v>
      </c>
    </row>
    <row r="2399" spans="1:9">
      <c r="A2399" s="706">
        <v>109528</v>
      </c>
      <c r="B2399" s="706" t="s">
        <v>4085</v>
      </c>
      <c r="D2399" s="706" t="s">
        <v>1841</v>
      </c>
      <c r="H2399" s="1191"/>
      <c r="I2399" s="706" t="s">
        <v>2106</v>
      </c>
    </row>
    <row r="2400" spans="1:9">
      <c r="A2400" s="706">
        <v>109529</v>
      </c>
      <c r="B2400" s="706" t="s">
        <v>4086</v>
      </c>
      <c r="D2400" s="706" t="s">
        <v>1841</v>
      </c>
      <c r="H2400" s="1191"/>
      <c r="I2400" s="706" t="s">
        <v>2106</v>
      </c>
    </row>
    <row r="2401" spans="1:9">
      <c r="A2401" s="706">
        <v>109530</v>
      </c>
      <c r="B2401" s="706" t="s">
        <v>4087</v>
      </c>
      <c r="D2401" s="706" t="s">
        <v>1841</v>
      </c>
      <c r="H2401" s="1191"/>
      <c r="I2401" s="706" t="s">
        <v>2106</v>
      </c>
    </row>
    <row r="2402" spans="1:9">
      <c r="A2402" s="706">
        <v>109531</v>
      </c>
      <c r="B2402" s="706" t="s">
        <v>4088</v>
      </c>
      <c r="D2402" s="706" t="s">
        <v>1841</v>
      </c>
      <c r="H2402" s="1191"/>
      <c r="I2402" s="706" t="s">
        <v>2106</v>
      </c>
    </row>
    <row r="2403" spans="1:9">
      <c r="A2403" s="706">
        <v>109532</v>
      </c>
      <c r="B2403" s="706" t="s">
        <v>4089</v>
      </c>
      <c r="D2403" s="706" t="s">
        <v>1841</v>
      </c>
      <c r="H2403" s="1191"/>
      <c r="I2403" s="706" t="s">
        <v>2106</v>
      </c>
    </row>
    <row r="2404" spans="1:9">
      <c r="A2404" s="706">
        <v>109533</v>
      </c>
      <c r="B2404" s="706" t="s">
        <v>4090</v>
      </c>
      <c r="D2404" s="706" t="s">
        <v>1841</v>
      </c>
      <c r="H2404" s="1191"/>
      <c r="I2404" s="706" t="s">
        <v>2106</v>
      </c>
    </row>
    <row r="2405" spans="1:9">
      <c r="A2405" s="706">
        <v>109534</v>
      </c>
      <c r="B2405" s="706" t="s">
        <v>4091</v>
      </c>
      <c r="D2405" s="706" t="s">
        <v>1841</v>
      </c>
      <c r="H2405" s="1191"/>
      <c r="I2405" s="706" t="s">
        <v>2106</v>
      </c>
    </row>
    <row r="2406" spans="1:9">
      <c r="A2406" s="706">
        <v>109535</v>
      </c>
      <c r="B2406" s="706" t="s">
        <v>4092</v>
      </c>
      <c r="D2406" s="706" t="s">
        <v>1841</v>
      </c>
      <c r="H2406" s="1191"/>
      <c r="I2406" s="706" t="s">
        <v>2106</v>
      </c>
    </row>
    <row r="2407" spans="1:9">
      <c r="A2407" s="706">
        <v>109536</v>
      </c>
      <c r="B2407" s="706" t="s">
        <v>4093</v>
      </c>
      <c r="D2407" s="706" t="s">
        <v>1841</v>
      </c>
      <c r="H2407" s="1191"/>
      <c r="I2407" s="706" t="s">
        <v>2106</v>
      </c>
    </row>
    <row r="2408" spans="1:9">
      <c r="A2408" s="706">
        <v>109537</v>
      </c>
      <c r="B2408" s="706" t="s">
        <v>4094</v>
      </c>
      <c r="D2408" s="706" t="s">
        <v>1841</v>
      </c>
      <c r="H2408" s="1191"/>
      <c r="I2408" s="706" t="s">
        <v>2106</v>
      </c>
    </row>
    <row r="2409" spans="1:9">
      <c r="A2409" s="706">
        <v>109538</v>
      </c>
      <c r="B2409" s="706" t="s">
        <v>4095</v>
      </c>
      <c r="D2409" s="706" t="s">
        <v>1841</v>
      </c>
      <c r="H2409" s="1191"/>
      <c r="I2409" s="706" t="s">
        <v>2106</v>
      </c>
    </row>
    <row r="2410" spans="1:9">
      <c r="A2410" s="706">
        <v>109539</v>
      </c>
      <c r="B2410" s="706" t="s">
        <v>4096</v>
      </c>
      <c r="D2410" s="706" t="s">
        <v>1841</v>
      </c>
      <c r="H2410" s="1191"/>
      <c r="I2410" s="706" t="s">
        <v>2106</v>
      </c>
    </row>
    <row r="2411" spans="1:9">
      <c r="A2411" s="706">
        <v>109540</v>
      </c>
      <c r="B2411" s="706" t="s">
        <v>4097</v>
      </c>
      <c r="D2411" s="706" t="s">
        <v>1841</v>
      </c>
      <c r="H2411" s="1191"/>
      <c r="I2411" s="706" t="s">
        <v>2106</v>
      </c>
    </row>
    <row r="2412" spans="1:9">
      <c r="A2412" s="706">
        <v>109541</v>
      </c>
      <c r="B2412" s="706" t="s">
        <v>4098</v>
      </c>
      <c r="D2412" s="706" t="s">
        <v>1841</v>
      </c>
      <c r="H2412" s="1191"/>
      <c r="I2412" s="706" t="s">
        <v>2106</v>
      </c>
    </row>
    <row r="2413" spans="1:9">
      <c r="A2413" s="706">
        <v>109542</v>
      </c>
      <c r="B2413" s="706" t="s">
        <v>4099</v>
      </c>
      <c r="D2413" s="706" t="s">
        <v>1841</v>
      </c>
      <c r="H2413" s="1191"/>
      <c r="I2413" s="706" t="s">
        <v>2106</v>
      </c>
    </row>
    <row r="2414" spans="1:9">
      <c r="A2414" s="706">
        <v>109543</v>
      </c>
      <c r="B2414" s="706" t="s">
        <v>4100</v>
      </c>
      <c r="D2414" s="706" t="s">
        <v>1841</v>
      </c>
      <c r="H2414" s="1191"/>
      <c r="I2414" s="706" t="s">
        <v>2106</v>
      </c>
    </row>
    <row r="2415" spans="1:9">
      <c r="A2415" s="706">
        <v>109544</v>
      </c>
      <c r="B2415" s="706" t="s">
        <v>4101</v>
      </c>
      <c r="D2415" s="706" t="s">
        <v>1841</v>
      </c>
      <c r="H2415" s="1191"/>
      <c r="I2415" s="706" t="s">
        <v>2106</v>
      </c>
    </row>
    <row r="2416" spans="1:9">
      <c r="A2416" s="706">
        <v>109545</v>
      </c>
      <c r="B2416" s="706" t="s">
        <v>4102</v>
      </c>
      <c r="D2416" s="706" t="s">
        <v>1841</v>
      </c>
      <c r="H2416" s="1191"/>
      <c r="I2416" s="706" t="s">
        <v>2106</v>
      </c>
    </row>
    <row r="2417" spans="1:9">
      <c r="A2417" s="706">
        <v>109546</v>
      </c>
      <c r="B2417" s="706" t="s">
        <v>4103</v>
      </c>
      <c r="D2417" s="706" t="s">
        <v>1841</v>
      </c>
      <c r="H2417" s="1191"/>
      <c r="I2417" s="706" t="s">
        <v>2106</v>
      </c>
    </row>
    <row r="2418" spans="1:9">
      <c r="A2418" s="706">
        <v>109547</v>
      </c>
      <c r="B2418" s="706" t="s">
        <v>4104</v>
      </c>
      <c r="D2418" s="706" t="s">
        <v>1841</v>
      </c>
      <c r="H2418" s="1191"/>
      <c r="I2418" s="706" t="s">
        <v>2106</v>
      </c>
    </row>
    <row r="2419" spans="1:9">
      <c r="A2419" s="706">
        <v>109548</v>
      </c>
      <c r="B2419" s="706" t="s">
        <v>4105</v>
      </c>
      <c r="D2419" s="706" t="s">
        <v>1841</v>
      </c>
      <c r="H2419" s="1191"/>
      <c r="I2419" s="706" t="s">
        <v>2106</v>
      </c>
    </row>
    <row r="2420" spans="1:9">
      <c r="A2420" s="706">
        <v>109549</v>
      </c>
      <c r="B2420" s="706" t="s">
        <v>4106</v>
      </c>
      <c r="D2420" s="706" t="s">
        <v>1841</v>
      </c>
      <c r="H2420" s="1191"/>
      <c r="I2420" s="706" t="s">
        <v>2106</v>
      </c>
    </row>
    <row r="2421" spans="1:9">
      <c r="A2421" s="706">
        <v>109550</v>
      </c>
      <c r="B2421" s="706" t="s">
        <v>4107</v>
      </c>
      <c r="D2421" s="706" t="s">
        <v>1841</v>
      </c>
      <c r="H2421" s="1191"/>
      <c r="I2421" s="706" t="s">
        <v>2106</v>
      </c>
    </row>
    <row r="2422" spans="1:9">
      <c r="A2422" s="706">
        <v>109551</v>
      </c>
      <c r="B2422" s="706" t="s">
        <v>4108</v>
      </c>
      <c r="D2422" s="706" t="s">
        <v>1841</v>
      </c>
      <c r="H2422" s="1191"/>
      <c r="I2422" s="706" t="s">
        <v>2106</v>
      </c>
    </row>
    <row r="2423" spans="1:9">
      <c r="A2423" s="706">
        <v>109552</v>
      </c>
      <c r="B2423" s="706" t="s">
        <v>4109</v>
      </c>
      <c r="D2423" s="706" t="s">
        <v>1841</v>
      </c>
      <c r="H2423" s="1191"/>
      <c r="I2423" s="706" t="s">
        <v>2106</v>
      </c>
    </row>
    <row r="2424" spans="1:9">
      <c r="A2424" s="706">
        <v>109553</v>
      </c>
      <c r="B2424" s="706" t="s">
        <v>4110</v>
      </c>
      <c r="D2424" s="706" t="s">
        <v>1841</v>
      </c>
      <c r="H2424" s="1191"/>
      <c r="I2424" s="706" t="s">
        <v>2106</v>
      </c>
    </row>
    <row r="2425" spans="1:9">
      <c r="A2425" s="706">
        <v>109554</v>
      </c>
      <c r="B2425" s="706" t="s">
        <v>4111</v>
      </c>
      <c r="D2425" s="706" t="s">
        <v>1841</v>
      </c>
      <c r="H2425" s="1191"/>
      <c r="I2425" s="706" t="s">
        <v>2106</v>
      </c>
    </row>
    <row r="2426" spans="1:9">
      <c r="A2426" s="706">
        <v>109555</v>
      </c>
      <c r="B2426" s="706" t="s">
        <v>4112</v>
      </c>
      <c r="D2426" s="706" t="s">
        <v>1841</v>
      </c>
      <c r="H2426" s="1191"/>
      <c r="I2426" s="706" t="s">
        <v>2106</v>
      </c>
    </row>
    <row r="2427" spans="1:9">
      <c r="A2427" s="706">
        <v>109556</v>
      </c>
      <c r="B2427" s="706" t="s">
        <v>4113</v>
      </c>
      <c r="C2427" s="706" t="s">
        <v>8189</v>
      </c>
      <c r="D2427" s="706" t="s">
        <v>1841</v>
      </c>
      <c r="E2427" s="706">
        <v>79.849999999999994</v>
      </c>
      <c r="F2427" s="706" t="s">
        <v>28</v>
      </c>
      <c r="G2427" s="706">
        <v>406670</v>
      </c>
      <c r="H2427" s="1191">
        <v>45069</v>
      </c>
      <c r="I2427" s="706" t="s">
        <v>2106</v>
      </c>
    </row>
    <row r="2428" spans="1:9">
      <c r="A2428" s="706">
        <v>109557</v>
      </c>
      <c r="B2428" s="706" t="s">
        <v>4114</v>
      </c>
      <c r="D2428" s="706" t="s">
        <v>1841</v>
      </c>
      <c r="H2428" s="1191"/>
      <c r="I2428" s="706" t="s">
        <v>2106</v>
      </c>
    </row>
    <row r="2429" spans="1:9">
      <c r="A2429" s="706">
        <v>109558</v>
      </c>
      <c r="B2429" s="706" t="s">
        <v>4115</v>
      </c>
      <c r="D2429" s="706" t="s">
        <v>1841</v>
      </c>
      <c r="H2429" s="1191"/>
      <c r="I2429" s="706" t="s">
        <v>2106</v>
      </c>
    </row>
    <row r="2430" spans="1:9">
      <c r="A2430" s="706">
        <v>109559</v>
      </c>
      <c r="B2430" s="706" t="s">
        <v>4116</v>
      </c>
      <c r="D2430" s="706" t="s">
        <v>1841</v>
      </c>
      <c r="H2430" s="1191"/>
      <c r="I2430" s="706" t="s">
        <v>2106</v>
      </c>
    </row>
    <row r="2431" spans="1:9">
      <c r="A2431" s="706">
        <v>109560</v>
      </c>
      <c r="B2431" s="706" t="s">
        <v>4117</v>
      </c>
      <c r="D2431" s="706" t="s">
        <v>1841</v>
      </c>
      <c r="H2431" s="1191"/>
      <c r="I2431" s="706" t="s">
        <v>2106</v>
      </c>
    </row>
    <row r="2432" spans="1:9">
      <c r="A2432" s="706">
        <v>109561</v>
      </c>
      <c r="B2432" s="706" t="s">
        <v>4118</v>
      </c>
      <c r="D2432" s="706" t="s">
        <v>1841</v>
      </c>
      <c r="H2432" s="1191"/>
      <c r="I2432" s="706" t="s">
        <v>2106</v>
      </c>
    </row>
    <row r="2433" spans="1:9">
      <c r="A2433" s="706">
        <v>109562</v>
      </c>
      <c r="B2433" s="706" t="s">
        <v>4119</v>
      </c>
      <c r="C2433" s="706" t="s">
        <v>8189</v>
      </c>
      <c r="D2433" s="706" t="s">
        <v>1841</v>
      </c>
      <c r="E2433" s="706">
        <v>33.75</v>
      </c>
      <c r="F2433" s="706" t="s">
        <v>28</v>
      </c>
      <c r="G2433" s="706">
        <v>409210</v>
      </c>
      <c r="H2433" s="1191">
        <v>45561</v>
      </c>
      <c r="I2433" s="706" t="s">
        <v>2106</v>
      </c>
    </row>
    <row r="2434" spans="1:9">
      <c r="A2434" s="706">
        <v>109563</v>
      </c>
      <c r="B2434" s="706" t="s">
        <v>4120</v>
      </c>
      <c r="D2434" s="706" t="s">
        <v>1841</v>
      </c>
      <c r="H2434" s="1191"/>
      <c r="I2434" s="706" t="s">
        <v>2106</v>
      </c>
    </row>
    <row r="2435" spans="1:9">
      <c r="A2435" s="706">
        <v>109564</v>
      </c>
      <c r="B2435" s="706" t="s">
        <v>4121</v>
      </c>
      <c r="D2435" s="706" t="s">
        <v>1841</v>
      </c>
      <c r="H2435" s="1191"/>
      <c r="I2435" s="706" t="s">
        <v>2106</v>
      </c>
    </row>
    <row r="2436" spans="1:9">
      <c r="A2436" s="706">
        <v>109565</v>
      </c>
      <c r="B2436" s="706" t="s">
        <v>4122</v>
      </c>
      <c r="C2436" s="706" t="s">
        <v>8186</v>
      </c>
      <c r="D2436" s="706" t="s">
        <v>1841</v>
      </c>
      <c r="E2436" s="706">
        <v>25.8</v>
      </c>
      <c r="F2436" s="706" t="s">
        <v>28</v>
      </c>
      <c r="G2436" s="706">
        <v>408508</v>
      </c>
      <c r="H2436" s="1191">
        <v>45432</v>
      </c>
      <c r="I2436" s="706" t="s">
        <v>2106</v>
      </c>
    </row>
    <row r="2437" spans="1:9">
      <c r="A2437" s="706">
        <v>109566</v>
      </c>
      <c r="B2437" s="706" t="s">
        <v>4123</v>
      </c>
      <c r="D2437" s="706" t="s">
        <v>1841</v>
      </c>
      <c r="H2437" s="1191"/>
      <c r="I2437" s="706" t="s">
        <v>2106</v>
      </c>
    </row>
    <row r="2438" spans="1:9">
      <c r="A2438" s="706">
        <v>109567</v>
      </c>
      <c r="B2438" s="706" t="s">
        <v>4124</v>
      </c>
      <c r="D2438" s="706" t="s">
        <v>1841</v>
      </c>
      <c r="H2438" s="1191"/>
      <c r="I2438" s="706" t="s">
        <v>2106</v>
      </c>
    </row>
    <row r="2439" spans="1:9">
      <c r="A2439" s="706">
        <v>109568</v>
      </c>
      <c r="B2439" s="706" t="s">
        <v>4125</v>
      </c>
      <c r="D2439" s="706" t="s">
        <v>1841</v>
      </c>
      <c r="H2439" s="1191"/>
      <c r="I2439" s="706" t="s">
        <v>2106</v>
      </c>
    </row>
    <row r="2440" spans="1:9">
      <c r="A2440" s="706">
        <v>109569</v>
      </c>
      <c r="B2440" s="706" t="s">
        <v>4126</v>
      </c>
      <c r="D2440" s="706" t="s">
        <v>1841</v>
      </c>
      <c r="H2440" s="1191"/>
      <c r="I2440" s="706" t="s">
        <v>2106</v>
      </c>
    </row>
    <row r="2441" spans="1:9">
      <c r="A2441" s="706">
        <v>109570</v>
      </c>
      <c r="B2441" s="706" t="s">
        <v>4127</v>
      </c>
      <c r="D2441" s="706" t="s">
        <v>1841</v>
      </c>
      <c r="H2441" s="1191"/>
      <c r="I2441" s="706" t="s">
        <v>2106</v>
      </c>
    </row>
    <row r="2442" spans="1:9">
      <c r="A2442" s="706">
        <v>109571</v>
      </c>
      <c r="B2442" s="706" t="s">
        <v>4128</v>
      </c>
      <c r="D2442" s="706" t="s">
        <v>1841</v>
      </c>
      <c r="H2442" s="1191"/>
      <c r="I2442" s="706" t="s">
        <v>2106</v>
      </c>
    </row>
    <row r="2443" spans="1:9">
      <c r="A2443" s="706">
        <v>109572</v>
      </c>
      <c r="B2443" s="706" t="s">
        <v>4129</v>
      </c>
      <c r="D2443" s="706" t="s">
        <v>1841</v>
      </c>
      <c r="H2443" s="1191"/>
      <c r="I2443" s="706" t="s">
        <v>2106</v>
      </c>
    </row>
    <row r="2444" spans="1:9">
      <c r="A2444" s="706">
        <v>109573</v>
      </c>
      <c r="B2444" s="706" t="s">
        <v>4130</v>
      </c>
      <c r="D2444" s="706" t="s">
        <v>1841</v>
      </c>
      <c r="H2444" s="1191"/>
      <c r="I2444" s="706" t="s">
        <v>2106</v>
      </c>
    </row>
    <row r="2445" spans="1:9">
      <c r="A2445" s="706">
        <v>109574</v>
      </c>
      <c r="B2445" s="706" t="s">
        <v>4131</v>
      </c>
      <c r="C2445" s="706" t="s">
        <v>3199</v>
      </c>
      <c r="D2445" s="706" t="s">
        <v>1841</v>
      </c>
      <c r="E2445" s="706">
        <v>0</v>
      </c>
      <c r="F2445" s="706" t="s">
        <v>28</v>
      </c>
      <c r="G2445" s="706">
        <v>410118</v>
      </c>
      <c r="H2445" s="1191">
        <v>45754</v>
      </c>
      <c r="I2445" s="706" t="s">
        <v>2106</v>
      </c>
    </row>
    <row r="2446" spans="1:9">
      <c r="A2446" s="706">
        <v>109575</v>
      </c>
      <c r="B2446" s="706" t="s">
        <v>4132</v>
      </c>
      <c r="D2446" s="706" t="s">
        <v>1841</v>
      </c>
      <c r="H2446" s="1191"/>
      <c r="I2446" s="706" t="s">
        <v>2106</v>
      </c>
    </row>
    <row r="2447" spans="1:9">
      <c r="A2447" s="706">
        <v>109576</v>
      </c>
      <c r="B2447" s="706" t="s">
        <v>4133</v>
      </c>
      <c r="D2447" s="706" t="s">
        <v>1841</v>
      </c>
      <c r="H2447" s="1191"/>
      <c r="I2447" s="706" t="s">
        <v>2106</v>
      </c>
    </row>
    <row r="2448" spans="1:9">
      <c r="A2448" s="706">
        <v>109577</v>
      </c>
      <c r="B2448" s="706" t="s">
        <v>4134</v>
      </c>
      <c r="D2448" s="706" t="s">
        <v>1841</v>
      </c>
      <c r="H2448" s="1191"/>
      <c r="I2448" s="706" t="s">
        <v>2106</v>
      </c>
    </row>
    <row r="2449" spans="1:9">
      <c r="A2449" s="706">
        <v>109578</v>
      </c>
      <c r="B2449" s="706" t="s">
        <v>4135</v>
      </c>
      <c r="D2449" s="706" t="s">
        <v>1841</v>
      </c>
      <c r="H2449" s="1191"/>
      <c r="I2449" s="706" t="s">
        <v>2106</v>
      </c>
    </row>
    <row r="2450" spans="1:9">
      <c r="A2450" s="706">
        <v>109579</v>
      </c>
      <c r="B2450" s="706" t="s">
        <v>4136</v>
      </c>
      <c r="D2450" s="706" t="s">
        <v>1841</v>
      </c>
      <c r="H2450" s="1191"/>
      <c r="I2450" s="706" t="s">
        <v>2106</v>
      </c>
    </row>
    <row r="2451" spans="1:9">
      <c r="A2451" s="706">
        <v>109580</v>
      </c>
      <c r="B2451" s="706" t="s">
        <v>4137</v>
      </c>
      <c r="D2451" s="706" t="s">
        <v>1841</v>
      </c>
      <c r="H2451" s="1191"/>
      <c r="I2451" s="706" t="s">
        <v>2106</v>
      </c>
    </row>
    <row r="2452" spans="1:9">
      <c r="A2452" s="706">
        <v>109581</v>
      </c>
      <c r="B2452" s="706" t="s">
        <v>4138</v>
      </c>
      <c r="D2452" s="706" t="s">
        <v>1841</v>
      </c>
      <c r="H2452" s="1191"/>
      <c r="I2452" s="706" t="s">
        <v>2106</v>
      </c>
    </row>
    <row r="2453" spans="1:9">
      <c r="A2453" s="706">
        <v>109582</v>
      </c>
      <c r="B2453" s="706" t="s">
        <v>4139</v>
      </c>
      <c r="D2453" s="706" t="s">
        <v>1841</v>
      </c>
      <c r="H2453" s="1191"/>
      <c r="I2453" s="706" t="s">
        <v>2106</v>
      </c>
    </row>
    <row r="2454" spans="1:9">
      <c r="A2454" s="706">
        <v>109583</v>
      </c>
      <c r="B2454" s="706" t="s">
        <v>4140</v>
      </c>
      <c r="D2454" s="706" t="s">
        <v>1841</v>
      </c>
      <c r="H2454" s="1191"/>
      <c r="I2454" s="706" t="s">
        <v>2106</v>
      </c>
    </row>
    <row r="2455" spans="1:9">
      <c r="A2455" s="706">
        <v>109584</v>
      </c>
      <c r="B2455" s="706" t="s">
        <v>4141</v>
      </c>
      <c r="D2455" s="706" t="s">
        <v>1841</v>
      </c>
      <c r="H2455" s="1191"/>
      <c r="I2455" s="706" t="s">
        <v>2106</v>
      </c>
    </row>
    <row r="2456" spans="1:9">
      <c r="A2456" s="706">
        <v>109585</v>
      </c>
      <c r="B2456" s="706" t="s">
        <v>4142</v>
      </c>
      <c r="D2456" s="706" t="s">
        <v>1841</v>
      </c>
      <c r="H2456" s="1191"/>
      <c r="I2456" s="706" t="s">
        <v>2106</v>
      </c>
    </row>
    <row r="2457" spans="1:9">
      <c r="A2457" s="706">
        <v>109586</v>
      </c>
      <c r="B2457" s="706" t="s">
        <v>4143</v>
      </c>
      <c r="D2457" s="706" t="s">
        <v>1841</v>
      </c>
      <c r="H2457" s="1191"/>
      <c r="I2457" s="706" t="s">
        <v>2106</v>
      </c>
    </row>
    <row r="2458" spans="1:9">
      <c r="A2458" s="706">
        <v>109587</v>
      </c>
      <c r="B2458" s="706" t="s">
        <v>4144</v>
      </c>
      <c r="D2458" s="706" t="s">
        <v>1841</v>
      </c>
      <c r="H2458" s="1191"/>
      <c r="I2458" s="706" t="s">
        <v>2106</v>
      </c>
    </row>
    <row r="2459" spans="1:9">
      <c r="A2459" s="706">
        <v>109588</v>
      </c>
      <c r="B2459" s="706" t="s">
        <v>4145</v>
      </c>
      <c r="D2459" s="706" t="s">
        <v>1841</v>
      </c>
      <c r="H2459" s="1191"/>
      <c r="I2459" s="706" t="s">
        <v>2106</v>
      </c>
    </row>
    <row r="2460" spans="1:9">
      <c r="A2460" s="706">
        <v>109589</v>
      </c>
      <c r="B2460" s="706" t="s">
        <v>4146</v>
      </c>
      <c r="D2460" s="706" t="s">
        <v>1841</v>
      </c>
      <c r="H2460" s="1191"/>
      <c r="I2460" s="706" t="s">
        <v>2106</v>
      </c>
    </row>
    <row r="2461" spans="1:9">
      <c r="A2461" s="706">
        <v>109590</v>
      </c>
      <c r="B2461" s="706" t="s">
        <v>4147</v>
      </c>
      <c r="D2461" s="706" t="s">
        <v>1841</v>
      </c>
      <c r="H2461" s="1191"/>
      <c r="I2461" s="706" t="s">
        <v>2106</v>
      </c>
    </row>
    <row r="2462" spans="1:9">
      <c r="A2462" s="706">
        <v>109591</v>
      </c>
      <c r="B2462" s="706" t="s">
        <v>4148</v>
      </c>
      <c r="D2462" s="706" t="s">
        <v>1841</v>
      </c>
      <c r="H2462" s="1191"/>
      <c r="I2462" s="706" t="s">
        <v>2106</v>
      </c>
    </row>
    <row r="2463" spans="1:9">
      <c r="A2463" s="706">
        <v>109592</v>
      </c>
      <c r="B2463" s="706" t="s">
        <v>4149</v>
      </c>
      <c r="C2463" s="706" t="s">
        <v>8189</v>
      </c>
      <c r="D2463" s="706" t="s">
        <v>1841</v>
      </c>
      <c r="E2463" s="706">
        <v>62.5</v>
      </c>
      <c r="F2463" s="706" t="s">
        <v>28</v>
      </c>
      <c r="G2463" s="706">
        <v>411106</v>
      </c>
      <c r="H2463" s="1191">
        <v>45943</v>
      </c>
      <c r="I2463" s="706" t="s">
        <v>2106</v>
      </c>
    </row>
    <row r="2464" spans="1:9">
      <c r="A2464" s="706">
        <v>109593</v>
      </c>
      <c r="B2464" s="706" t="s">
        <v>4150</v>
      </c>
      <c r="D2464" s="706" t="s">
        <v>1841</v>
      </c>
      <c r="H2464" s="1191"/>
      <c r="I2464" s="706" t="s">
        <v>2106</v>
      </c>
    </row>
    <row r="2465" spans="1:9">
      <c r="A2465" s="706">
        <v>109594</v>
      </c>
      <c r="B2465" s="706" t="s">
        <v>4151</v>
      </c>
      <c r="D2465" s="706" t="s">
        <v>1841</v>
      </c>
      <c r="H2465" s="1191"/>
      <c r="I2465" s="706" t="s">
        <v>2106</v>
      </c>
    </row>
    <row r="2466" spans="1:9">
      <c r="A2466" s="706">
        <v>109595</v>
      </c>
      <c r="B2466" s="706" t="s">
        <v>4152</v>
      </c>
      <c r="C2466" s="706" t="s">
        <v>8189</v>
      </c>
      <c r="D2466" s="706" t="s">
        <v>1841</v>
      </c>
      <c r="E2466" s="706">
        <v>65.5</v>
      </c>
      <c r="F2466" s="706" t="s">
        <v>28</v>
      </c>
      <c r="G2466" s="706">
        <v>406372</v>
      </c>
      <c r="H2466" s="1191">
        <v>45001</v>
      </c>
      <c r="I2466" s="706" t="s">
        <v>2106</v>
      </c>
    </row>
    <row r="2467" spans="1:9">
      <c r="A2467" s="706">
        <v>109596</v>
      </c>
      <c r="B2467" s="706" t="s">
        <v>4153</v>
      </c>
      <c r="C2467" s="706" t="s">
        <v>8189</v>
      </c>
      <c r="D2467" s="706" t="s">
        <v>1841</v>
      </c>
      <c r="E2467" s="706">
        <v>56.25</v>
      </c>
      <c r="F2467" s="706" t="s">
        <v>28</v>
      </c>
      <c r="G2467" s="706">
        <v>406565</v>
      </c>
      <c r="H2467" s="1191">
        <v>45050</v>
      </c>
      <c r="I2467" s="706" t="s">
        <v>2106</v>
      </c>
    </row>
    <row r="2468" spans="1:9">
      <c r="A2468" s="706">
        <v>109597</v>
      </c>
      <c r="B2468" s="706" t="s">
        <v>4154</v>
      </c>
      <c r="D2468" s="706" t="s">
        <v>1841</v>
      </c>
      <c r="H2468" s="1191"/>
      <c r="I2468" s="706" t="s">
        <v>2106</v>
      </c>
    </row>
    <row r="2469" spans="1:9">
      <c r="A2469" s="706">
        <v>109598</v>
      </c>
      <c r="B2469" s="706" t="s">
        <v>4155</v>
      </c>
      <c r="C2469" s="706" t="s">
        <v>8189</v>
      </c>
      <c r="D2469" s="706" t="s">
        <v>1841</v>
      </c>
      <c r="E2469" s="706">
        <v>31.5</v>
      </c>
      <c r="F2469" s="706" t="s">
        <v>28</v>
      </c>
      <c r="G2469" s="706">
        <v>411345</v>
      </c>
      <c r="H2469" s="1191">
        <v>45994</v>
      </c>
      <c r="I2469" s="706" t="s">
        <v>2106</v>
      </c>
    </row>
    <row r="2470" spans="1:9">
      <c r="A2470" s="706">
        <v>109599</v>
      </c>
      <c r="B2470" s="706" t="s">
        <v>4156</v>
      </c>
      <c r="D2470" s="706" t="s">
        <v>1841</v>
      </c>
      <c r="H2470" s="1191"/>
      <c r="I2470" s="706" t="s">
        <v>2106</v>
      </c>
    </row>
    <row r="2471" spans="1:9">
      <c r="A2471" s="706">
        <v>109600</v>
      </c>
      <c r="B2471" s="706" t="s">
        <v>4157</v>
      </c>
      <c r="D2471" s="706" t="s">
        <v>1841</v>
      </c>
      <c r="H2471" s="1191"/>
      <c r="I2471" s="706" t="s">
        <v>2106</v>
      </c>
    </row>
    <row r="2472" spans="1:9">
      <c r="A2472" s="706">
        <v>109601</v>
      </c>
      <c r="B2472" s="706" t="s">
        <v>4158</v>
      </c>
      <c r="C2472" s="706" t="s">
        <v>8189</v>
      </c>
      <c r="D2472" s="706" t="s">
        <v>1841</v>
      </c>
      <c r="E2472" s="706">
        <v>21</v>
      </c>
      <c r="F2472" s="706" t="s">
        <v>28</v>
      </c>
      <c r="G2472" s="706">
        <v>410917</v>
      </c>
      <c r="H2472" s="1191">
        <v>45905</v>
      </c>
      <c r="I2472" s="706" t="s">
        <v>2106</v>
      </c>
    </row>
    <row r="2473" spans="1:9">
      <c r="A2473" s="706">
        <v>109602</v>
      </c>
      <c r="B2473" s="706" t="s">
        <v>4159</v>
      </c>
      <c r="D2473" s="706" t="s">
        <v>1841</v>
      </c>
      <c r="H2473" s="1191"/>
      <c r="I2473" s="706" t="s">
        <v>2106</v>
      </c>
    </row>
    <row r="2474" spans="1:9">
      <c r="A2474" s="706">
        <v>109603</v>
      </c>
      <c r="B2474" s="706" t="s">
        <v>4160</v>
      </c>
      <c r="D2474" s="706" t="s">
        <v>1841</v>
      </c>
      <c r="H2474" s="1191"/>
      <c r="I2474" s="706" t="s">
        <v>2106</v>
      </c>
    </row>
    <row r="2475" spans="1:9">
      <c r="A2475" s="706">
        <v>109604</v>
      </c>
      <c r="B2475" s="706" t="s">
        <v>4161</v>
      </c>
      <c r="D2475" s="706" t="s">
        <v>1841</v>
      </c>
      <c r="H2475" s="1191"/>
      <c r="I2475" s="706" t="s">
        <v>2106</v>
      </c>
    </row>
    <row r="2476" spans="1:9">
      <c r="A2476" s="706">
        <v>109605</v>
      </c>
      <c r="B2476" s="706" t="s">
        <v>4162</v>
      </c>
      <c r="C2476" s="706" t="s">
        <v>8189</v>
      </c>
      <c r="D2476" s="706" t="s">
        <v>1841</v>
      </c>
      <c r="E2476" s="706">
        <v>11.75</v>
      </c>
      <c r="F2476" s="706" t="s">
        <v>28</v>
      </c>
      <c r="G2476" s="706">
        <v>408666</v>
      </c>
      <c r="H2476" s="1191">
        <v>45450</v>
      </c>
      <c r="I2476" s="706" t="s">
        <v>2106</v>
      </c>
    </row>
    <row r="2477" spans="1:9">
      <c r="A2477" s="706">
        <v>109606</v>
      </c>
      <c r="B2477" s="706" t="s">
        <v>4163</v>
      </c>
      <c r="D2477" s="706" t="s">
        <v>1841</v>
      </c>
      <c r="H2477" s="1191"/>
      <c r="I2477" s="706" t="s">
        <v>2106</v>
      </c>
    </row>
    <row r="2478" spans="1:9">
      <c r="A2478" s="706">
        <v>109607</v>
      </c>
      <c r="B2478" s="706" t="s">
        <v>4164</v>
      </c>
      <c r="D2478" s="706" t="s">
        <v>1841</v>
      </c>
      <c r="H2478" s="1191"/>
      <c r="I2478" s="706" t="s">
        <v>2106</v>
      </c>
    </row>
    <row r="2479" spans="1:9">
      <c r="A2479" s="706">
        <v>109608</v>
      </c>
      <c r="B2479" s="706" t="s">
        <v>4165</v>
      </c>
      <c r="D2479" s="706" t="s">
        <v>1841</v>
      </c>
      <c r="H2479" s="1191"/>
      <c r="I2479" s="706" t="s">
        <v>2106</v>
      </c>
    </row>
    <row r="2480" spans="1:9">
      <c r="A2480" s="706">
        <v>109609</v>
      </c>
      <c r="B2480" s="706" t="s">
        <v>4166</v>
      </c>
      <c r="D2480" s="706" t="s">
        <v>1841</v>
      </c>
      <c r="H2480" s="1191"/>
      <c r="I2480" s="706" t="s">
        <v>2106</v>
      </c>
    </row>
    <row r="2481" spans="1:9">
      <c r="A2481" s="706">
        <v>109610</v>
      </c>
      <c r="B2481" s="706" t="s">
        <v>4167</v>
      </c>
      <c r="D2481" s="706" t="s">
        <v>1841</v>
      </c>
      <c r="H2481" s="1191"/>
      <c r="I2481" s="706" t="s">
        <v>2106</v>
      </c>
    </row>
    <row r="2482" spans="1:9">
      <c r="A2482" s="706">
        <v>109611</v>
      </c>
      <c r="B2482" s="706" t="s">
        <v>4168</v>
      </c>
      <c r="D2482" s="706" t="s">
        <v>1841</v>
      </c>
      <c r="H2482" s="1191"/>
      <c r="I2482" s="706" t="s">
        <v>2106</v>
      </c>
    </row>
    <row r="2483" spans="1:9">
      <c r="A2483" s="706">
        <v>109612</v>
      </c>
      <c r="B2483" s="706" t="s">
        <v>4169</v>
      </c>
      <c r="D2483" s="706" t="s">
        <v>1841</v>
      </c>
      <c r="H2483" s="1191"/>
      <c r="I2483" s="706" t="s">
        <v>2106</v>
      </c>
    </row>
    <row r="2484" spans="1:9">
      <c r="A2484" s="706">
        <v>109613</v>
      </c>
      <c r="B2484" s="706" t="s">
        <v>4170</v>
      </c>
      <c r="D2484" s="706" t="s">
        <v>1841</v>
      </c>
      <c r="H2484" s="1191"/>
      <c r="I2484" s="706" t="s">
        <v>2106</v>
      </c>
    </row>
    <row r="2485" spans="1:9">
      <c r="A2485" s="706">
        <v>109614</v>
      </c>
      <c r="B2485" s="706" t="s">
        <v>4171</v>
      </c>
      <c r="D2485" s="706" t="s">
        <v>1841</v>
      </c>
      <c r="H2485" s="1191"/>
      <c r="I2485" s="706" t="s">
        <v>2106</v>
      </c>
    </row>
    <row r="2486" spans="1:9">
      <c r="A2486" s="706">
        <v>109615</v>
      </c>
      <c r="B2486" s="706" t="s">
        <v>4172</v>
      </c>
      <c r="D2486" s="706" t="s">
        <v>1841</v>
      </c>
      <c r="H2486" s="1191"/>
      <c r="I2486" s="706" t="s">
        <v>2106</v>
      </c>
    </row>
    <row r="2487" spans="1:9">
      <c r="A2487" s="706">
        <v>109616</v>
      </c>
      <c r="B2487" s="706" t="s">
        <v>4173</v>
      </c>
      <c r="D2487" s="706" t="s">
        <v>1841</v>
      </c>
      <c r="H2487" s="1191"/>
      <c r="I2487" s="706" t="s">
        <v>2106</v>
      </c>
    </row>
    <row r="2488" spans="1:9">
      <c r="A2488" s="706">
        <v>109617</v>
      </c>
      <c r="B2488" s="706" t="s">
        <v>4174</v>
      </c>
      <c r="D2488" s="706" t="s">
        <v>1841</v>
      </c>
      <c r="H2488" s="1191"/>
      <c r="I2488" s="706" t="s">
        <v>2106</v>
      </c>
    </row>
    <row r="2489" spans="1:9">
      <c r="A2489" s="706">
        <v>109618</v>
      </c>
      <c r="B2489" s="706" t="s">
        <v>4175</v>
      </c>
      <c r="D2489" s="706" t="s">
        <v>1841</v>
      </c>
      <c r="H2489" s="1191"/>
      <c r="I2489" s="706" t="s">
        <v>2106</v>
      </c>
    </row>
    <row r="2490" spans="1:9">
      <c r="A2490" s="706">
        <v>109619</v>
      </c>
      <c r="B2490" s="706" t="s">
        <v>4176</v>
      </c>
      <c r="C2490" s="706" t="s">
        <v>8189</v>
      </c>
      <c r="D2490" s="706" t="s">
        <v>1841</v>
      </c>
      <c r="E2490" s="706">
        <v>22.5</v>
      </c>
      <c r="F2490" s="706" t="s">
        <v>28</v>
      </c>
      <c r="G2490" s="706">
        <v>406101</v>
      </c>
      <c r="H2490" s="1191">
        <v>44946</v>
      </c>
      <c r="I2490" s="706" t="s">
        <v>2106</v>
      </c>
    </row>
    <row r="2491" spans="1:9">
      <c r="A2491" s="706">
        <v>109620</v>
      </c>
      <c r="B2491" s="706" t="s">
        <v>4177</v>
      </c>
      <c r="D2491" s="706" t="s">
        <v>1841</v>
      </c>
      <c r="H2491" s="1191"/>
      <c r="I2491" s="706" t="s">
        <v>2106</v>
      </c>
    </row>
    <row r="2492" spans="1:9">
      <c r="A2492" s="706">
        <v>109621</v>
      </c>
      <c r="B2492" s="706" t="s">
        <v>4178</v>
      </c>
      <c r="D2492" s="706" t="s">
        <v>1841</v>
      </c>
      <c r="H2492" s="1191"/>
      <c r="I2492" s="706" t="s">
        <v>2106</v>
      </c>
    </row>
    <row r="2493" spans="1:9">
      <c r="A2493" s="706">
        <v>109622</v>
      </c>
      <c r="B2493" s="706" t="s">
        <v>4179</v>
      </c>
      <c r="D2493" s="706" t="s">
        <v>1841</v>
      </c>
      <c r="H2493" s="1191"/>
      <c r="I2493" s="706" t="s">
        <v>2106</v>
      </c>
    </row>
    <row r="2494" spans="1:9">
      <c r="A2494" s="706">
        <v>109623</v>
      </c>
      <c r="B2494" s="706" t="s">
        <v>4180</v>
      </c>
      <c r="D2494" s="706" t="s">
        <v>1841</v>
      </c>
      <c r="H2494" s="1191"/>
      <c r="I2494" s="706" t="s">
        <v>2106</v>
      </c>
    </row>
    <row r="2495" spans="1:9">
      <c r="A2495" s="706">
        <v>109624</v>
      </c>
      <c r="B2495" s="706" t="s">
        <v>4181</v>
      </c>
      <c r="D2495" s="706" t="s">
        <v>1841</v>
      </c>
      <c r="H2495" s="1191"/>
      <c r="I2495" s="706" t="s">
        <v>2106</v>
      </c>
    </row>
    <row r="2496" spans="1:9">
      <c r="A2496" s="706">
        <v>109625</v>
      </c>
      <c r="B2496" s="706" t="s">
        <v>4182</v>
      </c>
      <c r="D2496" s="706" t="s">
        <v>1841</v>
      </c>
      <c r="H2496" s="1191"/>
      <c r="I2496" s="706" t="s">
        <v>2106</v>
      </c>
    </row>
    <row r="2497" spans="1:9">
      <c r="A2497" s="706">
        <v>109626</v>
      </c>
      <c r="B2497" s="706" t="s">
        <v>4183</v>
      </c>
      <c r="D2497" s="706" t="s">
        <v>1841</v>
      </c>
      <c r="H2497" s="1191"/>
      <c r="I2497" s="706" t="s">
        <v>2106</v>
      </c>
    </row>
    <row r="2498" spans="1:9">
      <c r="A2498" s="706">
        <v>109627</v>
      </c>
      <c r="B2498" s="706" t="s">
        <v>4184</v>
      </c>
      <c r="D2498" s="706" t="s">
        <v>1841</v>
      </c>
      <c r="H2498" s="1191"/>
      <c r="I2498" s="706" t="s">
        <v>2106</v>
      </c>
    </row>
    <row r="2499" spans="1:9">
      <c r="A2499" s="706">
        <v>109628</v>
      </c>
      <c r="B2499" s="706" t="s">
        <v>4185</v>
      </c>
      <c r="D2499" s="706" t="s">
        <v>1841</v>
      </c>
      <c r="H2499" s="1191"/>
      <c r="I2499" s="706" t="s">
        <v>2106</v>
      </c>
    </row>
    <row r="2500" spans="1:9">
      <c r="A2500" s="706">
        <v>109629</v>
      </c>
      <c r="B2500" s="706" t="s">
        <v>4186</v>
      </c>
      <c r="D2500" s="706" t="s">
        <v>1841</v>
      </c>
      <c r="H2500" s="1191"/>
      <c r="I2500" s="706" t="s">
        <v>2106</v>
      </c>
    </row>
    <row r="2501" spans="1:9">
      <c r="A2501" s="706">
        <v>109630</v>
      </c>
      <c r="B2501" s="706" t="s">
        <v>4187</v>
      </c>
      <c r="D2501" s="706" t="s">
        <v>1841</v>
      </c>
      <c r="H2501" s="1191"/>
      <c r="I2501" s="706" t="s">
        <v>2106</v>
      </c>
    </row>
    <row r="2502" spans="1:9">
      <c r="A2502" s="706">
        <v>109631</v>
      </c>
      <c r="B2502" s="706" t="s">
        <v>4188</v>
      </c>
      <c r="D2502" s="706" t="s">
        <v>1841</v>
      </c>
      <c r="H2502" s="1191"/>
      <c r="I2502" s="706" t="s">
        <v>2106</v>
      </c>
    </row>
    <row r="2503" spans="1:9">
      <c r="A2503" s="706">
        <v>109632</v>
      </c>
      <c r="B2503" s="706" t="s">
        <v>4189</v>
      </c>
      <c r="D2503" s="706" t="s">
        <v>1841</v>
      </c>
      <c r="H2503" s="1191"/>
      <c r="I2503" s="706" t="s">
        <v>2106</v>
      </c>
    </row>
    <row r="2504" spans="1:9">
      <c r="A2504" s="706">
        <v>109633</v>
      </c>
      <c r="B2504" s="706" t="s">
        <v>4190</v>
      </c>
      <c r="C2504" s="706" t="s">
        <v>8189</v>
      </c>
      <c r="D2504" s="706" t="s">
        <v>1841</v>
      </c>
      <c r="E2504" s="706">
        <v>53</v>
      </c>
      <c r="F2504" s="706" t="s">
        <v>28</v>
      </c>
      <c r="G2504" s="706">
        <v>405861</v>
      </c>
      <c r="H2504" s="1191">
        <v>44881</v>
      </c>
      <c r="I2504" s="706" t="s">
        <v>2106</v>
      </c>
    </row>
    <row r="2505" spans="1:9">
      <c r="A2505" s="706">
        <v>109634</v>
      </c>
      <c r="B2505" s="706" t="s">
        <v>4191</v>
      </c>
      <c r="C2505" s="706" t="s">
        <v>8189</v>
      </c>
      <c r="D2505" s="706" t="s">
        <v>1841</v>
      </c>
      <c r="E2505" s="706">
        <v>27.5</v>
      </c>
      <c r="F2505" s="706" t="s">
        <v>28</v>
      </c>
      <c r="G2505" s="706">
        <v>405888</v>
      </c>
      <c r="H2505" s="1191">
        <v>44886</v>
      </c>
      <c r="I2505" s="706" t="s">
        <v>2106</v>
      </c>
    </row>
    <row r="2506" spans="1:9">
      <c r="A2506" s="706">
        <v>109635</v>
      </c>
      <c r="B2506" s="706" t="s">
        <v>4192</v>
      </c>
      <c r="D2506" s="706" t="s">
        <v>1841</v>
      </c>
      <c r="H2506" s="1191"/>
      <c r="I2506" s="706" t="s">
        <v>2106</v>
      </c>
    </row>
    <row r="2507" spans="1:9">
      <c r="A2507" s="706">
        <v>109636</v>
      </c>
      <c r="B2507" s="706" t="s">
        <v>4193</v>
      </c>
      <c r="D2507" s="706" t="s">
        <v>1841</v>
      </c>
      <c r="H2507" s="1191"/>
      <c r="I2507" s="706" t="s">
        <v>2106</v>
      </c>
    </row>
    <row r="2508" spans="1:9">
      <c r="A2508" s="706">
        <v>109637</v>
      </c>
      <c r="B2508" s="706" t="s">
        <v>4194</v>
      </c>
      <c r="C2508" s="706" t="s">
        <v>8189</v>
      </c>
      <c r="D2508" s="706" t="s">
        <v>1841</v>
      </c>
      <c r="E2508" s="706">
        <v>17.5</v>
      </c>
      <c r="F2508" s="706" t="s">
        <v>28</v>
      </c>
      <c r="G2508" s="706">
        <v>410169</v>
      </c>
      <c r="H2508" s="1191">
        <v>45761</v>
      </c>
      <c r="I2508" s="706" t="s">
        <v>2106</v>
      </c>
    </row>
    <row r="2509" spans="1:9">
      <c r="A2509" s="706">
        <v>109638</v>
      </c>
      <c r="B2509" s="706" t="s">
        <v>4195</v>
      </c>
      <c r="D2509" s="706" t="s">
        <v>1841</v>
      </c>
      <c r="H2509" s="1191"/>
      <c r="I2509" s="706" t="s">
        <v>2106</v>
      </c>
    </row>
    <row r="2510" spans="1:9">
      <c r="A2510" s="706">
        <v>109639</v>
      </c>
      <c r="B2510" s="706" t="s">
        <v>4196</v>
      </c>
      <c r="D2510" s="706" t="s">
        <v>1841</v>
      </c>
      <c r="H2510" s="1191"/>
      <c r="I2510" s="706" t="s">
        <v>2106</v>
      </c>
    </row>
    <row r="2511" spans="1:9">
      <c r="A2511" s="706">
        <v>109640</v>
      </c>
      <c r="B2511" s="706" t="s">
        <v>968</v>
      </c>
      <c r="C2511" s="706" t="s">
        <v>8189</v>
      </c>
      <c r="D2511" s="706" t="s">
        <v>1841</v>
      </c>
      <c r="E2511" s="706">
        <v>15.2</v>
      </c>
      <c r="F2511" s="706" t="s">
        <v>28</v>
      </c>
      <c r="G2511" s="706">
        <v>411557</v>
      </c>
      <c r="H2511" s="1191">
        <v>46037</v>
      </c>
      <c r="I2511" s="706" t="s">
        <v>2106</v>
      </c>
    </row>
    <row r="2512" spans="1:9">
      <c r="A2512" s="706">
        <v>109641</v>
      </c>
      <c r="B2512" s="706" t="s">
        <v>4197</v>
      </c>
      <c r="C2512" s="706" t="s">
        <v>8189</v>
      </c>
      <c r="D2512" s="706" t="s">
        <v>1841</v>
      </c>
      <c r="E2512" s="706">
        <v>3</v>
      </c>
      <c r="F2512" s="706" t="s">
        <v>28</v>
      </c>
      <c r="G2512" s="706">
        <v>411811</v>
      </c>
      <c r="H2512" s="1191">
        <v>46077</v>
      </c>
      <c r="I2512" s="706" t="s">
        <v>2106</v>
      </c>
    </row>
    <row r="2513" spans="1:9">
      <c r="A2513" s="706">
        <v>109642</v>
      </c>
      <c r="B2513" s="706" t="s">
        <v>4198</v>
      </c>
      <c r="D2513" s="706" t="s">
        <v>1841</v>
      </c>
      <c r="H2513" s="1191"/>
      <c r="I2513" s="706" t="s">
        <v>2106</v>
      </c>
    </row>
    <row r="2514" spans="1:9">
      <c r="A2514" s="706">
        <v>109643</v>
      </c>
      <c r="B2514" s="706" t="s">
        <v>4199</v>
      </c>
      <c r="D2514" s="706" t="s">
        <v>1841</v>
      </c>
      <c r="H2514" s="1191"/>
      <c r="I2514" s="706" t="s">
        <v>2106</v>
      </c>
    </row>
    <row r="2515" spans="1:9">
      <c r="A2515" s="706">
        <v>109644</v>
      </c>
      <c r="B2515" s="706" t="s">
        <v>4200</v>
      </c>
      <c r="D2515" s="706" t="s">
        <v>1841</v>
      </c>
      <c r="H2515" s="1191"/>
      <c r="I2515" s="706" t="s">
        <v>2106</v>
      </c>
    </row>
    <row r="2516" spans="1:9">
      <c r="A2516" s="706">
        <v>109645</v>
      </c>
      <c r="B2516" s="706" t="s">
        <v>4201</v>
      </c>
      <c r="D2516" s="706" t="s">
        <v>1841</v>
      </c>
      <c r="H2516" s="1191"/>
      <c r="I2516" s="706" t="s">
        <v>2106</v>
      </c>
    </row>
    <row r="2517" spans="1:9">
      <c r="A2517" s="706">
        <v>109646</v>
      </c>
      <c r="B2517" s="706" t="s">
        <v>4202</v>
      </c>
      <c r="D2517" s="706" t="s">
        <v>1841</v>
      </c>
      <c r="H2517" s="1191"/>
      <c r="I2517" s="706" t="s">
        <v>2106</v>
      </c>
    </row>
    <row r="2518" spans="1:9">
      <c r="A2518" s="706">
        <v>109647</v>
      </c>
      <c r="B2518" s="706" t="s">
        <v>4203</v>
      </c>
      <c r="D2518" s="706" t="s">
        <v>1841</v>
      </c>
      <c r="H2518" s="1191"/>
      <c r="I2518" s="706" t="s">
        <v>2106</v>
      </c>
    </row>
    <row r="2519" spans="1:9">
      <c r="A2519" s="706">
        <v>109648</v>
      </c>
      <c r="B2519" s="706" t="s">
        <v>4204</v>
      </c>
      <c r="D2519" s="706" t="s">
        <v>1841</v>
      </c>
      <c r="H2519" s="1191"/>
      <c r="I2519" s="706" t="s">
        <v>2106</v>
      </c>
    </row>
    <row r="2520" spans="1:9">
      <c r="A2520" s="706">
        <v>109649</v>
      </c>
      <c r="B2520" s="706" t="s">
        <v>4205</v>
      </c>
      <c r="D2520" s="706" t="s">
        <v>1841</v>
      </c>
      <c r="H2520" s="1191"/>
      <c r="I2520" s="706" t="s">
        <v>2106</v>
      </c>
    </row>
    <row r="2521" spans="1:9">
      <c r="A2521" s="706">
        <v>109650</v>
      </c>
      <c r="B2521" s="706" t="s">
        <v>4206</v>
      </c>
      <c r="D2521" s="706" t="s">
        <v>1841</v>
      </c>
      <c r="H2521" s="1191"/>
      <c r="I2521" s="706" t="s">
        <v>2106</v>
      </c>
    </row>
    <row r="2522" spans="1:9">
      <c r="A2522" s="706">
        <v>109651</v>
      </c>
      <c r="B2522" s="706" t="s">
        <v>4207</v>
      </c>
      <c r="D2522" s="706" t="s">
        <v>1841</v>
      </c>
      <c r="H2522" s="1191"/>
      <c r="I2522" s="706" t="s">
        <v>2106</v>
      </c>
    </row>
    <row r="2523" spans="1:9">
      <c r="A2523" s="706">
        <v>109652</v>
      </c>
      <c r="B2523" s="706" t="s">
        <v>4208</v>
      </c>
      <c r="D2523" s="706" t="s">
        <v>1841</v>
      </c>
      <c r="H2523" s="1191"/>
      <c r="I2523" s="706" t="s">
        <v>2106</v>
      </c>
    </row>
    <row r="2524" spans="1:9">
      <c r="A2524" s="706">
        <v>109653</v>
      </c>
      <c r="B2524" s="706" t="s">
        <v>4209</v>
      </c>
      <c r="D2524" s="706" t="s">
        <v>1841</v>
      </c>
      <c r="H2524" s="1191"/>
      <c r="I2524" s="706" t="s">
        <v>2106</v>
      </c>
    </row>
    <row r="2525" spans="1:9">
      <c r="A2525" s="706">
        <v>109654</v>
      </c>
      <c r="B2525" s="706" t="s">
        <v>4210</v>
      </c>
      <c r="D2525" s="706" t="s">
        <v>1841</v>
      </c>
      <c r="H2525" s="1191"/>
      <c r="I2525" s="706" t="s">
        <v>2106</v>
      </c>
    </row>
    <row r="2526" spans="1:9">
      <c r="A2526" s="706">
        <v>109655</v>
      </c>
      <c r="B2526" s="706" t="s">
        <v>4211</v>
      </c>
      <c r="D2526" s="706" t="s">
        <v>1841</v>
      </c>
      <c r="H2526" s="1191"/>
      <c r="I2526" s="706" t="s">
        <v>2106</v>
      </c>
    </row>
    <row r="2527" spans="1:9">
      <c r="A2527" s="706">
        <v>109656</v>
      </c>
      <c r="B2527" s="706" t="s">
        <v>4212</v>
      </c>
      <c r="D2527" s="706" t="s">
        <v>1841</v>
      </c>
      <c r="H2527" s="1191"/>
      <c r="I2527" s="706" t="s">
        <v>2106</v>
      </c>
    </row>
    <row r="2528" spans="1:9">
      <c r="A2528" s="706">
        <v>109657</v>
      </c>
      <c r="B2528" s="706" t="s">
        <v>4213</v>
      </c>
      <c r="D2528" s="706" t="s">
        <v>1841</v>
      </c>
      <c r="H2528" s="1191"/>
      <c r="I2528" s="706" t="s">
        <v>2106</v>
      </c>
    </row>
    <row r="2529" spans="1:9">
      <c r="A2529" s="706">
        <v>109658</v>
      </c>
      <c r="B2529" s="706" t="s">
        <v>4214</v>
      </c>
      <c r="D2529" s="706" t="s">
        <v>1841</v>
      </c>
      <c r="H2529" s="1191"/>
      <c r="I2529" s="706" t="s">
        <v>2106</v>
      </c>
    </row>
    <row r="2530" spans="1:9">
      <c r="A2530" s="706">
        <v>109659</v>
      </c>
      <c r="B2530" s="706" t="s">
        <v>4215</v>
      </c>
      <c r="C2530" s="706" t="s">
        <v>8189</v>
      </c>
      <c r="D2530" s="706" t="s">
        <v>1841</v>
      </c>
      <c r="E2530" s="706">
        <v>12.98</v>
      </c>
      <c r="F2530" s="706" t="s">
        <v>28</v>
      </c>
      <c r="G2530" s="706">
        <v>400647</v>
      </c>
      <c r="H2530" s="1191">
        <v>43985</v>
      </c>
      <c r="I2530" s="706" t="s">
        <v>2106</v>
      </c>
    </row>
    <row r="2531" spans="1:9">
      <c r="A2531" s="706">
        <v>109660</v>
      </c>
      <c r="B2531" s="706" t="s">
        <v>4216</v>
      </c>
      <c r="D2531" s="706" t="s">
        <v>1841</v>
      </c>
      <c r="H2531" s="1191"/>
      <c r="I2531" s="706" t="s">
        <v>2106</v>
      </c>
    </row>
    <row r="2532" spans="1:9">
      <c r="A2532" s="706">
        <v>109661</v>
      </c>
      <c r="B2532" s="706" t="s">
        <v>4217</v>
      </c>
      <c r="D2532" s="706" t="s">
        <v>1841</v>
      </c>
      <c r="H2532" s="1191"/>
      <c r="I2532" s="706" t="s">
        <v>2106</v>
      </c>
    </row>
    <row r="2533" spans="1:9">
      <c r="A2533" s="706">
        <v>109662</v>
      </c>
      <c r="B2533" s="706" t="s">
        <v>4218</v>
      </c>
      <c r="D2533" s="706" t="s">
        <v>1841</v>
      </c>
      <c r="H2533" s="1191"/>
      <c r="I2533" s="706" t="s">
        <v>2106</v>
      </c>
    </row>
    <row r="2534" spans="1:9">
      <c r="A2534" s="706">
        <v>109663</v>
      </c>
      <c r="B2534" s="706" t="s">
        <v>4219</v>
      </c>
      <c r="D2534" s="706" t="s">
        <v>1841</v>
      </c>
      <c r="H2534" s="1191"/>
      <c r="I2534" s="706" t="s">
        <v>2106</v>
      </c>
    </row>
    <row r="2535" spans="1:9">
      <c r="A2535" s="706">
        <v>109664</v>
      </c>
      <c r="B2535" s="706" t="s">
        <v>4220</v>
      </c>
      <c r="D2535" s="706" t="s">
        <v>1841</v>
      </c>
      <c r="H2535" s="1191"/>
      <c r="I2535" s="706" t="s">
        <v>2106</v>
      </c>
    </row>
    <row r="2536" spans="1:9">
      <c r="A2536" s="706">
        <v>109665</v>
      </c>
      <c r="B2536" s="706" t="s">
        <v>4221</v>
      </c>
      <c r="D2536" s="706" t="s">
        <v>1841</v>
      </c>
      <c r="H2536" s="1191"/>
      <c r="I2536" s="706" t="s">
        <v>2106</v>
      </c>
    </row>
    <row r="2537" spans="1:9">
      <c r="A2537" s="706">
        <v>109666</v>
      </c>
      <c r="B2537" s="706" t="s">
        <v>4222</v>
      </c>
      <c r="D2537" s="706" t="s">
        <v>1841</v>
      </c>
      <c r="H2537" s="1191"/>
      <c r="I2537" s="706" t="s">
        <v>2106</v>
      </c>
    </row>
    <row r="2538" spans="1:9">
      <c r="A2538" s="706">
        <v>109667</v>
      </c>
      <c r="B2538" s="706" t="s">
        <v>4223</v>
      </c>
      <c r="D2538" s="706" t="s">
        <v>1841</v>
      </c>
      <c r="H2538" s="1191"/>
      <c r="I2538" s="706" t="s">
        <v>2106</v>
      </c>
    </row>
    <row r="2539" spans="1:9">
      <c r="A2539" s="706">
        <v>109668</v>
      </c>
      <c r="B2539" s="706" t="s">
        <v>4224</v>
      </c>
      <c r="D2539" s="706" t="s">
        <v>1841</v>
      </c>
      <c r="H2539" s="1191"/>
      <c r="I2539" s="706" t="s">
        <v>2106</v>
      </c>
    </row>
    <row r="2540" spans="1:9">
      <c r="A2540" s="706">
        <v>109669</v>
      </c>
      <c r="B2540" s="706" t="s">
        <v>4225</v>
      </c>
      <c r="D2540" s="706" t="s">
        <v>1841</v>
      </c>
      <c r="H2540" s="1191"/>
      <c r="I2540" s="706" t="s">
        <v>2106</v>
      </c>
    </row>
    <row r="2541" spans="1:9">
      <c r="A2541" s="706">
        <v>109670</v>
      </c>
      <c r="B2541" s="706" t="s">
        <v>4226</v>
      </c>
      <c r="D2541" s="706" t="s">
        <v>1841</v>
      </c>
      <c r="H2541" s="1191"/>
      <c r="I2541" s="706" t="s">
        <v>2106</v>
      </c>
    </row>
    <row r="2542" spans="1:9">
      <c r="A2542" s="706">
        <v>109671</v>
      </c>
      <c r="B2542" s="706" t="s">
        <v>4227</v>
      </c>
      <c r="D2542" s="706" t="s">
        <v>1841</v>
      </c>
      <c r="H2542" s="1191"/>
      <c r="I2542" s="706" t="s">
        <v>2106</v>
      </c>
    </row>
    <row r="2543" spans="1:9">
      <c r="A2543" s="706">
        <v>109672</v>
      </c>
      <c r="B2543" s="706" t="s">
        <v>4228</v>
      </c>
      <c r="D2543" s="706" t="s">
        <v>1841</v>
      </c>
      <c r="H2543" s="1191"/>
      <c r="I2543" s="706" t="s">
        <v>2106</v>
      </c>
    </row>
    <row r="2544" spans="1:9">
      <c r="A2544" s="706">
        <v>109673</v>
      </c>
      <c r="B2544" s="706" t="s">
        <v>4229</v>
      </c>
      <c r="D2544" s="706" t="s">
        <v>1841</v>
      </c>
      <c r="H2544" s="1191"/>
      <c r="I2544" s="706" t="s">
        <v>2106</v>
      </c>
    </row>
    <row r="2545" spans="1:9">
      <c r="A2545" s="706">
        <v>109674</v>
      </c>
      <c r="B2545" s="706" t="s">
        <v>4230</v>
      </c>
      <c r="D2545" s="706" t="s">
        <v>1841</v>
      </c>
      <c r="H2545" s="1191"/>
      <c r="I2545" s="706" t="s">
        <v>2106</v>
      </c>
    </row>
    <row r="2546" spans="1:9">
      <c r="A2546" s="706">
        <v>109675</v>
      </c>
      <c r="B2546" s="706" t="s">
        <v>4231</v>
      </c>
      <c r="D2546" s="706" t="s">
        <v>1841</v>
      </c>
      <c r="H2546" s="1191"/>
      <c r="I2546" s="706" t="s">
        <v>2106</v>
      </c>
    </row>
    <row r="2547" spans="1:9">
      <c r="A2547" s="706">
        <v>109676</v>
      </c>
      <c r="B2547" s="706" t="s">
        <v>4232</v>
      </c>
      <c r="D2547" s="706" t="s">
        <v>1841</v>
      </c>
      <c r="H2547" s="1191"/>
      <c r="I2547" s="706" t="s">
        <v>2106</v>
      </c>
    </row>
    <row r="2548" spans="1:9">
      <c r="A2548" s="706">
        <v>109677</v>
      </c>
      <c r="B2548" s="706" t="s">
        <v>4233</v>
      </c>
      <c r="D2548" s="706" t="s">
        <v>1841</v>
      </c>
      <c r="H2548" s="1191"/>
      <c r="I2548" s="706" t="s">
        <v>2106</v>
      </c>
    </row>
    <row r="2549" spans="1:9">
      <c r="A2549" s="706">
        <v>109678</v>
      </c>
      <c r="B2549" s="706" t="s">
        <v>4234</v>
      </c>
      <c r="D2549" s="706" t="s">
        <v>1841</v>
      </c>
      <c r="H2549" s="1191"/>
      <c r="I2549" s="706" t="s">
        <v>2106</v>
      </c>
    </row>
    <row r="2550" spans="1:9">
      <c r="A2550" s="706">
        <v>109679</v>
      </c>
      <c r="B2550" s="706" t="s">
        <v>4235</v>
      </c>
      <c r="D2550" s="706" t="s">
        <v>1841</v>
      </c>
      <c r="H2550" s="1191"/>
      <c r="I2550" s="706" t="s">
        <v>2106</v>
      </c>
    </row>
    <row r="2551" spans="1:9">
      <c r="A2551" s="706">
        <v>109680</v>
      </c>
      <c r="B2551" s="706" t="s">
        <v>4236</v>
      </c>
      <c r="C2551" s="706" t="s">
        <v>8189</v>
      </c>
      <c r="D2551" s="706" t="s">
        <v>1841</v>
      </c>
      <c r="E2551" s="706">
        <v>24</v>
      </c>
      <c r="F2551" s="706" t="s">
        <v>28</v>
      </c>
      <c r="G2551" s="706">
        <v>406565</v>
      </c>
      <c r="H2551" s="1191">
        <v>45050</v>
      </c>
      <c r="I2551" s="706" t="s">
        <v>2106</v>
      </c>
    </row>
    <row r="2552" spans="1:9">
      <c r="A2552" s="706">
        <v>109681</v>
      </c>
      <c r="B2552" s="706" t="s">
        <v>4237</v>
      </c>
      <c r="C2552" s="706" t="s">
        <v>8189</v>
      </c>
      <c r="D2552" s="706" t="s">
        <v>1841</v>
      </c>
      <c r="E2552" s="706">
        <v>11.3</v>
      </c>
      <c r="F2552" s="706" t="s">
        <v>28</v>
      </c>
      <c r="G2552" s="706">
        <v>408655</v>
      </c>
      <c r="H2552" s="1191">
        <v>45449</v>
      </c>
      <c r="I2552" s="706" t="s">
        <v>2106</v>
      </c>
    </row>
    <row r="2553" spans="1:9">
      <c r="A2553" s="706">
        <v>109682</v>
      </c>
      <c r="B2553" s="706" t="s">
        <v>4238</v>
      </c>
      <c r="D2553" s="706" t="s">
        <v>1841</v>
      </c>
      <c r="H2553" s="1191"/>
      <c r="I2553" s="706" t="s">
        <v>2106</v>
      </c>
    </row>
    <row r="2554" spans="1:9">
      <c r="A2554" s="706">
        <v>109683</v>
      </c>
      <c r="B2554" s="706" t="s">
        <v>4239</v>
      </c>
      <c r="D2554" s="706" t="s">
        <v>1841</v>
      </c>
      <c r="H2554" s="1191"/>
      <c r="I2554" s="706" t="s">
        <v>2106</v>
      </c>
    </row>
    <row r="2555" spans="1:9">
      <c r="A2555" s="706">
        <v>109684</v>
      </c>
      <c r="B2555" s="706" t="s">
        <v>970</v>
      </c>
      <c r="C2555" s="706" t="s">
        <v>8189</v>
      </c>
      <c r="D2555" s="706" t="s">
        <v>1841</v>
      </c>
      <c r="E2555" s="706">
        <v>10.25</v>
      </c>
      <c r="F2555" s="706" t="s">
        <v>28</v>
      </c>
      <c r="G2555" s="706">
        <v>410120</v>
      </c>
      <c r="H2555" s="1191">
        <v>45754</v>
      </c>
      <c r="I2555" s="706" t="s">
        <v>2106</v>
      </c>
    </row>
    <row r="2556" spans="1:9">
      <c r="A2556" s="706">
        <v>109685</v>
      </c>
      <c r="B2556" s="706" t="s">
        <v>4240</v>
      </c>
      <c r="C2556" s="706" t="s">
        <v>8189</v>
      </c>
      <c r="D2556" s="706" t="s">
        <v>1841</v>
      </c>
      <c r="E2556" s="706">
        <v>9</v>
      </c>
      <c r="F2556" s="706" t="s">
        <v>28</v>
      </c>
      <c r="G2556" s="706">
        <v>411482</v>
      </c>
      <c r="H2556" s="1191">
        <v>46028</v>
      </c>
      <c r="I2556" s="706" t="s">
        <v>2106</v>
      </c>
    </row>
    <row r="2557" spans="1:9">
      <c r="A2557" s="706">
        <v>109686</v>
      </c>
      <c r="B2557" s="706" t="s">
        <v>4241</v>
      </c>
      <c r="D2557" s="706" t="s">
        <v>1841</v>
      </c>
      <c r="H2557" s="1191"/>
      <c r="I2557" s="706" t="s">
        <v>2106</v>
      </c>
    </row>
    <row r="2558" spans="1:9">
      <c r="A2558" s="706">
        <v>109687</v>
      </c>
      <c r="B2558" s="706" t="s">
        <v>4242</v>
      </c>
      <c r="D2558" s="706" t="s">
        <v>1841</v>
      </c>
      <c r="H2558" s="1191"/>
      <c r="I2558" s="706" t="s">
        <v>2106</v>
      </c>
    </row>
    <row r="2559" spans="1:9">
      <c r="A2559" s="706">
        <v>109688</v>
      </c>
      <c r="B2559" s="706" t="s">
        <v>4243</v>
      </c>
      <c r="D2559" s="706" t="s">
        <v>1841</v>
      </c>
      <c r="H2559" s="1191"/>
      <c r="I2559" s="706" t="s">
        <v>2106</v>
      </c>
    </row>
    <row r="2560" spans="1:9">
      <c r="A2560" s="706">
        <v>109689</v>
      </c>
      <c r="B2560" s="706" t="s">
        <v>4244</v>
      </c>
      <c r="D2560" s="706" t="s">
        <v>1841</v>
      </c>
      <c r="H2560" s="1191"/>
      <c r="I2560" s="706" t="s">
        <v>2106</v>
      </c>
    </row>
    <row r="2561" spans="1:9">
      <c r="A2561" s="706">
        <v>109690</v>
      </c>
      <c r="B2561" s="706" t="s">
        <v>4245</v>
      </c>
      <c r="D2561" s="706" t="s">
        <v>1841</v>
      </c>
      <c r="H2561" s="1191"/>
      <c r="I2561" s="706" t="s">
        <v>2106</v>
      </c>
    </row>
    <row r="2562" spans="1:9">
      <c r="A2562" s="706">
        <v>109691</v>
      </c>
      <c r="B2562" s="706" t="s">
        <v>4246</v>
      </c>
      <c r="D2562" s="706" t="s">
        <v>1841</v>
      </c>
      <c r="H2562" s="1191"/>
      <c r="I2562" s="706" t="s">
        <v>2106</v>
      </c>
    </row>
    <row r="2563" spans="1:9">
      <c r="A2563" s="706">
        <v>109692</v>
      </c>
      <c r="B2563" s="706" t="s">
        <v>4247</v>
      </c>
      <c r="D2563" s="706" t="s">
        <v>1841</v>
      </c>
      <c r="H2563" s="1191"/>
      <c r="I2563" s="706" t="s">
        <v>2106</v>
      </c>
    </row>
    <row r="2564" spans="1:9">
      <c r="A2564" s="706">
        <v>109693</v>
      </c>
      <c r="B2564" s="706" t="s">
        <v>4248</v>
      </c>
      <c r="D2564" s="706" t="s">
        <v>1841</v>
      </c>
      <c r="H2564" s="1191"/>
      <c r="I2564" s="706" t="s">
        <v>2106</v>
      </c>
    </row>
    <row r="2565" spans="1:9">
      <c r="A2565" s="706">
        <v>109694</v>
      </c>
      <c r="B2565" s="706" t="s">
        <v>4249</v>
      </c>
      <c r="D2565" s="706" t="s">
        <v>1841</v>
      </c>
      <c r="H2565" s="1191"/>
      <c r="I2565" s="706" t="s">
        <v>2106</v>
      </c>
    </row>
    <row r="2566" spans="1:9">
      <c r="A2566" s="706">
        <v>109695</v>
      </c>
      <c r="B2566" s="706" t="s">
        <v>4250</v>
      </c>
      <c r="D2566" s="706" t="s">
        <v>1841</v>
      </c>
      <c r="H2566" s="1191"/>
      <c r="I2566" s="706" t="s">
        <v>2106</v>
      </c>
    </row>
    <row r="2567" spans="1:9">
      <c r="A2567" s="706">
        <v>109696</v>
      </c>
      <c r="B2567" s="706" t="s">
        <v>4251</v>
      </c>
      <c r="D2567" s="706" t="s">
        <v>1841</v>
      </c>
      <c r="H2567" s="1191"/>
      <c r="I2567" s="706" t="s">
        <v>2106</v>
      </c>
    </row>
    <row r="2568" spans="1:9">
      <c r="A2568" s="706">
        <v>109697</v>
      </c>
      <c r="B2568" s="706" t="s">
        <v>4252</v>
      </c>
      <c r="D2568" s="706" t="s">
        <v>1841</v>
      </c>
      <c r="H2568" s="1191"/>
      <c r="I2568" s="706" t="s">
        <v>2106</v>
      </c>
    </row>
    <row r="2569" spans="1:9">
      <c r="A2569" s="706">
        <v>109698</v>
      </c>
      <c r="B2569" s="706" t="s">
        <v>4253</v>
      </c>
      <c r="D2569" s="706" t="s">
        <v>1841</v>
      </c>
      <c r="H2569" s="1191"/>
      <c r="I2569" s="706" t="s">
        <v>2106</v>
      </c>
    </row>
    <row r="2570" spans="1:9">
      <c r="A2570" s="706">
        <v>109699</v>
      </c>
      <c r="B2570" s="706" t="s">
        <v>4254</v>
      </c>
      <c r="D2570" s="706" t="s">
        <v>1841</v>
      </c>
      <c r="H2570" s="1191"/>
      <c r="I2570" s="706" t="s">
        <v>2106</v>
      </c>
    </row>
    <row r="2571" spans="1:9">
      <c r="A2571" s="706">
        <v>109700</v>
      </c>
      <c r="B2571" s="706" t="s">
        <v>4255</v>
      </c>
      <c r="C2571" s="706" t="s">
        <v>8189</v>
      </c>
      <c r="D2571" s="706" t="s">
        <v>1841</v>
      </c>
      <c r="E2571" s="706">
        <v>22</v>
      </c>
      <c r="F2571" s="706" t="s">
        <v>28</v>
      </c>
      <c r="G2571" s="706">
        <v>406075</v>
      </c>
      <c r="H2571" s="1191">
        <v>44943</v>
      </c>
      <c r="I2571" s="706" t="s">
        <v>2106</v>
      </c>
    </row>
    <row r="2572" spans="1:9">
      <c r="A2572" s="706">
        <v>109701</v>
      </c>
      <c r="B2572" s="706" t="s">
        <v>4256</v>
      </c>
      <c r="D2572" s="706" t="s">
        <v>1841</v>
      </c>
      <c r="H2572" s="1191"/>
      <c r="I2572" s="706" t="s">
        <v>2106</v>
      </c>
    </row>
    <row r="2573" spans="1:9">
      <c r="A2573" s="706">
        <v>109702</v>
      </c>
      <c r="B2573" s="706" t="s">
        <v>4257</v>
      </c>
      <c r="D2573" s="706" t="s">
        <v>1841</v>
      </c>
      <c r="H2573" s="1191"/>
      <c r="I2573" s="706" t="s">
        <v>2106</v>
      </c>
    </row>
    <row r="2574" spans="1:9">
      <c r="A2574" s="706">
        <v>109703</v>
      </c>
      <c r="B2574" s="706" t="s">
        <v>4258</v>
      </c>
      <c r="C2574" s="706" t="s">
        <v>8189</v>
      </c>
      <c r="D2574" s="706" t="s">
        <v>1841</v>
      </c>
      <c r="E2574" s="706">
        <v>9.1630000000000003</v>
      </c>
      <c r="F2574" s="706" t="s">
        <v>28</v>
      </c>
      <c r="G2574" s="706">
        <v>40223</v>
      </c>
      <c r="H2574" s="1191">
        <v>43900</v>
      </c>
      <c r="I2574" s="706" t="s">
        <v>2106</v>
      </c>
    </row>
    <row r="2575" spans="1:9">
      <c r="A2575" s="706">
        <v>109704</v>
      </c>
      <c r="B2575" s="706" t="s">
        <v>4259</v>
      </c>
      <c r="D2575" s="706" t="s">
        <v>1841</v>
      </c>
      <c r="H2575" s="1191"/>
      <c r="I2575" s="706" t="s">
        <v>2106</v>
      </c>
    </row>
    <row r="2576" spans="1:9">
      <c r="A2576" s="706">
        <v>109705</v>
      </c>
      <c r="B2576" s="706" t="s">
        <v>4260</v>
      </c>
      <c r="D2576" s="706" t="s">
        <v>1841</v>
      </c>
      <c r="H2576" s="1191"/>
      <c r="I2576" s="706" t="s">
        <v>2106</v>
      </c>
    </row>
    <row r="2577" spans="1:9">
      <c r="A2577" s="706">
        <v>109706</v>
      </c>
      <c r="B2577" s="706" t="s">
        <v>971</v>
      </c>
      <c r="C2577" s="706" t="s">
        <v>8189</v>
      </c>
      <c r="D2577" s="706" t="s">
        <v>1841</v>
      </c>
      <c r="E2577" s="706">
        <v>7.75</v>
      </c>
      <c r="F2577" s="706" t="s">
        <v>28</v>
      </c>
      <c r="G2577" s="706">
        <v>401393</v>
      </c>
      <c r="H2577" s="1191">
        <v>44068</v>
      </c>
      <c r="I2577" s="706" t="s">
        <v>2106</v>
      </c>
    </row>
    <row r="2578" spans="1:9">
      <c r="A2578" s="706">
        <v>109707</v>
      </c>
      <c r="B2578" s="706" t="s">
        <v>4261</v>
      </c>
      <c r="C2578" s="706" t="s">
        <v>8189</v>
      </c>
      <c r="D2578" s="706" t="s">
        <v>1841</v>
      </c>
      <c r="E2578" s="706">
        <v>9</v>
      </c>
      <c r="F2578" s="706" t="s">
        <v>28</v>
      </c>
      <c r="G2578" s="706">
        <v>406109</v>
      </c>
      <c r="H2578" s="1191">
        <v>44950</v>
      </c>
      <c r="I2578" s="706" t="s">
        <v>2106</v>
      </c>
    </row>
    <row r="2579" spans="1:9">
      <c r="A2579" s="706">
        <v>109708</v>
      </c>
      <c r="B2579" s="706" t="s">
        <v>4262</v>
      </c>
      <c r="D2579" s="706" t="s">
        <v>1841</v>
      </c>
      <c r="H2579" s="1191"/>
      <c r="I2579" s="706" t="s">
        <v>2106</v>
      </c>
    </row>
    <row r="2580" spans="1:9">
      <c r="A2580" s="706">
        <v>109709</v>
      </c>
      <c r="B2580" s="706" t="s">
        <v>4263</v>
      </c>
      <c r="D2580" s="706" t="s">
        <v>1841</v>
      </c>
      <c r="H2580" s="1191"/>
      <c r="I2580" s="706" t="s">
        <v>2106</v>
      </c>
    </row>
    <row r="2581" spans="1:9">
      <c r="A2581" s="706">
        <v>109710</v>
      </c>
      <c r="B2581" s="706" t="s">
        <v>4264</v>
      </c>
      <c r="D2581" s="706" t="s">
        <v>1841</v>
      </c>
      <c r="H2581" s="1191"/>
      <c r="I2581" s="706" t="s">
        <v>2106</v>
      </c>
    </row>
    <row r="2582" spans="1:9">
      <c r="A2582" s="706">
        <v>109711</v>
      </c>
      <c r="B2582" s="706" t="s">
        <v>4265</v>
      </c>
      <c r="D2582" s="706" t="s">
        <v>1841</v>
      </c>
      <c r="H2582" s="1191"/>
      <c r="I2582" s="706" t="s">
        <v>2106</v>
      </c>
    </row>
    <row r="2583" spans="1:9">
      <c r="A2583" s="706">
        <v>109712</v>
      </c>
      <c r="B2583" s="706" t="s">
        <v>4266</v>
      </c>
      <c r="D2583" s="706" t="s">
        <v>1841</v>
      </c>
      <c r="H2583" s="1191"/>
      <c r="I2583" s="706" t="s">
        <v>2106</v>
      </c>
    </row>
    <row r="2584" spans="1:9">
      <c r="A2584" s="706">
        <v>109713</v>
      </c>
      <c r="B2584" s="706" t="s">
        <v>4267</v>
      </c>
      <c r="D2584" s="706" t="s">
        <v>1841</v>
      </c>
      <c r="H2584" s="1191"/>
      <c r="I2584" s="706" t="s">
        <v>2106</v>
      </c>
    </row>
    <row r="2585" spans="1:9">
      <c r="A2585" s="706">
        <v>109714</v>
      </c>
      <c r="B2585" s="706" t="s">
        <v>4268</v>
      </c>
      <c r="D2585" s="706" t="s">
        <v>1841</v>
      </c>
      <c r="H2585" s="1191"/>
      <c r="I2585" s="706" t="s">
        <v>2106</v>
      </c>
    </row>
    <row r="2586" spans="1:9">
      <c r="A2586" s="706">
        <v>109715</v>
      </c>
      <c r="B2586" s="706" t="s">
        <v>4269</v>
      </c>
      <c r="D2586" s="706" t="s">
        <v>1841</v>
      </c>
      <c r="H2586" s="1191"/>
      <c r="I2586" s="706" t="s">
        <v>2106</v>
      </c>
    </row>
    <row r="2587" spans="1:9">
      <c r="A2587" s="706">
        <v>109716</v>
      </c>
      <c r="B2587" s="706" t="s">
        <v>4270</v>
      </c>
      <c r="D2587" s="706" t="s">
        <v>1841</v>
      </c>
      <c r="H2587" s="1191"/>
      <c r="I2587" s="706" t="s">
        <v>2106</v>
      </c>
    </row>
    <row r="2588" spans="1:9">
      <c r="A2588" s="706">
        <v>109717</v>
      </c>
      <c r="B2588" s="706" t="s">
        <v>4271</v>
      </c>
      <c r="D2588" s="706" t="s">
        <v>1841</v>
      </c>
      <c r="H2588" s="1191"/>
      <c r="I2588" s="706" t="s">
        <v>2106</v>
      </c>
    </row>
    <row r="2589" spans="1:9">
      <c r="A2589" s="706">
        <v>109718</v>
      </c>
      <c r="B2589" s="706" t="s">
        <v>4272</v>
      </c>
      <c r="D2589" s="706" t="s">
        <v>1841</v>
      </c>
      <c r="H2589" s="1191"/>
      <c r="I2589" s="706" t="s">
        <v>2106</v>
      </c>
    </row>
    <row r="2590" spans="1:9">
      <c r="A2590" s="706">
        <v>109719</v>
      </c>
      <c r="B2590" s="706" t="s">
        <v>4273</v>
      </c>
      <c r="D2590" s="706" t="s">
        <v>1841</v>
      </c>
      <c r="H2590" s="1191"/>
      <c r="I2590" s="706" t="s">
        <v>2106</v>
      </c>
    </row>
    <row r="2591" spans="1:9">
      <c r="A2591" s="706">
        <v>109720</v>
      </c>
      <c r="B2591" s="706" t="s">
        <v>4274</v>
      </c>
      <c r="D2591" s="706" t="s">
        <v>1841</v>
      </c>
      <c r="H2591" s="1191"/>
      <c r="I2591" s="706" t="s">
        <v>2106</v>
      </c>
    </row>
    <row r="2592" spans="1:9">
      <c r="A2592" s="706">
        <v>109721</v>
      </c>
      <c r="B2592" s="706" t="s">
        <v>4275</v>
      </c>
      <c r="D2592" s="706" t="s">
        <v>1841</v>
      </c>
      <c r="H2592" s="1191"/>
      <c r="I2592" s="706" t="s">
        <v>2106</v>
      </c>
    </row>
    <row r="2593" spans="1:9">
      <c r="A2593" s="706">
        <v>109722</v>
      </c>
      <c r="B2593" s="706" t="s">
        <v>4276</v>
      </c>
      <c r="D2593" s="706" t="s">
        <v>1841</v>
      </c>
      <c r="H2593" s="1191"/>
      <c r="I2593" s="706" t="s">
        <v>2106</v>
      </c>
    </row>
    <row r="2594" spans="1:9">
      <c r="A2594" s="706">
        <v>109723</v>
      </c>
      <c r="B2594" s="706" t="s">
        <v>4277</v>
      </c>
      <c r="D2594" s="706" t="s">
        <v>1841</v>
      </c>
      <c r="H2594" s="1191"/>
      <c r="I2594" s="706" t="s">
        <v>2106</v>
      </c>
    </row>
    <row r="2595" spans="1:9">
      <c r="A2595" s="706">
        <v>109724</v>
      </c>
      <c r="B2595" s="706" t="s">
        <v>4278</v>
      </c>
      <c r="D2595" s="706" t="s">
        <v>1841</v>
      </c>
      <c r="H2595" s="1191"/>
      <c r="I2595" s="706" t="s">
        <v>2106</v>
      </c>
    </row>
    <row r="2596" spans="1:9">
      <c r="A2596" s="706">
        <v>109725</v>
      </c>
      <c r="B2596" s="706" t="s">
        <v>4279</v>
      </c>
      <c r="D2596" s="706" t="s">
        <v>1841</v>
      </c>
      <c r="H2596" s="1191"/>
      <c r="I2596" s="706" t="s">
        <v>2106</v>
      </c>
    </row>
    <row r="2597" spans="1:9">
      <c r="A2597" s="706">
        <v>109726</v>
      </c>
      <c r="B2597" s="706" t="s">
        <v>4280</v>
      </c>
      <c r="D2597" s="706" t="s">
        <v>1841</v>
      </c>
      <c r="H2597" s="1191"/>
      <c r="I2597" s="706" t="s">
        <v>2106</v>
      </c>
    </row>
    <row r="2598" spans="1:9">
      <c r="A2598" s="706">
        <v>109727</v>
      </c>
      <c r="B2598" s="706" t="s">
        <v>4281</v>
      </c>
      <c r="D2598" s="706" t="s">
        <v>1841</v>
      </c>
      <c r="H2598" s="1191"/>
      <c r="I2598" s="706" t="s">
        <v>2106</v>
      </c>
    </row>
    <row r="2599" spans="1:9">
      <c r="A2599" s="706">
        <v>109728</v>
      </c>
      <c r="B2599" s="706" t="s">
        <v>4282</v>
      </c>
      <c r="D2599" s="706" t="s">
        <v>1841</v>
      </c>
      <c r="H2599" s="1191"/>
      <c r="I2599" s="706" t="s">
        <v>2106</v>
      </c>
    </row>
    <row r="2600" spans="1:9">
      <c r="A2600" s="706">
        <v>109729</v>
      </c>
      <c r="B2600" s="706" t="s">
        <v>4283</v>
      </c>
      <c r="D2600" s="706" t="s">
        <v>1841</v>
      </c>
      <c r="H2600" s="1191"/>
      <c r="I2600" s="706" t="s">
        <v>2106</v>
      </c>
    </row>
    <row r="2601" spans="1:9">
      <c r="A2601" s="706">
        <v>109730</v>
      </c>
      <c r="B2601" s="706" t="s">
        <v>4284</v>
      </c>
      <c r="D2601" s="706" t="s">
        <v>1841</v>
      </c>
      <c r="H2601" s="1191"/>
      <c r="I2601" s="706" t="s">
        <v>2106</v>
      </c>
    </row>
    <row r="2602" spans="1:9">
      <c r="A2602" s="706">
        <v>109731</v>
      </c>
      <c r="B2602" s="706" t="s">
        <v>4285</v>
      </c>
      <c r="C2602" s="706" t="s">
        <v>8189</v>
      </c>
      <c r="D2602" s="706" t="s">
        <v>1841</v>
      </c>
      <c r="E2602" s="706">
        <v>6.5392000000000001</v>
      </c>
      <c r="F2602" s="706" t="s">
        <v>28</v>
      </c>
      <c r="G2602" s="706">
        <v>400038</v>
      </c>
      <c r="H2602" s="1191">
        <v>43921</v>
      </c>
      <c r="I2602" s="706" t="s">
        <v>2106</v>
      </c>
    </row>
    <row r="2603" spans="1:9">
      <c r="A2603" s="706">
        <v>109732</v>
      </c>
      <c r="B2603" s="706" t="s">
        <v>4286</v>
      </c>
      <c r="D2603" s="706" t="s">
        <v>1841</v>
      </c>
      <c r="H2603" s="1191"/>
      <c r="I2603" s="706" t="s">
        <v>2106</v>
      </c>
    </row>
    <row r="2604" spans="1:9">
      <c r="A2604" s="706">
        <v>109733</v>
      </c>
      <c r="B2604" s="706" t="s">
        <v>4287</v>
      </c>
      <c r="D2604" s="706" t="s">
        <v>1841</v>
      </c>
      <c r="H2604" s="1191"/>
      <c r="I2604" s="706" t="s">
        <v>2106</v>
      </c>
    </row>
    <row r="2605" spans="1:9">
      <c r="A2605" s="706">
        <v>109734</v>
      </c>
      <c r="B2605" s="706" t="s">
        <v>4288</v>
      </c>
      <c r="D2605" s="706" t="s">
        <v>1841</v>
      </c>
      <c r="H2605" s="1191"/>
      <c r="I2605" s="706" t="s">
        <v>2106</v>
      </c>
    </row>
    <row r="2606" spans="1:9">
      <c r="A2606" s="706">
        <v>109735</v>
      </c>
      <c r="B2606" s="706" t="s">
        <v>4289</v>
      </c>
      <c r="D2606" s="706" t="s">
        <v>1841</v>
      </c>
      <c r="H2606" s="1191"/>
      <c r="I2606" s="706" t="s">
        <v>2106</v>
      </c>
    </row>
    <row r="2607" spans="1:9">
      <c r="A2607" s="706">
        <v>109736</v>
      </c>
      <c r="B2607" s="706" t="s">
        <v>4290</v>
      </c>
      <c r="D2607" s="706" t="s">
        <v>1841</v>
      </c>
      <c r="H2607" s="1191"/>
      <c r="I2607" s="706" t="s">
        <v>2106</v>
      </c>
    </row>
    <row r="2608" spans="1:9">
      <c r="A2608" s="706">
        <v>109737</v>
      </c>
      <c r="B2608" s="706" t="s">
        <v>4291</v>
      </c>
      <c r="D2608" s="706" t="s">
        <v>1841</v>
      </c>
      <c r="H2608" s="1191"/>
      <c r="I2608" s="706" t="s">
        <v>2106</v>
      </c>
    </row>
    <row r="2609" spans="1:9">
      <c r="A2609" s="706">
        <v>109738</v>
      </c>
      <c r="B2609" s="706" t="s">
        <v>4292</v>
      </c>
      <c r="D2609" s="706" t="s">
        <v>1841</v>
      </c>
      <c r="H2609" s="1191"/>
      <c r="I2609" s="706" t="s">
        <v>2106</v>
      </c>
    </row>
    <row r="2610" spans="1:9">
      <c r="A2610" s="706">
        <v>109739</v>
      </c>
      <c r="B2610" s="706" t="s">
        <v>4293</v>
      </c>
      <c r="D2610" s="706" t="s">
        <v>1841</v>
      </c>
      <c r="H2610" s="1191"/>
      <c r="I2610" s="706" t="s">
        <v>2106</v>
      </c>
    </row>
    <row r="2611" spans="1:9">
      <c r="A2611" s="706">
        <v>109740</v>
      </c>
      <c r="B2611" s="706" t="s">
        <v>4294</v>
      </c>
      <c r="D2611" s="706" t="s">
        <v>1841</v>
      </c>
      <c r="H2611" s="1191"/>
      <c r="I2611" s="706" t="s">
        <v>2106</v>
      </c>
    </row>
    <row r="2612" spans="1:9">
      <c r="A2612" s="706">
        <v>109741</v>
      </c>
      <c r="B2612" s="706" t="s">
        <v>4295</v>
      </c>
      <c r="C2612" s="706" t="s">
        <v>8189</v>
      </c>
      <c r="D2612" s="706" t="s">
        <v>1841</v>
      </c>
      <c r="E2612" s="706">
        <v>14</v>
      </c>
      <c r="F2612" s="706" t="s">
        <v>28</v>
      </c>
      <c r="G2612" s="706">
        <v>400077</v>
      </c>
      <c r="H2612" s="1191">
        <v>43924</v>
      </c>
      <c r="I2612" s="706" t="s">
        <v>2106</v>
      </c>
    </row>
    <row r="2613" spans="1:9">
      <c r="A2613" s="706">
        <v>109742</v>
      </c>
      <c r="B2613" s="706" t="s">
        <v>4296</v>
      </c>
      <c r="D2613" s="706" t="s">
        <v>1841</v>
      </c>
      <c r="H2613" s="1191"/>
      <c r="I2613" s="706" t="s">
        <v>2106</v>
      </c>
    </row>
    <row r="2614" spans="1:9">
      <c r="A2614" s="706">
        <v>109743</v>
      </c>
      <c r="B2614" s="706" t="s">
        <v>4297</v>
      </c>
      <c r="D2614" s="706" t="s">
        <v>1841</v>
      </c>
      <c r="H2614" s="1191"/>
      <c r="I2614" s="706" t="s">
        <v>2106</v>
      </c>
    </row>
    <row r="2615" spans="1:9">
      <c r="A2615" s="706">
        <v>109744</v>
      </c>
      <c r="B2615" s="706" t="s">
        <v>4298</v>
      </c>
      <c r="D2615" s="706" t="s">
        <v>1841</v>
      </c>
      <c r="H2615" s="1191"/>
      <c r="I2615" s="706" t="s">
        <v>2106</v>
      </c>
    </row>
    <row r="2616" spans="1:9">
      <c r="A2616" s="706">
        <v>109745</v>
      </c>
      <c r="B2616" s="706" t="s">
        <v>4299</v>
      </c>
      <c r="D2616" s="706" t="s">
        <v>1841</v>
      </c>
      <c r="H2616" s="1191"/>
      <c r="I2616" s="706" t="s">
        <v>2106</v>
      </c>
    </row>
    <row r="2617" spans="1:9">
      <c r="A2617" s="706">
        <v>109746</v>
      </c>
      <c r="B2617" s="706" t="s">
        <v>4300</v>
      </c>
      <c r="D2617" s="706" t="s">
        <v>1841</v>
      </c>
      <c r="H2617" s="1191"/>
      <c r="I2617" s="706" t="s">
        <v>2106</v>
      </c>
    </row>
    <row r="2618" spans="1:9">
      <c r="A2618" s="706">
        <v>109747</v>
      </c>
      <c r="B2618" s="706" t="s">
        <v>4301</v>
      </c>
      <c r="C2618" s="706" t="s">
        <v>8189</v>
      </c>
      <c r="D2618" s="706" t="s">
        <v>1841</v>
      </c>
      <c r="E2618" s="706">
        <v>3.42</v>
      </c>
      <c r="F2618" s="706" t="s">
        <v>28</v>
      </c>
      <c r="G2618" s="706">
        <v>400822</v>
      </c>
      <c r="H2618" s="1191">
        <v>44008</v>
      </c>
      <c r="I2618" s="706" t="s">
        <v>2106</v>
      </c>
    </row>
    <row r="2619" spans="1:9">
      <c r="A2619" s="706">
        <v>109748</v>
      </c>
      <c r="B2619" s="706" t="s">
        <v>4302</v>
      </c>
      <c r="D2619" s="706" t="s">
        <v>1841</v>
      </c>
      <c r="H2619" s="1191"/>
      <c r="I2619" s="706" t="s">
        <v>2106</v>
      </c>
    </row>
    <row r="2620" spans="1:9">
      <c r="A2620" s="706">
        <v>109749</v>
      </c>
      <c r="B2620" s="706" t="s">
        <v>4303</v>
      </c>
      <c r="D2620" s="706" t="s">
        <v>1841</v>
      </c>
      <c r="H2620" s="1191"/>
      <c r="I2620" s="706" t="s">
        <v>2106</v>
      </c>
    </row>
    <row r="2621" spans="1:9">
      <c r="A2621" s="706">
        <v>109750</v>
      </c>
      <c r="B2621" s="706" t="s">
        <v>4304</v>
      </c>
      <c r="D2621" s="706" t="s">
        <v>1841</v>
      </c>
      <c r="H2621" s="1191"/>
      <c r="I2621" s="706" t="s">
        <v>2106</v>
      </c>
    </row>
    <row r="2622" spans="1:9">
      <c r="A2622" s="706">
        <v>109751</v>
      </c>
      <c r="B2622" s="706" t="s">
        <v>4305</v>
      </c>
      <c r="D2622" s="706" t="s">
        <v>1841</v>
      </c>
      <c r="H2622" s="1191"/>
      <c r="I2622" s="706" t="s">
        <v>2106</v>
      </c>
    </row>
    <row r="2623" spans="1:9">
      <c r="A2623" s="706">
        <v>109752</v>
      </c>
      <c r="B2623" s="706" t="s">
        <v>4306</v>
      </c>
      <c r="D2623" s="706" t="s">
        <v>1841</v>
      </c>
      <c r="H2623" s="1191"/>
      <c r="I2623" s="706" t="s">
        <v>2106</v>
      </c>
    </row>
    <row r="2624" spans="1:9">
      <c r="A2624" s="706">
        <v>109753</v>
      </c>
      <c r="B2624" s="706" t="s">
        <v>4307</v>
      </c>
      <c r="D2624" s="706" t="s">
        <v>1841</v>
      </c>
      <c r="H2624" s="1191"/>
      <c r="I2624" s="706" t="s">
        <v>2106</v>
      </c>
    </row>
    <row r="2625" spans="1:9">
      <c r="A2625" s="706">
        <v>109754</v>
      </c>
      <c r="B2625" s="706" t="s">
        <v>4308</v>
      </c>
      <c r="D2625" s="706" t="s">
        <v>1841</v>
      </c>
      <c r="H2625" s="1191"/>
      <c r="I2625" s="706" t="s">
        <v>2106</v>
      </c>
    </row>
    <row r="2626" spans="1:9">
      <c r="A2626" s="706">
        <v>109755</v>
      </c>
      <c r="B2626" s="706" t="s">
        <v>4309</v>
      </c>
      <c r="D2626" s="706" t="s">
        <v>1841</v>
      </c>
      <c r="H2626" s="1191"/>
      <c r="I2626" s="706" t="s">
        <v>2106</v>
      </c>
    </row>
    <row r="2627" spans="1:9">
      <c r="A2627" s="706">
        <v>109756</v>
      </c>
      <c r="B2627" s="706" t="s">
        <v>4310</v>
      </c>
      <c r="D2627" s="706" t="s">
        <v>1841</v>
      </c>
      <c r="H2627" s="1191"/>
      <c r="I2627" s="706" t="s">
        <v>2106</v>
      </c>
    </row>
    <row r="2628" spans="1:9">
      <c r="A2628" s="706">
        <v>109757</v>
      </c>
      <c r="B2628" s="706" t="s">
        <v>4311</v>
      </c>
      <c r="D2628" s="706" t="s">
        <v>1841</v>
      </c>
      <c r="H2628" s="1191"/>
      <c r="I2628" s="706" t="s">
        <v>2106</v>
      </c>
    </row>
    <row r="2629" spans="1:9">
      <c r="A2629" s="706">
        <v>109758</v>
      </c>
      <c r="B2629" s="706" t="s">
        <v>4312</v>
      </c>
      <c r="D2629" s="706" t="s">
        <v>1841</v>
      </c>
      <c r="H2629" s="1191"/>
      <c r="I2629" s="706" t="s">
        <v>2106</v>
      </c>
    </row>
    <row r="2630" spans="1:9">
      <c r="A2630" s="706">
        <v>109759</v>
      </c>
      <c r="B2630" s="706" t="s">
        <v>4313</v>
      </c>
      <c r="D2630" s="706" t="s">
        <v>1841</v>
      </c>
      <c r="H2630" s="1191"/>
      <c r="I2630" s="706" t="s">
        <v>2106</v>
      </c>
    </row>
    <row r="2631" spans="1:9">
      <c r="A2631" s="706">
        <v>109760</v>
      </c>
      <c r="B2631" s="706" t="s">
        <v>4314</v>
      </c>
      <c r="D2631" s="706" t="s">
        <v>1841</v>
      </c>
      <c r="H2631" s="1191"/>
      <c r="I2631" s="706" t="s">
        <v>2106</v>
      </c>
    </row>
    <row r="2632" spans="1:9">
      <c r="A2632" s="706">
        <v>109761</v>
      </c>
      <c r="B2632" s="706" t="s">
        <v>4315</v>
      </c>
      <c r="D2632" s="706" t="s">
        <v>1841</v>
      </c>
      <c r="H2632" s="1191"/>
      <c r="I2632" s="706" t="s">
        <v>2106</v>
      </c>
    </row>
    <row r="2633" spans="1:9">
      <c r="A2633" s="706">
        <v>109762</v>
      </c>
      <c r="B2633" s="706" t="s">
        <v>4316</v>
      </c>
      <c r="D2633" s="706" t="s">
        <v>1841</v>
      </c>
      <c r="H2633" s="1191"/>
      <c r="I2633" s="706" t="s">
        <v>2106</v>
      </c>
    </row>
    <row r="2634" spans="1:9">
      <c r="A2634" s="706">
        <v>109763</v>
      </c>
      <c r="B2634" s="706" t="s">
        <v>4317</v>
      </c>
      <c r="D2634" s="706" t="s">
        <v>1841</v>
      </c>
      <c r="H2634" s="1191"/>
      <c r="I2634" s="706" t="s">
        <v>2106</v>
      </c>
    </row>
    <row r="2635" spans="1:9">
      <c r="A2635" s="706">
        <v>109764</v>
      </c>
      <c r="B2635" s="706" t="s">
        <v>4318</v>
      </c>
      <c r="D2635" s="706" t="s">
        <v>1841</v>
      </c>
      <c r="H2635" s="1191"/>
      <c r="I2635" s="706" t="s">
        <v>2106</v>
      </c>
    </row>
    <row r="2636" spans="1:9">
      <c r="A2636" s="706">
        <v>109765</v>
      </c>
      <c r="B2636" s="706" t="s">
        <v>4319</v>
      </c>
      <c r="D2636" s="706" t="s">
        <v>1841</v>
      </c>
      <c r="H2636" s="1191"/>
      <c r="I2636" s="706" t="s">
        <v>2106</v>
      </c>
    </row>
    <row r="2637" spans="1:9">
      <c r="A2637" s="706">
        <v>109766</v>
      </c>
      <c r="B2637" s="706" t="s">
        <v>4320</v>
      </c>
      <c r="D2637" s="706" t="s">
        <v>1841</v>
      </c>
      <c r="H2637" s="1191"/>
      <c r="I2637" s="706" t="s">
        <v>2106</v>
      </c>
    </row>
    <row r="2638" spans="1:9">
      <c r="A2638" s="706">
        <v>109767</v>
      </c>
      <c r="B2638" s="706" t="s">
        <v>4321</v>
      </c>
      <c r="D2638" s="706" t="s">
        <v>1841</v>
      </c>
      <c r="H2638" s="1191"/>
      <c r="I2638" s="706" t="s">
        <v>2106</v>
      </c>
    </row>
    <row r="2639" spans="1:9">
      <c r="A2639" s="706">
        <v>109768</v>
      </c>
      <c r="B2639" s="706" t="s">
        <v>4322</v>
      </c>
      <c r="D2639" s="706" t="s">
        <v>1841</v>
      </c>
      <c r="H2639" s="1191"/>
      <c r="I2639" s="706" t="s">
        <v>2106</v>
      </c>
    </row>
    <row r="2640" spans="1:9">
      <c r="A2640" s="706">
        <v>109769</v>
      </c>
      <c r="B2640" s="706" t="s">
        <v>4323</v>
      </c>
      <c r="D2640" s="706" t="s">
        <v>1841</v>
      </c>
      <c r="H2640" s="1191"/>
      <c r="I2640" s="706" t="s">
        <v>2106</v>
      </c>
    </row>
    <row r="2641" spans="1:9">
      <c r="A2641" s="706">
        <v>109770</v>
      </c>
      <c r="B2641" s="706" t="s">
        <v>4324</v>
      </c>
      <c r="D2641" s="706" t="s">
        <v>1841</v>
      </c>
      <c r="H2641" s="1191"/>
      <c r="I2641" s="706" t="s">
        <v>2106</v>
      </c>
    </row>
    <row r="2642" spans="1:9">
      <c r="A2642" s="706">
        <v>109771</v>
      </c>
      <c r="B2642" s="706" t="s">
        <v>4325</v>
      </c>
      <c r="C2642" s="706" t="s">
        <v>8189</v>
      </c>
      <c r="D2642" s="706" t="s">
        <v>1841</v>
      </c>
      <c r="E2642" s="706">
        <v>3.34</v>
      </c>
      <c r="F2642" s="706" t="s">
        <v>28</v>
      </c>
      <c r="G2642" s="706">
        <v>411794</v>
      </c>
      <c r="H2642" s="1191">
        <v>46076</v>
      </c>
      <c r="I2642" s="706" t="s">
        <v>2106</v>
      </c>
    </row>
    <row r="2643" spans="1:9">
      <c r="A2643" s="706">
        <v>109772</v>
      </c>
      <c r="B2643" s="706" t="s">
        <v>4326</v>
      </c>
      <c r="D2643" s="706" t="s">
        <v>1841</v>
      </c>
      <c r="H2643" s="1191"/>
      <c r="I2643" s="706" t="s">
        <v>2106</v>
      </c>
    </row>
    <row r="2644" spans="1:9">
      <c r="A2644" s="706">
        <v>109773</v>
      </c>
      <c r="B2644" s="706" t="s">
        <v>4327</v>
      </c>
      <c r="D2644" s="706" t="s">
        <v>1841</v>
      </c>
      <c r="H2644" s="1191"/>
      <c r="I2644" s="706" t="s">
        <v>2106</v>
      </c>
    </row>
    <row r="2645" spans="1:9">
      <c r="A2645" s="706">
        <v>109774</v>
      </c>
      <c r="B2645" s="706" t="s">
        <v>4328</v>
      </c>
      <c r="D2645" s="706" t="s">
        <v>1841</v>
      </c>
      <c r="H2645" s="1191"/>
      <c r="I2645" s="706" t="s">
        <v>2106</v>
      </c>
    </row>
    <row r="2646" spans="1:9">
      <c r="A2646" s="706">
        <v>109775</v>
      </c>
      <c r="B2646" s="706" t="s">
        <v>4329</v>
      </c>
      <c r="D2646" s="706" t="s">
        <v>1841</v>
      </c>
      <c r="H2646" s="1191"/>
      <c r="I2646" s="706" t="s">
        <v>2106</v>
      </c>
    </row>
    <row r="2647" spans="1:9">
      <c r="A2647" s="706">
        <v>109776</v>
      </c>
      <c r="B2647" s="706" t="s">
        <v>4330</v>
      </c>
      <c r="D2647" s="706" t="s">
        <v>1841</v>
      </c>
      <c r="H2647" s="1191"/>
      <c r="I2647" s="706" t="s">
        <v>2106</v>
      </c>
    </row>
    <row r="2648" spans="1:9">
      <c r="A2648" s="706">
        <v>109777</v>
      </c>
      <c r="B2648" s="706" t="s">
        <v>4331</v>
      </c>
      <c r="D2648" s="706" t="s">
        <v>1841</v>
      </c>
      <c r="H2648" s="1191"/>
      <c r="I2648" s="706" t="s">
        <v>2106</v>
      </c>
    </row>
    <row r="2649" spans="1:9">
      <c r="A2649" s="706">
        <v>109778</v>
      </c>
      <c r="B2649" s="706" t="s">
        <v>4332</v>
      </c>
      <c r="D2649" s="706" t="s">
        <v>1841</v>
      </c>
      <c r="H2649" s="1191"/>
      <c r="I2649" s="706" t="s">
        <v>2106</v>
      </c>
    </row>
    <row r="2650" spans="1:9">
      <c r="A2650" s="706">
        <v>109779</v>
      </c>
      <c r="B2650" s="706" t="s">
        <v>4333</v>
      </c>
      <c r="D2650" s="706" t="s">
        <v>1841</v>
      </c>
      <c r="H2650" s="1191"/>
      <c r="I2650" s="706" t="s">
        <v>2106</v>
      </c>
    </row>
    <row r="2651" spans="1:9">
      <c r="A2651" s="706">
        <v>109780</v>
      </c>
      <c r="B2651" s="706" t="s">
        <v>4334</v>
      </c>
      <c r="D2651" s="706" t="s">
        <v>1841</v>
      </c>
      <c r="H2651" s="1191"/>
      <c r="I2651" s="706" t="s">
        <v>2106</v>
      </c>
    </row>
    <row r="2652" spans="1:9">
      <c r="A2652" s="706">
        <v>109781</v>
      </c>
      <c r="B2652" s="706" t="s">
        <v>4335</v>
      </c>
      <c r="D2652" s="706" t="s">
        <v>1841</v>
      </c>
      <c r="H2652" s="1191"/>
      <c r="I2652" s="706" t="s">
        <v>2106</v>
      </c>
    </row>
    <row r="2653" spans="1:9">
      <c r="A2653" s="706">
        <v>109782</v>
      </c>
      <c r="B2653" s="706" t="s">
        <v>4336</v>
      </c>
      <c r="D2653" s="706" t="s">
        <v>1841</v>
      </c>
      <c r="H2653" s="1191"/>
      <c r="I2653" s="706" t="s">
        <v>2106</v>
      </c>
    </row>
    <row r="2654" spans="1:9">
      <c r="A2654" s="706">
        <v>109783</v>
      </c>
      <c r="B2654" s="706" t="s">
        <v>4337</v>
      </c>
      <c r="D2654" s="706" t="s">
        <v>1841</v>
      </c>
      <c r="H2654" s="1191"/>
      <c r="I2654" s="706" t="s">
        <v>2106</v>
      </c>
    </row>
    <row r="2655" spans="1:9">
      <c r="A2655" s="706">
        <v>109784</v>
      </c>
      <c r="B2655" s="706" t="s">
        <v>4338</v>
      </c>
      <c r="D2655" s="706" t="s">
        <v>1841</v>
      </c>
      <c r="H2655" s="1191"/>
      <c r="I2655" s="706" t="s">
        <v>2106</v>
      </c>
    </row>
    <row r="2656" spans="1:9">
      <c r="A2656" s="706">
        <v>109785</v>
      </c>
      <c r="B2656" s="706" t="s">
        <v>4339</v>
      </c>
      <c r="D2656" s="706" t="s">
        <v>1841</v>
      </c>
      <c r="H2656" s="1191"/>
      <c r="I2656" s="706" t="s">
        <v>2106</v>
      </c>
    </row>
    <row r="2657" spans="1:9">
      <c r="A2657" s="706">
        <v>109786</v>
      </c>
      <c r="B2657" s="706" t="s">
        <v>4340</v>
      </c>
      <c r="D2657" s="706" t="s">
        <v>1841</v>
      </c>
      <c r="H2657" s="1191"/>
      <c r="I2657" s="706" t="s">
        <v>2106</v>
      </c>
    </row>
    <row r="2658" spans="1:9">
      <c r="A2658" s="706">
        <v>109787</v>
      </c>
      <c r="B2658" s="706" t="s">
        <v>4341</v>
      </c>
      <c r="C2658" s="706" t="s">
        <v>8189</v>
      </c>
      <c r="D2658" s="706" t="s">
        <v>1841</v>
      </c>
      <c r="E2658" s="706">
        <v>7</v>
      </c>
      <c r="F2658" s="706" t="s">
        <v>28</v>
      </c>
      <c r="G2658" s="706">
        <v>410010</v>
      </c>
      <c r="H2658" s="1191">
        <v>45733</v>
      </c>
      <c r="I2658" s="706" t="s">
        <v>2106</v>
      </c>
    </row>
    <row r="2659" spans="1:9">
      <c r="A2659" s="706">
        <v>109788</v>
      </c>
      <c r="B2659" s="706" t="s">
        <v>4342</v>
      </c>
      <c r="D2659" s="706" t="s">
        <v>1841</v>
      </c>
      <c r="H2659" s="1191"/>
      <c r="I2659" s="706" t="s">
        <v>2106</v>
      </c>
    </row>
    <row r="2660" spans="1:9">
      <c r="A2660" s="706">
        <v>109789</v>
      </c>
      <c r="B2660" s="706" t="s">
        <v>4343</v>
      </c>
      <c r="C2660" s="706" t="s">
        <v>8186</v>
      </c>
      <c r="D2660" s="706" t="s">
        <v>1841</v>
      </c>
      <c r="E2660" s="706">
        <v>14.816000000000001</v>
      </c>
      <c r="F2660" s="706" t="s">
        <v>28</v>
      </c>
      <c r="G2660" s="706">
        <v>411772</v>
      </c>
      <c r="H2660" s="1191">
        <v>46072</v>
      </c>
      <c r="I2660" s="706" t="s">
        <v>2106</v>
      </c>
    </row>
    <row r="2661" spans="1:9">
      <c r="A2661" s="706">
        <v>109790</v>
      </c>
      <c r="B2661" s="706" t="s">
        <v>4344</v>
      </c>
      <c r="C2661" s="706" t="s">
        <v>8189</v>
      </c>
      <c r="D2661" s="706" t="s">
        <v>1841</v>
      </c>
      <c r="E2661" s="706">
        <v>1.5</v>
      </c>
      <c r="F2661" s="706" t="s">
        <v>28</v>
      </c>
      <c r="G2661" s="706">
        <v>400645</v>
      </c>
      <c r="H2661" s="1191">
        <v>43985</v>
      </c>
      <c r="I2661" s="706" t="s">
        <v>2106</v>
      </c>
    </row>
    <row r="2662" spans="1:9">
      <c r="A2662" s="706">
        <v>109791</v>
      </c>
      <c r="B2662" s="706" t="s">
        <v>4345</v>
      </c>
      <c r="D2662" s="706" t="s">
        <v>1841</v>
      </c>
      <c r="H2662" s="1191"/>
      <c r="I2662" s="706" t="s">
        <v>2106</v>
      </c>
    </row>
    <row r="2663" spans="1:9">
      <c r="A2663" s="706">
        <v>109792</v>
      </c>
      <c r="B2663" s="706" t="s">
        <v>4346</v>
      </c>
      <c r="D2663" s="706" t="s">
        <v>1841</v>
      </c>
      <c r="H2663" s="1191"/>
      <c r="I2663" s="706" t="s">
        <v>2106</v>
      </c>
    </row>
    <row r="2664" spans="1:9">
      <c r="A2664" s="706">
        <v>109793</v>
      </c>
      <c r="B2664" s="706" t="s">
        <v>4347</v>
      </c>
      <c r="D2664" s="706" t="s">
        <v>1841</v>
      </c>
      <c r="H2664" s="1191"/>
      <c r="I2664" s="706" t="s">
        <v>2106</v>
      </c>
    </row>
    <row r="2665" spans="1:9">
      <c r="A2665" s="706">
        <v>109794</v>
      </c>
      <c r="B2665" s="706" t="s">
        <v>4348</v>
      </c>
      <c r="D2665" s="706" t="s">
        <v>1841</v>
      </c>
      <c r="H2665" s="1191"/>
      <c r="I2665" s="706" t="s">
        <v>2106</v>
      </c>
    </row>
    <row r="2666" spans="1:9">
      <c r="A2666" s="706">
        <v>109795</v>
      </c>
      <c r="B2666" s="706" t="s">
        <v>4349</v>
      </c>
      <c r="D2666" s="706" t="s">
        <v>1841</v>
      </c>
      <c r="H2666" s="1191"/>
      <c r="I2666" s="706" t="s">
        <v>2106</v>
      </c>
    </row>
    <row r="2667" spans="1:9">
      <c r="A2667" s="706">
        <v>109796</v>
      </c>
      <c r="B2667" s="706" t="s">
        <v>4350</v>
      </c>
      <c r="D2667" s="706" t="s">
        <v>1841</v>
      </c>
      <c r="H2667" s="1191"/>
      <c r="I2667" s="706" t="s">
        <v>2106</v>
      </c>
    </row>
    <row r="2668" spans="1:9">
      <c r="A2668" s="706">
        <v>109797</v>
      </c>
      <c r="B2668" s="706" t="s">
        <v>4351</v>
      </c>
      <c r="D2668" s="706" t="s">
        <v>1841</v>
      </c>
      <c r="H2668" s="1191"/>
      <c r="I2668" s="706" t="s">
        <v>2106</v>
      </c>
    </row>
    <row r="2669" spans="1:9">
      <c r="A2669" s="706">
        <v>109798</v>
      </c>
      <c r="B2669" s="706" t="s">
        <v>4352</v>
      </c>
      <c r="C2669" s="706" t="s">
        <v>8189</v>
      </c>
      <c r="D2669" s="706" t="s">
        <v>1841</v>
      </c>
      <c r="E2669" s="706">
        <v>1.92</v>
      </c>
      <c r="F2669" s="706" t="s">
        <v>28</v>
      </c>
      <c r="G2669" s="706">
        <v>401388</v>
      </c>
      <c r="H2669" s="1191">
        <v>44067</v>
      </c>
      <c r="I2669" s="706" t="s">
        <v>2106</v>
      </c>
    </row>
    <row r="2670" spans="1:9">
      <c r="A2670" s="706">
        <v>109799</v>
      </c>
      <c r="B2670" s="706" t="s">
        <v>4353</v>
      </c>
      <c r="D2670" s="706" t="s">
        <v>1841</v>
      </c>
      <c r="H2670" s="1191"/>
      <c r="I2670" s="706" t="s">
        <v>2106</v>
      </c>
    </row>
    <row r="2671" spans="1:9">
      <c r="A2671" s="706">
        <v>109800</v>
      </c>
      <c r="B2671" s="706" t="s">
        <v>4354</v>
      </c>
      <c r="D2671" s="706" t="s">
        <v>1841</v>
      </c>
      <c r="H2671" s="1191"/>
      <c r="I2671" s="706" t="s">
        <v>2106</v>
      </c>
    </row>
    <row r="2672" spans="1:9">
      <c r="A2672" s="706">
        <v>111775</v>
      </c>
      <c r="B2672" s="706" t="s">
        <v>4355</v>
      </c>
      <c r="D2672" s="706" t="s">
        <v>1841</v>
      </c>
      <c r="H2672" s="1191"/>
      <c r="I2672" s="706" t="s">
        <v>4356</v>
      </c>
    </row>
    <row r="2673" spans="1:9">
      <c r="A2673" s="706">
        <v>111776</v>
      </c>
      <c r="B2673" s="706" t="s">
        <v>4357</v>
      </c>
      <c r="C2673" s="706" t="s">
        <v>8198</v>
      </c>
      <c r="D2673" s="706" t="s">
        <v>1841</v>
      </c>
      <c r="E2673" s="706">
        <v>0.78890000000000005</v>
      </c>
      <c r="F2673" s="706" t="s">
        <v>768</v>
      </c>
      <c r="G2673" s="706">
        <v>407432</v>
      </c>
      <c r="H2673" s="1191">
        <v>45230</v>
      </c>
      <c r="I2673" s="706" t="s">
        <v>4356</v>
      </c>
    </row>
    <row r="2674" spans="1:9">
      <c r="A2674" s="706">
        <v>111777</v>
      </c>
      <c r="B2674" s="706" t="s">
        <v>4358</v>
      </c>
      <c r="D2674" s="706" t="s">
        <v>1841</v>
      </c>
      <c r="H2674" s="1191"/>
      <c r="I2674" s="706" t="s">
        <v>4356</v>
      </c>
    </row>
    <row r="2675" spans="1:9">
      <c r="A2675" s="706">
        <v>111778</v>
      </c>
      <c r="B2675" s="706" t="s">
        <v>4359</v>
      </c>
      <c r="D2675" s="706" t="s">
        <v>1841</v>
      </c>
      <c r="H2675" s="1191"/>
      <c r="I2675" s="706" t="s">
        <v>4356</v>
      </c>
    </row>
    <row r="2676" spans="1:9">
      <c r="A2676" s="706">
        <v>111976</v>
      </c>
      <c r="B2676" s="706" t="s">
        <v>4360</v>
      </c>
      <c r="D2676" s="706" t="s">
        <v>1841</v>
      </c>
      <c r="H2676" s="1191"/>
      <c r="I2676" s="706" t="s">
        <v>4361</v>
      </c>
    </row>
    <row r="2677" spans="1:9">
      <c r="A2677" s="706">
        <v>111977</v>
      </c>
      <c r="B2677" s="706" t="s">
        <v>4362</v>
      </c>
      <c r="D2677" s="706" t="s">
        <v>1841</v>
      </c>
      <c r="H2677" s="1191"/>
      <c r="I2677" s="706" t="s">
        <v>4363</v>
      </c>
    </row>
    <row r="2678" spans="1:9">
      <c r="A2678" s="706">
        <v>111978</v>
      </c>
      <c r="B2678" s="706" t="s">
        <v>4364</v>
      </c>
      <c r="D2678" s="706" t="s">
        <v>1841</v>
      </c>
      <c r="H2678" s="1191"/>
      <c r="I2678" s="706" t="s">
        <v>4361</v>
      </c>
    </row>
    <row r="2679" spans="1:9">
      <c r="A2679" s="706">
        <v>111979</v>
      </c>
      <c r="B2679" s="706" t="s">
        <v>4365</v>
      </c>
      <c r="D2679" s="706" t="s">
        <v>1841</v>
      </c>
      <c r="H2679" s="1191"/>
      <c r="I2679" s="706" t="s">
        <v>4363</v>
      </c>
    </row>
    <row r="2680" spans="1:9">
      <c r="A2680" s="706">
        <v>111980</v>
      </c>
      <c r="B2680" s="706" t="s">
        <v>4366</v>
      </c>
      <c r="D2680" s="706" t="s">
        <v>1841</v>
      </c>
      <c r="H2680" s="1191"/>
      <c r="I2680" s="706" t="s">
        <v>4363</v>
      </c>
    </row>
    <row r="2681" spans="1:9">
      <c r="A2681" s="706">
        <v>111981</v>
      </c>
      <c r="B2681" s="706" t="s">
        <v>4367</v>
      </c>
      <c r="D2681" s="706" t="s">
        <v>1841</v>
      </c>
      <c r="H2681" s="1191"/>
      <c r="I2681" s="706" t="s">
        <v>4363</v>
      </c>
    </row>
    <row r="2682" spans="1:9">
      <c r="A2682" s="706">
        <v>111982</v>
      </c>
      <c r="B2682" s="706" t="s">
        <v>4368</v>
      </c>
      <c r="D2682" s="706" t="s">
        <v>1841</v>
      </c>
      <c r="H2682" s="1191"/>
      <c r="I2682" s="706" t="s">
        <v>4363</v>
      </c>
    </row>
    <row r="2683" spans="1:9">
      <c r="A2683" s="706">
        <v>111983</v>
      </c>
      <c r="B2683" s="706" t="s">
        <v>4369</v>
      </c>
      <c r="D2683" s="706" t="s">
        <v>1841</v>
      </c>
      <c r="H2683" s="1191"/>
      <c r="I2683" s="706" t="s">
        <v>4363</v>
      </c>
    </row>
    <row r="2684" spans="1:9">
      <c r="A2684" s="706">
        <v>111984</v>
      </c>
      <c r="B2684" s="706" t="s">
        <v>4370</v>
      </c>
      <c r="D2684" s="706" t="s">
        <v>1841</v>
      </c>
      <c r="H2684" s="1191"/>
      <c r="I2684" s="706" t="s">
        <v>4363</v>
      </c>
    </row>
    <row r="2685" spans="1:9">
      <c r="A2685" s="706">
        <v>111985</v>
      </c>
      <c r="B2685" s="706" t="s">
        <v>4371</v>
      </c>
      <c r="D2685" s="706" t="s">
        <v>1841</v>
      </c>
      <c r="H2685" s="1191"/>
      <c r="I2685" s="706" t="s">
        <v>4372</v>
      </c>
    </row>
    <row r="2686" spans="1:9">
      <c r="A2686" s="706">
        <v>111986</v>
      </c>
      <c r="B2686" s="706" t="s">
        <v>4373</v>
      </c>
      <c r="D2686" s="706" t="s">
        <v>1841</v>
      </c>
      <c r="H2686" s="1191"/>
      <c r="I2686" s="706" t="s">
        <v>4372</v>
      </c>
    </row>
    <row r="2687" spans="1:9">
      <c r="A2687" s="706">
        <v>111987</v>
      </c>
      <c r="B2687" s="706" t="s">
        <v>4374</v>
      </c>
      <c r="D2687" s="706" t="s">
        <v>1841</v>
      </c>
      <c r="H2687" s="1191"/>
      <c r="I2687" s="706" t="s">
        <v>4372</v>
      </c>
    </row>
    <row r="2688" spans="1:9">
      <c r="A2688" s="706">
        <v>111988</v>
      </c>
      <c r="B2688" s="706" t="s">
        <v>4375</v>
      </c>
      <c r="D2688" s="706" t="s">
        <v>1841</v>
      </c>
      <c r="H2688" s="1191"/>
      <c r="I2688" s="706" t="s">
        <v>4372</v>
      </c>
    </row>
    <row r="2689" spans="1:9">
      <c r="A2689" s="706">
        <v>111989</v>
      </c>
      <c r="B2689" s="706" t="s">
        <v>4376</v>
      </c>
      <c r="D2689" s="706" t="s">
        <v>1841</v>
      </c>
      <c r="H2689" s="1191"/>
      <c r="I2689" s="706" t="s">
        <v>4361</v>
      </c>
    </row>
    <row r="2690" spans="1:9">
      <c r="A2690" s="706">
        <v>111990</v>
      </c>
      <c r="B2690" s="706" t="s">
        <v>4377</v>
      </c>
      <c r="D2690" s="706" t="s">
        <v>1841</v>
      </c>
      <c r="H2690" s="1191"/>
      <c r="I2690" s="706" t="s">
        <v>4361</v>
      </c>
    </row>
    <row r="2691" spans="1:9">
      <c r="A2691" s="706">
        <v>111991</v>
      </c>
      <c r="B2691" s="706" t="s">
        <v>4378</v>
      </c>
      <c r="D2691" s="706" t="s">
        <v>1841</v>
      </c>
      <c r="H2691" s="1191"/>
      <c r="I2691" s="706" t="s">
        <v>4361</v>
      </c>
    </row>
    <row r="2692" spans="1:9">
      <c r="A2692" s="706">
        <v>111992</v>
      </c>
      <c r="B2692" s="706" t="s">
        <v>4379</v>
      </c>
      <c r="C2692" s="706" t="s">
        <v>8198</v>
      </c>
      <c r="D2692" s="706" t="s">
        <v>1841</v>
      </c>
      <c r="E2692" s="706">
        <v>0.72</v>
      </c>
      <c r="F2692" s="706" t="s">
        <v>768</v>
      </c>
      <c r="G2692" s="706">
        <v>408349</v>
      </c>
      <c r="H2692" s="1191">
        <v>45400</v>
      </c>
      <c r="I2692" s="706" t="s">
        <v>4361</v>
      </c>
    </row>
    <row r="2693" spans="1:9">
      <c r="A2693" s="706">
        <v>111993</v>
      </c>
      <c r="B2693" s="706" t="s">
        <v>4380</v>
      </c>
      <c r="C2693" s="706" t="s">
        <v>8198</v>
      </c>
      <c r="D2693" s="706" t="s">
        <v>1841</v>
      </c>
      <c r="E2693" s="706">
        <v>0.7</v>
      </c>
      <c r="F2693" s="706" t="s">
        <v>768</v>
      </c>
      <c r="G2693" s="706">
        <v>408349</v>
      </c>
      <c r="H2693" s="1191">
        <v>45400</v>
      </c>
      <c r="I2693" s="706" t="s">
        <v>4361</v>
      </c>
    </row>
    <row r="2694" spans="1:9">
      <c r="A2694" s="706">
        <v>111994</v>
      </c>
      <c r="B2694" s="706" t="s">
        <v>4381</v>
      </c>
      <c r="D2694" s="706" t="s">
        <v>1841</v>
      </c>
      <c r="H2694" s="1191"/>
      <c r="I2694" s="706" t="s">
        <v>4361</v>
      </c>
    </row>
    <row r="2695" spans="1:9">
      <c r="A2695" s="706">
        <v>111995</v>
      </c>
      <c r="B2695" s="706" t="s">
        <v>4382</v>
      </c>
      <c r="C2695" s="706" t="s">
        <v>8198</v>
      </c>
      <c r="D2695" s="706" t="s">
        <v>1841</v>
      </c>
      <c r="E2695" s="706">
        <v>1.335</v>
      </c>
      <c r="F2695" s="706" t="s">
        <v>768</v>
      </c>
      <c r="G2695" s="706">
        <v>403518</v>
      </c>
      <c r="H2695" s="1191">
        <v>44396</v>
      </c>
      <c r="I2695" s="706" t="s">
        <v>4361</v>
      </c>
    </row>
    <row r="2696" spans="1:9">
      <c r="A2696" s="706">
        <v>111996</v>
      </c>
      <c r="B2696" s="706" t="s">
        <v>4383</v>
      </c>
      <c r="D2696" s="706" t="s">
        <v>1841</v>
      </c>
      <c r="H2696" s="1191"/>
      <c r="I2696" s="706" t="s">
        <v>4361</v>
      </c>
    </row>
    <row r="2697" spans="1:9">
      <c r="A2697" s="706">
        <v>111997</v>
      </c>
      <c r="B2697" s="706" t="s">
        <v>4384</v>
      </c>
      <c r="C2697" s="706" t="s">
        <v>8198</v>
      </c>
      <c r="D2697" s="706" t="s">
        <v>1841</v>
      </c>
      <c r="E2697" s="706">
        <v>0.77390000000000003</v>
      </c>
      <c r="F2697" s="706" t="s">
        <v>768</v>
      </c>
      <c r="G2697" s="706">
        <v>407432</v>
      </c>
      <c r="H2697" s="1191">
        <v>45230</v>
      </c>
      <c r="I2697" s="706" t="s">
        <v>4361</v>
      </c>
    </row>
    <row r="2698" spans="1:9">
      <c r="A2698" s="706">
        <v>111998</v>
      </c>
      <c r="B2698" s="706" t="s">
        <v>4385</v>
      </c>
      <c r="D2698" s="706" t="s">
        <v>1841</v>
      </c>
      <c r="H2698" s="1191"/>
      <c r="I2698" s="706" t="s">
        <v>4361</v>
      </c>
    </row>
    <row r="2699" spans="1:9">
      <c r="A2699" s="706">
        <v>111999</v>
      </c>
      <c r="B2699" s="706" t="s">
        <v>4386</v>
      </c>
      <c r="D2699" s="706" t="s">
        <v>1841</v>
      </c>
      <c r="H2699" s="1191"/>
      <c r="I2699" s="706" t="s">
        <v>4361</v>
      </c>
    </row>
    <row r="2700" spans="1:9">
      <c r="A2700" s="706">
        <v>113641</v>
      </c>
      <c r="B2700" s="706" t="s">
        <v>4387</v>
      </c>
      <c r="D2700" s="706" t="s">
        <v>1841</v>
      </c>
      <c r="H2700" s="1191"/>
      <c r="I2700" s="706" t="s">
        <v>4388</v>
      </c>
    </row>
    <row r="2701" spans="1:9">
      <c r="A2701" s="706">
        <v>113642</v>
      </c>
      <c r="B2701" s="706" t="s">
        <v>4389</v>
      </c>
      <c r="D2701" s="706" t="s">
        <v>1841</v>
      </c>
      <c r="H2701" s="1191"/>
      <c r="I2701" s="706" t="s">
        <v>4388</v>
      </c>
    </row>
    <row r="2702" spans="1:9">
      <c r="A2702" s="706">
        <v>113643</v>
      </c>
      <c r="B2702" s="706" t="s">
        <v>4390</v>
      </c>
      <c r="D2702" s="706" t="s">
        <v>1841</v>
      </c>
      <c r="H2702" s="1191"/>
      <c r="I2702" s="706" t="s">
        <v>4388</v>
      </c>
    </row>
    <row r="2703" spans="1:9">
      <c r="A2703" s="706">
        <v>113644</v>
      </c>
      <c r="B2703" s="706" t="s">
        <v>4391</v>
      </c>
      <c r="D2703" s="706" t="s">
        <v>1841</v>
      </c>
      <c r="H2703" s="1191"/>
      <c r="I2703" s="706" t="s">
        <v>4388</v>
      </c>
    </row>
    <row r="2704" spans="1:9">
      <c r="A2704" s="706">
        <v>113645</v>
      </c>
      <c r="B2704" s="706" t="s">
        <v>4392</v>
      </c>
      <c r="D2704" s="706" t="s">
        <v>1841</v>
      </c>
      <c r="H2704" s="1191"/>
      <c r="I2704" s="706" t="s">
        <v>4388</v>
      </c>
    </row>
    <row r="2705" spans="1:9">
      <c r="A2705" s="706">
        <v>113646</v>
      </c>
      <c r="B2705" s="706" t="s">
        <v>4393</v>
      </c>
      <c r="D2705" s="706" t="s">
        <v>1841</v>
      </c>
      <c r="H2705" s="1191"/>
      <c r="I2705" s="706" t="s">
        <v>4388</v>
      </c>
    </row>
    <row r="2706" spans="1:9">
      <c r="A2706" s="706">
        <v>113647</v>
      </c>
      <c r="B2706" s="706" t="s">
        <v>4394</v>
      </c>
      <c r="D2706" s="706" t="s">
        <v>1841</v>
      </c>
      <c r="H2706" s="1191"/>
      <c r="I2706" s="706" t="s">
        <v>4388</v>
      </c>
    </row>
    <row r="2707" spans="1:9">
      <c r="A2707" s="706">
        <v>113648</v>
      </c>
      <c r="B2707" s="706" t="s">
        <v>4395</v>
      </c>
      <c r="D2707" s="706" t="s">
        <v>1841</v>
      </c>
      <c r="H2707" s="1191"/>
      <c r="I2707" s="706" t="s">
        <v>4388</v>
      </c>
    </row>
    <row r="2708" spans="1:9">
      <c r="A2708" s="706">
        <v>113649</v>
      </c>
      <c r="B2708" s="706" t="s">
        <v>4396</v>
      </c>
      <c r="D2708" s="706" t="s">
        <v>1841</v>
      </c>
      <c r="H2708" s="1191"/>
      <c r="I2708" s="706" t="s">
        <v>4388</v>
      </c>
    </row>
    <row r="2709" spans="1:9">
      <c r="A2709" s="706">
        <v>113650</v>
      </c>
      <c r="B2709" s="706" t="s">
        <v>4397</v>
      </c>
      <c r="D2709" s="706" t="s">
        <v>1841</v>
      </c>
      <c r="H2709" s="1191"/>
      <c r="I2709" s="706" t="s">
        <v>4388</v>
      </c>
    </row>
    <row r="2710" spans="1:9">
      <c r="A2710" s="706">
        <v>113651</v>
      </c>
      <c r="B2710" s="706" t="s">
        <v>4398</v>
      </c>
      <c r="D2710" s="706" t="s">
        <v>1841</v>
      </c>
      <c r="H2710" s="1191"/>
      <c r="I2710" s="706" t="s">
        <v>4388</v>
      </c>
    </row>
    <row r="2711" spans="1:9">
      <c r="A2711" s="706">
        <v>113652</v>
      </c>
      <c r="B2711" s="706" t="s">
        <v>4399</v>
      </c>
      <c r="D2711" s="706" t="s">
        <v>1841</v>
      </c>
      <c r="H2711" s="1191"/>
      <c r="I2711" s="706" t="s">
        <v>4388</v>
      </c>
    </row>
    <row r="2712" spans="1:9">
      <c r="A2712" s="706">
        <v>113653</v>
      </c>
      <c r="B2712" s="706" t="s">
        <v>4400</v>
      </c>
      <c r="D2712" s="706" t="s">
        <v>1841</v>
      </c>
      <c r="H2712" s="1191"/>
      <c r="I2712" s="706" t="s">
        <v>4388</v>
      </c>
    </row>
    <row r="2713" spans="1:9">
      <c r="A2713" s="706">
        <v>113654</v>
      </c>
      <c r="B2713" s="706" t="s">
        <v>4401</v>
      </c>
      <c r="D2713" s="706" t="s">
        <v>1841</v>
      </c>
      <c r="H2713" s="1191"/>
      <c r="I2713" s="706" t="s">
        <v>4388</v>
      </c>
    </row>
    <row r="2714" spans="1:9">
      <c r="A2714" s="706">
        <v>113655</v>
      </c>
      <c r="B2714" s="706" t="s">
        <v>4402</v>
      </c>
      <c r="D2714" s="706" t="s">
        <v>1841</v>
      </c>
      <c r="H2714" s="1191"/>
      <c r="I2714" s="706" t="s">
        <v>4388</v>
      </c>
    </row>
    <row r="2715" spans="1:9">
      <c r="A2715" s="706">
        <v>113656</v>
      </c>
      <c r="B2715" s="706" t="s">
        <v>4403</v>
      </c>
      <c r="D2715" s="706" t="s">
        <v>1841</v>
      </c>
      <c r="H2715" s="1191"/>
      <c r="I2715" s="706" t="s">
        <v>4388</v>
      </c>
    </row>
    <row r="2716" spans="1:9">
      <c r="A2716" s="706">
        <v>113657</v>
      </c>
      <c r="B2716" s="706" t="s">
        <v>4404</v>
      </c>
      <c r="D2716" s="706" t="s">
        <v>1841</v>
      </c>
      <c r="H2716" s="1191"/>
      <c r="I2716" s="706" t="s">
        <v>4388</v>
      </c>
    </row>
    <row r="2717" spans="1:9">
      <c r="A2717" s="706">
        <v>113658</v>
      </c>
      <c r="B2717" s="706" t="s">
        <v>4405</v>
      </c>
      <c r="D2717" s="706" t="s">
        <v>1841</v>
      </c>
      <c r="H2717" s="1191"/>
      <c r="I2717" s="706" t="s">
        <v>4388</v>
      </c>
    </row>
    <row r="2718" spans="1:9">
      <c r="A2718" s="706">
        <v>113659</v>
      </c>
      <c r="B2718" s="706" t="s">
        <v>4406</v>
      </c>
      <c r="D2718" s="706" t="s">
        <v>1841</v>
      </c>
      <c r="H2718" s="1191"/>
      <c r="I2718" s="706" t="s">
        <v>4388</v>
      </c>
    </row>
    <row r="2719" spans="1:9">
      <c r="A2719" s="706">
        <v>113660</v>
      </c>
      <c r="B2719" s="706" t="s">
        <v>4407</v>
      </c>
      <c r="D2719" s="706" t="s">
        <v>1841</v>
      </c>
      <c r="H2719" s="1191"/>
      <c r="I2719" s="706" t="s">
        <v>4388</v>
      </c>
    </row>
    <row r="2720" spans="1:9">
      <c r="A2720" s="706">
        <v>113661</v>
      </c>
      <c r="B2720" s="706" t="s">
        <v>4408</v>
      </c>
      <c r="D2720" s="706" t="s">
        <v>1841</v>
      </c>
      <c r="H2720" s="1191"/>
      <c r="I2720" s="706" t="s">
        <v>4388</v>
      </c>
    </row>
    <row r="2721" spans="1:9">
      <c r="A2721" s="706">
        <v>113662</v>
      </c>
      <c r="B2721" s="706" t="s">
        <v>4409</v>
      </c>
      <c r="D2721" s="706" t="s">
        <v>1841</v>
      </c>
      <c r="H2721" s="1191"/>
      <c r="I2721" s="706" t="s">
        <v>4388</v>
      </c>
    </row>
    <row r="2722" spans="1:9">
      <c r="A2722" s="706">
        <v>113663</v>
      </c>
      <c r="B2722" s="706" t="s">
        <v>4410</v>
      </c>
      <c r="D2722" s="706" t="s">
        <v>1841</v>
      </c>
      <c r="H2722" s="1191"/>
      <c r="I2722" s="706" t="s">
        <v>4388</v>
      </c>
    </row>
    <row r="2723" spans="1:9">
      <c r="A2723" s="706">
        <v>113664</v>
      </c>
      <c r="B2723" s="706" t="s">
        <v>4411</v>
      </c>
      <c r="D2723" s="706" t="s">
        <v>1841</v>
      </c>
      <c r="H2723" s="1191"/>
      <c r="I2723" s="706" t="s">
        <v>4388</v>
      </c>
    </row>
    <row r="2724" spans="1:9">
      <c r="A2724" s="706">
        <v>113665</v>
      </c>
      <c r="B2724" s="706" t="s">
        <v>4412</v>
      </c>
      <c r="D2724" s="706" t="s">
        <v>1841</v>
      </c>
      <c r="H2724" s="1191"/>
      <c r="I2724" s="706" t="s">
        <v>4388</v>
      </c>
    </row>
    <row r="2725" spans="1:9">
      <c r="A2725" s="706">
        <v>113666</v>
      </c>
      <c r="B2725" s="706" t="s">
        <v>4413</v>
      </c>
      <c r="D2725" s="706" t="s">
        <v>1841</v>
      </c>
      <c r="H2725" s="1191"/>
      <c r="I2725" s="706" t="s">
        <v>4388</v>
      </c>
    </row>
    <row r="2726" spans="1:9">
      <c r="A2726" s="706">
        <v>113667</v>
      </c>
      <c r="B2726" s="706" t="s">
        <v>4414</v>
      </c>
      <c r="D2726" s="706" t="s">
        <v>1841</v>
      </c>
      <c r="H2726" s="1191"/>
      <c r="I2726" s="706" t="s">
        <v>4388</v>
      </c>
    </row>
    <row r="2727" spans="1:9">
      <c r="A2727" s="706">
        <v>113668</v>
      </c>
      <c r="B2727" s="706" t="s">
        <v>4415</v>
      </c>
      <c r="D2727" s="706" t="s">
        <v>1841</v>
      </c>
      <c r="H2727" s="1191"/>
      <c r="I2727" s="706" t="s">
        <v>4388</v>
      </c>
    </row>
    <row r="2728" spans="1:9">
      <c r="A2728" s="706">
        <v>113669</v>
      </c>
      <c r="B2728" s="706" t="s">
        <v>4416</v>
      </c>
      <c r="D2728" s="706" t="s">
        <v>1841</v>
      </c>
      <c r="H2728" s="1191"/>
      <c r="I2728" s="706" t="s">
        <v>4388</v>
      </c>
    </row>
    <row r="2729" spans="1:9">
      <c r="A2729" s="706">
        <v>113670</v>
      </c>
      <c r="B2729" s="706" t="s">
        <v>4417</v>
      </c>
      <c r="C2729" s="706" t="s">
        <v>8198</v>
      </c>
      <c r="D2729" s="706" t="s">
        <v>1841</v>
      </c>
      <c r="E2729" s="706">
        <v>2.6410999999999998</v>
      </c>
      <c r="F2729" s="706" t="s">
        <v>28</v>
      </c>
      <c r="G2729" s="706">
        <v>402817</v>
      </c>
      <c r="H2729" s="1191">
        <v>44278</v>
      </c>
      <c r="I2729" s="706" t="s">
        <v>4388</v>
      </c>
    </row>
    <row r="2730" spans="1:9">
      <c r="A2730" s="706">
        <v>113671</v>
      </c>
      <c r="B2730" s="706" t="s">
        <v>4418</v>
      </c>
      <c r="D2730" s="706" t="s">
        <v>1841</v>
      </c>
      <c r="H2730" s="1191"/>
      <c r="I2730" s="706" t="s">
        <v>4388</v>
      </c>
    </row>
    <row r="2731" spans="1:9">
      <c r="A2731" s="706">
        <v>113672</v>
      </c>
      <c r="B2731" s="706" t="s">
        <v>4419</v>
      </c>
      <c r="C2731" s="706" t="s">
        <v>8198</v>
      </c>
      <c r="D2731" s="706" t="s">
        <v>1841</v>
      </c>
      <c r="E2731" s="706">
        <v>1.9254</v>
      </c>
      <c r="F2731" s="706" t="s">
        <v>28</v>
      </c>
      <c r="G2731" s="706">
        <v>402817</v>
      </c>
      <c r="H2731" s="1191">
        <v>44278</v>
      </c>
      <c r="I2731" s="706" t="s">
        <v>4388</v>
      </c>
    </row>
    <row r="2732" spans="1:9">
      <c r="A2732" s="706">
        <v>113673</v>
      </c>
      <c r="B2732" s="706" t="s">
        <v>4420</v>
      </c>
      <c r="D2732" s="706" t="s">
        <v>1841</v>
      </c>
      <c r="H2732" s="1191"/>
      <c r="I2732" s="706" t="s">
        <v>4388</v>
      </c>
    </row>
    <row r="2733" spans="1:9">
      <c r="A2733" s="706">
        <v>113674</v>
      </c>
      <c r="B2733" s="706" t="s">
        <v>4421</v>
      </c>
      <c r="D2733" s="706" t="s">
        <v>1841</v>
      </c>
      <c r="H2733" s="1191"/>
      <c r="I2733" s="706" t="s">
        <v>4388</v>
      </c>
    </row>
    <row r="2734" spans="1:9">
      <c r="A2734" s="706">
        <v>113675</v>
      </c>
      <c r="B2734" s="706" t="s">
        <v>4422</v>
      </c>
      <c r="D2734" s="706" t="s">
        <v>1841</v>
      </c>
      <c r="H2734" s="1191"/>
      <c r="I2734" s="706" t="s">
        <v>4388</v>
      </c>
    </row>
    <row r="2735" spans="1:9">
      <c r="A2735" s="706">
        <v>113676</v>
      </c>
      <c r="B2735" s="706" t="s">
        <v>4423</v>
      </c>
      <c r="D2735" s="706" t="s">
        <v>1841</v>
      </c>
      <c r="H2735" s="1191"/>
      <c r="I2735" s="706" t="s">
        <v>4388</v>
      </c>
    </row>
    <row r="2736" spans="1:9">
      <c r="A2736" s="706">
        <v>113677</v>
      </c>
      <c r="B2736" s="706" t="s">
        <v>4424</v>
      </c>
      <c r="D2736" s="706" t="s">
        <v>1841</v>
      </c>
      <c r="H2736" s="1191"/>
      <c r="I2736" s="706" t="s">
        <v>4388</v>
      </c>
    </row>
    <row r="2737" spans="1:9">
      <c r="A2737" s="706">
        <v>113678</v>
      </c>
      <c r="B2737" s="706" t="s">
        <v>4425</v>
      </c>
      <c r="D2737" s="706" t="s">
        <v>1841</v>
      </c>
      <c r="H2737" s="1191"/>
      <c r="I2737" s="706" t="s">
        <v>4388</v>
      </c>
    </row>
    <row r="2738" spans="1:9">
      <c r="A2738" s="706">
        <v>113679</v>
      </c>
      <c r="B2738" s="706" t="s">
        <v>4426</v>
      </c>
      <c r="D2738" s="706" t="s">
        <v>1841</v>
      </c>
      <c r="H2738" s="1191"/>
      <c r="I2738" s="706" t="s">
        <v>4388</v>
      </c>
    </row>
    <row r="2739" spans="1:9">
      <c r="A2739" s="706">
        <v>113680</v>
      </c>
      <c r="B2739" s="706" t="s">
        <v>4427</v>
      </c>
      <c r="D2739" s="706" t="s">
        <v>1841</v>
      </c>
      <c r="H2739" s="1191"/>
      <c r="I2739" s="706" t="s">
        <v>4388</v>
      </c>
    </row>
    <row r="2740" spans="1:9">
      <c r="A2740" s="706">
        <v>113681</v>
      </c>
      <c r="B2740" s="706" t="s">
        <v>4428</v>
      </c>
      <c r="C2740" s="706" t="s">
        <v>8198</v>
      </c>
      <c r="D2740" s="706" t="s">
        <v>1841</v>
      </c>
      <c r="E2740" s="706">
        <v>0.92500000000000004</v>
      </c>
      <c r="F2740" s="706" t="s">
        <v>28</v>
      </c>
      <c r="G2740" s="706">
        <v>405343</v>
      </c>
      <c r="H2740" s="1191">
        <v>44767</v>
      </c>
      <c r="I2740" s="706" t="s">
        <v>4388</v>
      </c>
    </row>
    <row r="2741" spans="1:9">
      <c r="A2741" s="706">
        <v>113781</v>
      </c>
      <c r="B2741" s="706" t="s">
        <v>4429</v>
      </c>
      <c r="D2741" s="706" t="s">
        <v>1841</v>
      </c>
      <c r="H2741" s="1191"/>
      <c r="I2741" s="706" t="s">
        <v>4388</v>
      </c>
    </row>
    <row r="2742" spans="1:9">
      <c r="A2742" s="706">
        <v>113782</v>
      </c>
      <c r="B2742" s="706" t="s">
        <v>4430</v>
      </c>
      <c r="D2742" s="706" t="s">
        <v>1841</v>
      </c>
      <c r="H2742" s="1191"/>
      <c r="I2742" s="706" t="s">
        <v>4388</v>
      </c>
    </row>
    <row r="2743" spans="1:9">
      <c r="A2743" s="706">
        <v>113783</v>
      </c>
      <c r="B2743" s="706" t="s">
        <v>4431</v>
      </c>
      <c r="D2743" s="706" t="s">
        <v>1841</v>
      </c>
      <c r="H2743" s="1191"/>
      <c r="I2743" s="706" t="s">
        <v>4388</v>
      </c>
    </row>
    <row r="2744" spans="1:9">
      <c r="A2744" s="706">
        <v>113784</v>
      </c>
      <c r="B2744" s="706" t="s">
        <v>4432</v>
      </c>
      <c r="D2744" s="706" t="s">
        <v>1841</v>
      </c>
      <c r="H2744" s="1191"/>
      <c r="I2744" s="706" t="s">
        <v>4388</v>
      </c>
    </row>
    <row r="2745" spans="1:9">
      <c r="A2745" s="706">
        <v>113785</v>
      </c>
      <c r="B2745" s="706" t="s">
        <v>4433</v>
      </c>
      <c r="D2745" s="706" t="s">
        <v>1841</v>
      </c>
      <c r="H2745" s="1191"/>
      <c r="I2745" s="706" t="s">
        <v>4388</v>
      </c>
    </row>
    <row r="2746" spans="1:9">
      <c r="A2746" s="706">
        <v>113786</v>
      </c>
      <c r="B2746" s="706" t="s">
        <v>4434</v>
      </c>
      <c r="D2746" s="706" t="s">
        <v>1841</v>
      </c>
      <c r="H2746" s="1191"/>
      <c r="I2746" s="706" t="s">
        <v>4388</v>
      </c>
    </row>
    <row r="2747" spans="1:9">
      <c r="A2747" s="706">
        <v>113787</v>
      </c>
      <c r="B2747" s="706" t="s">
        <v>4435</v>
      </c>
      <c r="D2747" s="706" t="s">
        <v>1841</v>
      </c>
      <c r="H2747" s="1191"/>
      <c r="I2747" s="706" t="s">
        <v>4388</v>
      </c>
    </row>
    <row r="2748" spans="1:9">
      <c r="A2748" s="706">
        <v>113788</v>
      </c>
      <c r="B2748" s="706" t="s">
        <v>4436</v>
      </c>
      <c r="D2748" s="706" t="s">
        <v>1841</v>
      </c>
      <c r="H2748" s="1191"/>
      <c r="I2748" s="706" t="s">
        <v>4388</v>
      </c>
    </row>
    <row r="2749" spans="1:9">
      <c r="A2749" s="706">
        <v>113789</v>
      </c>
      <c r="B2749" s="706" t="s">
        <v>4437</v>
      </c>
      <c r="D2749" s="706" t="s">
        <v>1841</v>
      </c>
      <c r="H2749" s="1191"/>
      <c r="I2749" s="706" t="s">
        <v>4388</v>
      </c>
    </row>
    <row r="2750" spans="1:9">
      <c r="A2750" s="706">
        <v>113790</v>
      </c>
      <c r="B2750" s="706" t="s">
        <v>4438</v>
      </c>
      <c r="D2750" s="706" t="s">
        <v>1841</v>
      </c>
      <c r="H2750" s="1191"/>
      <c r="I2750" s="706" t="s">
        <v>4388</v>
      </c>
    </row>
    <row r="2751" spans="1:9">
      <c r="A2751" s="706">
        <v>113791</v>
      </c>
      <c r="B2751" s="706" t="s">
        <v>4439</v>
      </c>
      <c r="D2751" s="706" t="s">
        <v>1841</v>
      </c>
      <c r="H2751" s="1191"/>
      <c r="I2751" s="706" t="s">
        <v>4388</v>
      </c>
    </row>
    <row r="2752" spans="1:9">
      <c r="A2752" s="706">
        <v>113792</v>
      </c>
      <c r="B2752" s="706" t="s">
        <v>4440</v>
      </c>
      <c r="D2752" s="706" t="s">
        <v>1841</v>
      </c>
      <c r="H2752" s="1191"/>
      <c r="I2752" s="706" t="s">
        <v>4388</v>
      </c>
    </row>
    <row r="2753" spans="1:9">
      <c r="A2753" s="706">
        <v>113793</v>
      </c>
      <c r="B2753" s="706" t="s">
        <v>4441</v>
      </c>
      <c r="D2753" s="706" t="s">
        <v>1841</v>
      </c>
      <c r="H2753" s="1191"/>
      <c r="I2753" s="706" t="s">
        <v>4388</v>
      </c>
    </row>
    <row r="2754" spans="1:9">
      <c r="A2754" s="706">
        <v>113794</v>
      </c>
      <c r="B2754" s="706" t="s">
        <v>4442</v>
      </c>
      <c r="D2754" s="706" t="s">
        <v>1841</v>
      </c>
      <c r="H2754" s="1191"/>
      <c r="I2754" s="706" t="s">
        <v>4388</v>
      </c>
    </row>
    <row r="2755" spans="1:9">
      <c r="A2755" s="706">
        <v>113795</v>
      </c>
      <c r="B2755" s="706" t="s">
        <v>4443</v>
      </c>
      <c r="D2755" s="706" t="s">
        <v>1841</v>
      </c>
      <c r="H2755" s="1191"/>
      <c r="I2755" s="706" t="s">
        <v>4388</v>
      </c>
    </row>
    <row r="2756" spans="1:9">
      <c r="A2756" s="706">
        <v>113796</v>
      </c>
      <c r="B2756" s="706" t="s">
        <v>4444</v>
      </c>
      <c r="D2756" s="706" t="s">
        <v>1841</v>
      </c>
      <c r="H2756" s="1191"/>
      <c r="I2756" s="706" t="s">
        <v>4388</v>
      </c>
    </row>
    <row r="2757" spans="1:9">
      <c r="A2757" s="706">
        <v>113797</v>
      </c>
      <c r="B2757" s="706" t="s">
        <v>4445</v>
      </c>
      <c r="D2757" s="706" t="s">
        <v>1841</v>
      </c>
      <c r="H2757" s="1191"/>
      <c r="I2757" s="706" t="s">
        <v>4388</v>
      </c>
    </row>
    <row r="2758" spans="1:9">
      <c r="A2758" s="706">
        <v>113798</v>
      </c>
      <c r="B2758" s="706" t="s">
        <v>4446</v>
      </c>
      <c r="D2758" s="706" t="s">
        <v>1841</v>
      </c>
      <c r="H2758" s="1191"/>
      <c r="I2758" s="706" t="s">
        <v>4388</v>
      </c>
    </row>
    <row r="2759" spans="1:9">
      <c r="A2759" s="706">
        <v>113799</v>
      </c>
      <c r="B2759" s="706" t="s">
        <v>4447</v>
      </c>
      <c r="D2759" s="706" t="s">
        <v>1841</v>
      </c>
      <c r="H2759" s="1191"/>
      <c r="I2759" s="706" t="s">
        <v>4388</v>
      </c>
    </row>
    <row r="2760" spans="1:9">
      <c r="A2760" s="706">
        <v>113800</v>
      </c>
      <c r="B2760" s="706" t="s">
        <v>4448</v>
      </c>
      <c r="D2760" s="706" t="s">
        <v>1841</v>
      </c>
      <c r="H2760" s="1191"/>
      <c r="I2760" s="706" t="s">
        <v>4388</v>
      </c>
    </row>
    <row r="2761" spans="1:9">
      <c r="A2761" s="706">
        <v>114557</v>
      </c>
      <c r="B2761" s="706" t="s">
        <v>4449</v>
      </c>
      <c r="D2761" s="706" t="s">
        <v>1841</v>
      </c>
      <c r="H2761" s="1191"/>
      <c r="I2761" s="706" t="s">
        <v>4450</v>
      </c>
    </row>
    <row r="2762" spans="1:9">
      <c r="A2762" s="706">
        <v>114558</v>
      </c>
      <c r="B2762" s="706" t="s">
        <v>4451</v>
      </c>
      <c r="D2762" s="706" t="s">
        <v>1841</v>
      </c>
      <c r="H2762" s="1191"/>
      <c r="I2762" s="706" t="s">
        <v>4450</v>
      </c>
    </row>
    <row r="2763" spans="1:9">
      <c r="A2763" s="706">
        <v>114559</v>
      </c>
      <c r="B2763" s="706" t="s">
        <v>4452</v>
      </c>
      <c r="D2763" s="706" t="s">
        <v>1841</v>
      </c>
      <c r="H2763" s="1191"/>
      <c r="I2763" s="706" t="s">
        <v>4450</v>
      </c>
    </row>
    <row r="2764" spans="1:9">
      <c r="A2764" s="706">
        <v>114560</v>
      </c>
      <c r="B2764" s="706" t="s">
        <v>4453</v>
      </c>
      <c r="D2764" s="706" t="s">
        <v>1841</v>
      </c>
      <c r="H2764" s="1191"/>
      <c r="I2764" s="706" t="s">
        <v>4450</v>
      </c>
    </row>
    <row r="2765" spans="1:9">
      <c r="A2765" s="706">
        <v>114561</v>
      </c>
      <c r="B2765" s="706" t="s">
        <v>4454</v>
      </c>
      <c r="D2765" s="706" t="s">
        <v>1841</v>
      </c>
      <c r="H2765" s="1191"/>
      <c r="I2765" s="706" t="s">
        <v>4450</v>
      </c>
    </row>
    <row r="2766" spans="1:9">
      <c r="A2766" s="706">
        <v>114562</v>
      </c>
      <c r="B2766" s="706" t="s">
        <v>4455</v>
      </c>
      <c r="D2766" s="706" t="s">
        <v>1841</v>
      </c>
      <c r="H2766" s="1191"/>
      <c r="I2766" s="706" t="s">
        <v>4450</v>
      </c>
    </row>
    <row r="2767" spans="1:9">
      <c r="A2767" s="706">
        <v>114563</v>
      </c>
      <c r="B2767" s="706" t="s">
        <v>4456</v>
      </c>
      <c r="D2767" s="706" t="s">
        <v>1841</v>
      </c>
      <c r="H2767" s="1191"/>
      <c r="I2767" s="706" t="s">
        <v>4450</v>
      </c>
    </row>
    <row r="2768" spans="1:9">
      <c r="A2768" s="706">
        <v>114564</v>
      </c>
      <c r="B2768" s="706" t="s">
        <v>4457</v>
      </c>
      <c r="D2768" s="706" t="s">
        <v>1841</v>
      </c>
      <c r="H2768" s="1191"/>
      <c r="I2768" s="706" t="s">
        <v>4450</v>
      </c>
    </row>
    <row r="2769" spans="1:9">
      <c r="A2769" s="706">
        <v>114565</v>
      </c>
      <c r="B2769" s="706" t="s">
        <v>4458</v>
      </c>
      <c r="D2769" s="706" t="s">
        <v>1841</v>
      </c>
      <c r="H2769" s="1191"/>
      <c r="I2769" s="706" t="s">
        <v>4450</v>
      </c>
    </row>
    <row r="2770" spans="1:9">
      <c r="A2770" s="706">
        <v>114566</v>
      </c>
      <c r="B2770" s="706" t="s">
        <v>4459</v>
      </c>
      <c r="D2770" s="706" t="s">
        <v>1841</v>
      </c>
      <c r="H2770" s="1191"/>
      <c r="I2770" s="706" t="s">
        <v>4450</v>
      </c>
    </row>
    <row r="2771" spans="1:9">
      <c r="A2771" s="706">
        <v>114567</v>
      </c>
      <c r="B2771" s="706" t="s">
        <v>4460</v>
      </c>
      <c r="D2771" s="706" t="s">
        <v>1841</v>
      </c>
      <c r="H2771" s="1191"/>
      <c r="I2771" s="706" t="s">
        <v>4450</v>
      </c>
    </row>
    <row r="2772" spans="1:9">
      <c r="A2772" s="706">
        <v>114568</v>
      </c>
      <c r="B2772" s="706" t="s">
        <v>4461</v>
      </c>
      <c r="D2772" s="706" t="s">
        <v>1841</v>
      </c>
      <c r="H2772" s="1191"/>
      <c r="I2772" s="706" t="s">
        <v>4450</v>
      </c>
    </row>
    <row r="2773" spans="1:9">
      <c r="A2773" s="706">
        <v>114569</v>
      </c>
      <c r="B2773" s="706" t="s">
        <v>4462</v>
      </c>
      <c r="D2773" s="706" t="s">
        <v>1841</v>
      </c>
      <c r="H2773" s="1191"/>
      <c r="I2773" s="706" t="s">
        <v>4450</v>
      </c>
    </row>
    <row r="2774" spans="1:9">
      <c r="A2774" s="706">
        <v>114570</v>
      </c>
      <c r="B2774" s="706" t="s">
        <v>4463</v>
      </c>
      <c r="D2774" s="706" t="s">
        <v>1841</v>
      </c>
      <c r="H2774" s="1191"/>
      <c r="I2774" s="706" t="s">
        <v>4450</v>
      </c>
    </row>
    <row r="2775" spans="1:9">
      <c r="A2775" s="706">
        <v>114571</v>
      </c>
      <c r="B2775" s="706" t="s">
        <v>4464</v>
      </c>
      <c r="D2775" s="706" t="s">
        <v>1841</v>
      </c>
      <c r="H2775" s="1191"/>
      <c r="I2775" s="706" t="s">
        <v>4450</v>
      </c>
    </row>
    <row r="2776" spans="1:9">
      <c r="A2776" s="706">
        <v>114572</v>
      </c>
      <c r="B2776" s="706" t="s">
        <v>4465</v>
      </c>
      <c r="D2776" s="706" t="s">
        <v>1841</v>
      </c>
      <c r="H2776" s="1191"/>
      <c r="I2776" s="706" t="s">
        <v>4450</v>
      </c>
    </row>
    <row r="2777" spans="1:9">
      <c r="A2777" s="706">
        <v>114573</v>
      </c>
      <c r="B2777" s="706" t="s">
        <v>4466</v>
      </c>
      <c r="D2777" s="706" t="s">
        <v>1841</v>
      </c>
      <c r="H2777" s="1191"/>
      <c r="I2777" s="706" t="s">
        <v>4450</v>
      </c>
    </row>
    <row r="2778" spans="1:9">
      <c r="A2778" s="706">
        <v>114574</v>
      </c>
      <c r="B2778" s="706" t="s">
        <v>4467</v>
      </c>
      <c r="D2778" s="706" t="s">
        <v>1841</v>
      </c>
      <c r="H2778" s="1191"/>
      <c r="I2778" s="706" t="s">
        <v>4450</v>
      </c>
    </row>
    <row r="2779" spans="1:9">
      <c r="A2779" s="706">
        <v>114575</v>
      </c>
      <c r="B2779" s="706" t="s">
        <v>4468</v>
      </c>
      <c r="D2779" s="706" t="s">
        <v>1841</v>
      </c>
      <c r="H2779" s="1191"/>
      <c r="I2779" s="706" t="s">
        <v>4450</v>
      </c>
    </row>
    <row r="2780" spans="1:9">
      <c r="A2780" s="706">
        <v>114576</v>
      </c>
      <c r="B2780" s="706" t="s">
        <v>4469</v>
      </c>
      <c r="D2780" s="706" t="s">
        <v>1841</v>
      </c>
      <c r="H2780" s="1191"/>
      <c r="I2780" s="706" t="s">
        <v>4450</v>
      </c>
    </row>
    <row r="2781" spans="1:9">
      <c r="A2781" s="706">
        <v>114577</v>
      </c>
      <c r="B2781" s="706" t="s">
        <v>4470</v>
      </c>
      <c r="D2781" s="706" t="s">
        <v>1841</v>
      </c>
      <c r="H2781" s="1191"/>
      <c r="I2781" s="706" t="s">
        <v>4450</v>
      </c>
    </row>
    <row r="2782" spans="1:9">
      <c r="A2782" s="706">
        <v>114578</v>
      </c>
      <c r="B2782" s="706" t="s">
        <v>4471</v>
      </c>
      <c r="D2782" s="706" t="s">
        <v>1841</v>
      </c>
      <c r="H2782" s="1191"/>
      <c r="I2782" s="706" t="s">
        <v>4450</v>
      </c>
    </row>
    <row r="2783" spans="1:9">
      <c r="A2783" s="706">
        <v>114579</v>
      </c>
      <c r="B2783" s="706" t="s">
        <v>4472</v>
      </c>
      <c r="D2783" s="706" t="s">
        <v>1841</v>
      </c>
      <c r="H2783" s="1191"/>
      <c r="I2783" s="706" t="s">
        <v>4450</v>
      </c>
    </row>
    <row r="2784" spans="1:9">
      <c r="A2784" s="706">
        <v>114580</v>
      </c>
      <c r="B2784" s="706" t="s">
        <v>4473</v>
      </c>
      <c r="D2784" s="706" t="s">
        <v>1841</v>
      </c>
      <c r="H2784" s="1191"/>
      <c r="I2784" s="706" t="s">
        <v>4450</v>
      </c>
    </row>
    <row r="2785" spans="1:9">
      <c r="A2785" s="706">
        <v>114581</v>
      </c>
      <c r="B2785" s="706" t="s">
        <v>4474</v>
      </c>
      <c r="D2785" s="706" t="s">
        <v>1841</v>
      </c>
      <c r="H2785" s="1191"/>
      <c r="I2785" s="706" t="s">
        <v>4450</v>
      </c>
    </row>
    <row r="2786" spans="1:9">
      <c r="A2786" s="706">
        <v>114582</v>
      </c>
      <c r="B2786" s="706" t="s">
        <v>4475</v>
      </c>
      <c r="D2786" s="706" t="s">
        <v>1841</v>
      </c>
      <c r="H2786" s="1191"/>
      <c r="I2786" s="706" t="s">
        <v>4450</v>
      </c>
    </row>
    <row r="2787" spans="1:9">
      <c r="A2787" s="706">
        <v>114583</v>
      </c>
      <c r="B2787" s="706" t="s">
        <v>4476</v>
      </c>
      <c r="D2787" s="706" t="s">
        <v>1841</v>
      </c>
      <c r="H2787" s="1191"/>
      <c r="I2787" s="706" t="s">
        <v>4450</v>
      </c>
    </row>
    <row r="2788" spans="1:9">
      <c r="A2788" s="706">
        <v>114584</v>
      </c>
      <c r="B2788" s="706" t="s">
        <v>4477</v>
      </c>
      <c r="D2788" s="706" t="s">
        <v>1841</v>
      </c>
      <c r="H2788" s="1191"/>
      <c r="I2788" s="706" t="s">
        <v>4450</v>
      </c>
    </row>
    <row r="2789" spans="1:9">
      <c r="A2789" s="706">
        <v>114585</v>
      </c>
      <c r="B2789" s="706" t="s">
        <v>4478</v>
      </c>
      <c r="D2789" s="706" t="s">
        <v>1841</v>
      </c>
      <c r="H2789" s="1191"/>
      <c r="I2789" s="706" t="s">
        <v>4450</v>
      </c>
    </row>
    <row r="2790" spans="1:9">
      <c r="A2790" s="706">
        <v>114586</v>
      </c>
      <c r="B2790" s="706" t="s">
        <v>4479</v>
      </c>
      <c r="D2790" s="706" t="s">
        <v>1841</v>
      </c>
      <c r="H2790" s="1191"/>
      <c r="I2790" s="706" t="s">
        <v>4450</v>
      </c>
    </row>
    <row r="2791" spans="1:9">
      <c r="A2791" s="706">
        <v>114587</v>
      </c>
      <c r="B2791" s="706" t="s">
        <v>4480</v>
      </c>
      <c r="D2791" s="706" t="s">
        <v>1841</v>
      </c>
      <c r="H2791" s="1191"/>
      <c r="I2791" s="706" t="s">
        <v>4450</v>
      </c>
    </row>
    <row r="2792" spans="1:9">
      <c r="A2792" s="706">
        <v>114588</v>
      </c>
      <c r="B2792" s="706" t="s">
        <v>4481</v>
      </c>
      <c r="C2792" s="706" t="s">
        <v>4482</v>
      </c>
      <c r="D2792" s="706" t="s">
        <v>1841</v>
      </c>
      <c r="E2792" s="706">
        <v>202</v>
      </c>
      <c r="F2792" s="706" t="s">
        <v>28</v>
      </c>
      <c r="G2792" s="706">
        <v>40274</v>
      </c>
      <c r="H2792" s="1191">
        <v>43903</v>
      </c>
      <c r="I2792" s="706" t="s">
        <v>4450</v>
      </c>
    </row>
    <row r="2793" spans="1:9">
      <c r="A2793" s="706">
        <v>114589</v>
      </c>
      <c r="B2793" s="706" t="s">
        <v>4483</v>
      </c>
      <c r="D2793" s="706" t="s">
        <v>1841</v>
      </c>
      <c r="H2793" s="1191"/>
      <c r="I2793" s="706" t="s">
        <v>4450</v>
      </c>
    </row>
    <row r="2794" spans="1:9">
      <c r="A2794" s="706">
        <v>114590</v>
      </c>
      <c r="B2794" s="706" t="s">
        <v>4484</v>
      </c>
      <c r="D2794" s="706" t="s">
        <v>1841</v>
      </c>
      <c r="H2794" s="1191"/>
      <c r="I2794" s="706" t="s">
        <v>4450</v>
      </c>
    </row>
    <row r="2795" spans="1:9">
      <c r="A2795" s="706">
        <v>114591</v>
      </c>
      <c r="B2795" s="706" t="s">
        <v>4485</v>
      </c>
      <c r="D2795" s="706" t="s">
        <v>1841</v>
      </c>
      <c r="H2795" s="1191"/>
      <c r="I2795" s="706" t="s">
        <v>4450</v>
      </c>
    </row>
    <row r="2796" spans="1:9">
      <c r="A2796" s="706">
        <v>114592</v>
      </c>
      <c r="B2796" s="706" t="s">
        <v>4486</v>
      </c>
      <c r="D2796" s="706" t="s">
        <v>1841</v>
      </c>
      <c r="H2796" s="1191"/>
      <c r="I2796" s="706" t="s">
        <v>4450</v>
      </c>
    </row>
    <row r="2797" spans="1:9">
      <c r="A2797" s="706">
        <v>114593</v>
      </c>
      <c r="B2797" s="706" t="s">
        <v>4487</v>
      </c>
      <c r="D2797" s="706" t="s">
        <v>1841</v>
      </c>
      <c r="H2797" s="1191"/>
      <c r="I2797" s="706" t="s">
        <v>4450</v>
      </c>
    </row>
    <row r="2798" spans="1:9">
      <c r="A2798" s="706">
        <v>114594</v>
      </c>
      <c r="B2798" s="706" t="s">
        <v>4488</v>
      </c>
      <c r="D2798" s="706" t="s">
        <v>1841</v>
      </c>
      <c r="H2798" s="1191"/>
      <c r="I2798" s="706" t="s">
        <v>4450</v>
      </c>
    </row>
    <row r="2799" spans="1:9">
      <c r="A2799" s="706">
        <v>114595</v>
      </c>
      <c r="B2799" s="706" t="s">
        <v>4489</v>
      </c>
      <c r="D2799" s="706" t="s">
        <v>1841</v>
      </c>
      <c r="H2799" s="1191"/>
      <c r="I2799" s="706" t="s">
        <v>4450</v>
      </c>
    </row>
    <row r="2800" spans="1:9">
      <c r="A2800" s="706">
        <v>114596</v>
      </c>
      <c r="B2800" s="706" t="s">
        <v>4490</v>
      </c>
      <c r="D2800" s="706" t="s">
        <v>1841</v>
      </c>
      <c r="H2800" s="1191"/>
      <c r="I2800" s="706" t="s">
        <v>4450</v>
      </c>
    </row>
    <row r="2801" spans="1:9">
      <c r="A2801" s="706">
        <v>114597</v>
      </c>
      <c r="B2801" s="706" t="s">
        <v>4491</v>
      </c>
      <c r="D2801" s="706" t="s">
        <v>1841</v>
      </c>
      <c r="H2801" s="1191"/>
      <c r="I2801" s="706" t="s">
        <v>4450</v>
      </c>
    </row>
    <row r="2802" spans="1:9">
      <c r="A2802" s="706">
        <v>114598</v>
      </c>
      <c r="B2802" s="706" t="s">
        <v>4492</v>
      </c>
      <c r="D2802" s="706" t="s">
        <v>1841</v>
      </c>
      <c r="H2802" s="1191"/>
      <c r="I2802" s="706" t="s">
        <v>4450</v>
      </c>
    </row>
    <row r="2803" spans="1:9">
      <c r="A2803" s="706">
        <v>114599</v>
      </c>
      <c r="B2803" s="706" t="s">
        <v>4493</v>
      </c>
      <c r="D2803" s="706" t="s">
        <v>1841</v>
      </c>
      <c r="H2803" s="1191"/>
      <c r="I2803" s="706" t="s">
        <v>4450</v>
      </c>
    </row>
    <row r="2804" spans="1:9">
      <c r="A2804" s="706">
        <v>114600</v>
      </c>
      <c r="B2804" s="706" t="s">
        <v>4494</v>
      </c>
      <c r="D2804" s="706" t="s">
        <v>1841</v>
      </c>
      <c r="H2804" s="1191"/>
      <c r="I2804" s="706" t="s">
        <v>4450</v>
      </c>
    </row>
    <row r="2805" spans="1:9">
      <c r="A2805" s="706">
        <v>114601</v>
      </c>
      <c r="B2805" s="706" t="s">
        <v>4495</v>
      </c>
      <c r="D2805" s="706" t="s">
        <v>1841</v>
      </c>
      <c r="H2805" s="1191"/>
      <c r="I2805" s="706" t="s">
        <v>4450</v>
      </c>
    </row>
    <row r="2806" spans="1:9">
      <c r="A2806" s="706">
        <v>114602</v>
      </c>
      <c r="B2806" s="706" t="s">
        <v>4496</v>
      </c>
      <c r="C2806" s="706" t="s">
        <v>4482</v>
      </c>
      <c r="D2806" s="706" t="s">
        <v>1841</v>
      </c>
      <c r="E2806" s="706">
        <v>153</v>
      </c>
      <c r="F2806" s="706" t="s">
        <v>28</v>
      </c>
      <c r="G2806" s="706">
        <v>40078</v>
      </c>
      <c r="H2806" s="1191">
        <v>43881</v>
      </c>
      <c r="I2806" s="706" t="s">
        <v>4450</v>
      </c>
    </row>
    <row r="2807" spans="1:9">
      <c r="A2807" s="706">
        <v>114603</v>
      </c>
      <c r="B2807" s="706" t="s">
        <v>4497</v>
      </c>
      <c r="D2807" s="706" t="s">
        <v>1841</v>
      </c>
      <c r="H2807" s="1191"/>
      <c r="I2807" s="706" t="s">
        <v>4450</v>
      </c>
    </row>
    <row r="2808" spans="1:9">
      <c r="A2808" s="706">
        <v>114604</v>
      </c>
      <c r="B2808" s="706" t="s">
        <v>4498</v>
      </c>
      <c r="D2808" s="706" t="s">
        <v>1841</v>
      </c>
      <c r="H2808" s="1191"/>
      <c r="I2808" s="706" t="s">
        <v>4450</v>
      </c>
    </row>
    <row r="2809" spans="1:9">
      <c r="A2809" s="706">
        <v>114605</v>
      </c>
      <c r="B2809" s="706" t="s">
        <v>4499</v>
      </c>
      <c r="D2809" s="706" t="s">
        <v>1841</v>
      </c>
      <c r="H2809" s="1191"/>
      <c r="I2809" s="706" t="s">
        <v>4450</v>
      </c>
    </row>
    <row r="2810" spans="1:9">
      <c r="A2810" s="706">
        <v>114606</v>
      </c>
      <c r="B2810" s="706" t="s">
        <v>4500</v>
      </c>
      <c r="D2810" s="706" t="s">
        <v>1841</v>
      </c>
      <c r="H2810" s="1191"/>
      <c r="I2810" s="706" t="s">
        <v>4450</v>
      </c>
    </row>
    <row r="2811" spans="1:9">
      <c r="A2811" s="706">
        <v>114607</v>
      </c>
      <c r="B2811" s="706" t="s">
        <v>4501</v>
      </c>
      <c r="D2811" s="706" t="s">
        <v>1841</v>
      </c>
      <c r="H2811" s="1191"/>
      <c r="I2811" s="706" t="s">
        <v>4450</v>
      </c>
    </row>
    <row r="2812" spans="1:9">
      <c r="A2812" s="706">
        <v>114608</v>
      </c>
      <c r="B2812" s="706" t="s">
        <v>4502</v>
      </c>
      <c r="D2812" s="706" t="s">
        <v>1841</v>
      </c>
      <c r="H2812" s="1191"/>
      <c r="I2812" s="706" t="s">
        <v>4450</v>
      </c>
    </row>
    <row r="2813" spans="1:9">
      <c r="A2813" s="706">
        <v>114609</v>
      </c>
      <c r="B2813" s="706" t="s">
        <v>4503</v>
      </c>
      <c r="D2813" s="706" t="s">
        <v>1841</v>
      </c>
      <c r="H2813" s="1191"/>
      <c r="I2813" s="706" t="s">
        <v>4450</v>
      </c>
    </row>
    <row r="2814" spans="1:9">
      <c r="A2814" s="706">
        <v>114610</v>
      </c>
      <c r="B2814" s="706" t="s">
        <v>4504</v>
      </c>
      <c r="D2814" s="706" t="s">
        <v>1841</v>
      </c>
      <c r="H2814" s="1191"/>
      <c r="I2814" s="706" t="s">
        <v>4450</v>
      </c>
    </row>
    <row r="2815" spans="1:9">
      <c r="A2815" s="706">
        <v>114611</v>
      </c>
      <c r="B2815" s="706" t="s">
        <v>4505</v>
      </c>
      <c r="D2815" s="706" t="s">
        <v>1841</v>
      </c>
      <c r="H2815" s="1191"/>
      <c r="I2815" s="706" t="s">
        <v>4450</v>
      </c>
    </row>
    <row r="2816" spans="1:9">
      <c r="A2816" s="706">
        <v>114612</v>
      </c>
      <c r="B2816" s="706" t="s">
        <v>4506</v>
      </c>
      <c r="D2816" s="706" t="s">
        <v>1841</v>
      </c>
      <c r="H2816" s="1191"/>
      <c r="I2816" s="706" t="s">
        <v>4450</v>
      </c>
    </row>
    <row r="2817" spans="1:9">
      <c r="A2817" s="706">
        <v>114613</v>
      </c>
      <c r="B2817" s="706" t="s">
        <v>4507</v>
      </c>
      <c r="D2817" s="706" t="s">
        <v>1841</v>
      </c>
      <c r="H2817" s="1191"/>
      <c r="I2817" s="706" t="s">
        <v>4450</v>
      </c>
    </row>
    <row r="2818" spans="1:9">
      <c r="A2818" s="706">
        <v>114614</v>
      </c>
      <c r="B2818" s="706" t="s">
        <v>4508</v>
      </c>
      <c r="D2818" s="706" t="s">
        <v>1841</v>
      </c>
      <c r="H2818" s="1191"/>
      <c r="I2818" s="706" t="s">
        <v>4450</v>
      </c>
    </row>
    <row r="2819" spans="1:9">
      <c r="A2819" s="706">
        <v>114615</v>
      </c>
      <c r="B2819" s="706" t="s">
        <v>4509</v>
      </c>
      <c r="D2819" s="706" t="s">
        <v>1841</v>
      </c>
      <c r="H2819" s="1191"/>
      <c r="I2819" s="706" t="s">
        <v>4450</v>
      </c>
    </row>
    <row r="2820" spans="1:9">
      <c r="A2820" s="706">
        <v>114616</v>
      </c>
      <c r="B2820" s="706" t="s">
        <v>4510</v>
      </c>
      <c r="D2820" s="706" t="s">
        <v>1841</v>
      </c>
      <c r="H2820" s="1191"/>
      <c r="I2820" s="706" t="s">
        <v>4450</v>
      </c>
    </row>
    <row r="2821" spans="1:9">
      <c r="A2821" s="706">
        <v>114617</v>
      </c>
      <c r="B2821" s="706" t="s">
        <v>4511</v>
      </c>
      <c r="D2821" s="706" t="s">
        <v>1841</v>
      </c>
      <c r="H2821" s="1191"/>
      <c r="I2821" s="706" t="s">
        <v>4450</v>
      </c>
    </row>
    <row r="2822" spans="1:9">
      <c r="A2822" s="706">
        <v>114618</v>
      </c>
      <c r="B2822" s="706" t="s">
        <v>4512</v>
      </c>
      <c r="D2822" s="706" t="s">
        <v>1841</v>
      </c>
      <c r="H2822" s="1191"/>
      <c r="I2822" s="706" t="s">
        <v>4450</v>
      </c>
    </row>
    <row r="2823" spans="1:9">
      <c r="A2823" s="706">
        <v>114619</v>
      </c>
      <c r="B2823" s="706" t="s">
        <v>4513</v>
      </c>
      <c r="D2823" s="706" t="s">
        <v>1841</v>
      </c>
      <c r="H2823" s="1191"/>
      <c r="I2823" s="706" t="s">
        <v>4450</v>
      </c>
    </row>
    <row r="2824" spans="1:9">
      <c r="A2824" s="706">
        <v>114620</v>
      </c>
      <c r="B2824" s="706" t="s">
        <v>4514</v>
      </c>
      <c r="D2824" s="706" t="s">
        <v>1841</v>
      </c>
      <c r="H2824" s="1191"/>
      <c r="I2824" s="706" t="s">
        <v>4450</v>
      </c>
    </row>
    <row r="2825" spans="1:9">
      <c r="A2825" s="706">
        <v>114621</v>
      </c>
      <c r="B2825" s="706" t="s">
        <v>4515</v>
      </c>
      <c r="D2825" s="706" t="s">
        <v>1841</v>
      </c>
      <c r="H2825" s="1191"/>
      <c r="I2825" s="706" t="s">
        <v>4450</v>
      </c>
    </row>
    <row r="2826" spans="1:9">
      <c r="A2826" s="706">
        <v>114622</v>
      </c>
      <c r="B2826" s="706" t="s">
        <v>4516</v>
      </c>
      <c r="D2826" s="706" t="s">
        <v>1841</v>
      </c>
      <c r="H2826" s="1191"/>
      <c r="I2826" s="706" t="s">
        <v>4450</v>
      </c>
    </row>
    <row r="2827" spans="1:9">
      <c r="A2827" s="706">
        <v>114623</v>
      </c>
      <c r="B2827" s="706" t="s">
        <v>4517</v>
      </c>
      <c r="D2827" s="706" t="s">
        <v>1841</v>
      </c>
      <c r="H2827" s="1191"/>
      <c r="I2827" s="706" t="s">
        <v>4450</v>
      </c>
    </row>
    <row r="2828" spans="1:9">
      <c r="A2828" s="706">
        <v>114624</v>
      </c>
      <c r="B2828" s="706" t="s">
        <v>4518</v>
      </c>
      <c r="D2828" s="706" t="s">
        <v>1841</v>
      </c>
      <c r="H2828" s="1191"/>
      <c r="I2828" s="706" t="s">
        <v>4450</v>
      </c>
    </row>
    <row r="2829" spans="1:9">
      <c r="A2829" s="706">
        <v>114625</v>
      </c>
      <c r="B2829" s="706" t="s">
        <v>4519</v>
      </c>
      <c r="D2829" s="706" t="s">
        <v>1841</v>
      </c>
      <c r="H2829" s="1191"/>
      <c r="I2829" s="706" t="s">
        <v>4450</v>
      </c>
    </row>
    <row r="2830" spans="1:9">
      <c r="A2830" s="706">
        <v>114626</v>
      </c>
      <c r="B2830" s="706" t="s">
        <v>4520</v>
      </c>
      <c r="D2830" s="706" t="s">
        <v>1841</v>
      </c>
      <c r="H2830" s="1191"/>
      <c r="I2830" s="706" t="s">
        <v>4450</v>
      </c>
    </row>
    <row r="2831" spans="1:9">
      <c r="A2831" s="706">
        <v>114627</v>
      </c>
      <c r="B2831" s="706" t="s">
        <v>4521</v>
      </c>
      <c r="D2831" s="706" t="s">
        <v>1841</v>
      </c>
      <c r="H2831" s="1191"/>
      <c r="I2831" s="706" t="s">
        <v>4450</v>
      </c>
    </row>
    <row r="2832" spans="1:9">
      <c r="A2832" s="706">
        <v>114628</v>
      </c>
      <c r="B2832" s="706" t="s">
        <v>4522</v>
      </c>
      <c r="D2832" s="706" t="s">
        <v>1841</v>
      </c>
      <c r="H2832" s="1191"/>
      <c r="I2832" s="706" t="s">
        <v>4450</v>
      </c>
    </row>
    <row r="2833" spans="1:9">
      <c r="A2833" s="706">
        <v>114629</v>
      </c>
      <c r="B2833" s="706" t="s">
        <v>4523</v>
      </c>
      <c r="D2833" s="706" t="s">
        <v>1841</v>
      </c>
      <c r="H2833" s="1191"/>
      <c r="I2833" s="706" t="s">
        <v>4450</v>
      </c>
    </row>
    <row r="2834" spans="1:9">
      <c r="A2834" s="706">
        <v>114630</v>
      </c>
      <c r="B2834" s="706" t="s">
        <v>4524</v>
      </c>
      <c r="D2834" s="706" t="s">
        <v>1841</v>
      </c>
      <c r="H2834" s="1191"/>
      <c r="I2834" s="706" t="s">
        <v>4450</v>
      </c>
    </row>
    <row r="2835" spans="1:9">
      <c r="A2835" s="706">
        <v>114631</v>
      </c>
      <c r="B2835" s="706" t="s">
        <v>4525</v>
      </c>
      <c r="D2835" s="706" t="s">
        <v>1841</v>
      </c>
      <c r="H2835" s="1191"/>
      <c r="I2835" s="706" t="s">
        <v>4450</v>
      </c>
    </row>
    <row r="2836" spans="1:9">
      <c r="A2836" s="706">
        <v>114632</v>
      </c>
      <c r="B2836" s="706" t="s">
        <v>4526</v>
      </c>
      <c r="D2836" s="706" t="s">
        <v>1841</v>
      </c>
      <c r="H2836" s="1191"/>
      <c r="I2836" s="706" t="s">
        <v>4450</v>
      </c>
    </row>
    <row r="2837" spans="1:9">
      <c r="A2837" s="706">
        <v>114633</v>
      </c>
      <c r="B2837" s="706" t="s">
        <v>4527</v>
      </c>
      <c r="D2837" s="706" t="s">
        <v>1841</v>
      </c>
      <c r="H2837" s="1191"/>
      <c r="I2837" s="706" t="s">
        <v>4450</v>
      </c>
    </row>
    <row r="2838" spans="1:9">
      <c r="A2838" s="706">
        <v>114634</v>
      </c>
      <c r="B2838" s="706" t="s">
        <v>4528</v>
      </c>
      <c r="D2838" s="706" t="s">
        <v>1841</v>
      </c>
      <c r="H2838" s="1191"/>
      <c r="I2838" s="706" t="s">
        <v>4450</v>
      </c>
    </row>
    <row r="2839" spans="1:9">
      <c r="A2839" s="706">
        <v>114635</v>
      </c>
      <c r="B2839" s="706" t="s">
        <v>4529</v>
      </c>
      <c r="D2839" s="706" t="s">
        <v>1841</v>
      </c>
      <c r="H2839" s="1191"/>
      <c r="I2839" s="706" t="s">
        <v>4450</v>
      </c>
    </row>
    <row r="2840" spans="1:9">
      <c r="A2840" s="706">
        <v>114636</v>
      </c>
      <c r="B2840" s="706" t="s">
        <v>4530</v>
      </c>
      <c r="D2840" s="706" t="s">
        <v>1841</v>
      </c>
      <c r="H2840" s="1191"/>
      <c r="I2840" s="706" t="s">
        <v>4450</v>
      </c>
    </row>
    <row r="2841" spans="1:9">
      <c r="A2841" s="706">
        <v>114637</v>
      </c>
      <c r="B2841" s="706" t="s">
        <v>4531</v>
      </c>
      <c r="D2841" s="706" t="s">
        <v>1841</v>
      </c>
      <c r="H2841" s="1191"/>
      <c r="I2841" s="706" t="s">
        <v>4450</v>
      </c>
    </row>
    <row r="2842" spans="1:9">
      <c r="A2842" s="706">
        <v>114638</v>
      </c>
      <c r="B2842" s="706" t="s">
        <v>4532</v>
      </c>
      <c r="D2842" s="706" t="s">
        <v>1841</v>
      </c>
      <c r="H2842" s="1191"/>
      <c r="I2842" s="706" t="s">
        <v>4450</v>
      </c>
    </row>
    <row r="2843" spans="1:9">
      <c r="A2843" s="706">
        <v>114639</v>
      </c>
      <c r="B2843" s="706" t="s">
        <v>4533</v>
      </c>
      <c r="D2843" s="706" t="s">
        <v>1841</v>
      </c>
      <c r="H2843" s="1191"/>
      <c r="I2843" s="706" t="s">
        <v>4450</v>
      </c>
    </row>
    <row r="2844" spans="1:9">
      <c r="A2844" s="706">
        <v>114640</v>
      </c>
      <c r="B2844" s="706" t="s">
        <v>4534</v>
      </c>
      <c r="D2844" s="706" t="s">
        <v>1841</v>
      </c>
      <c r="H2844" s="1191"/>
      <c r="I2844" s="706" t="s">
        <v>4450</v>
      </c>
    </row>
    <row r="2845" spans="1:9">
      <c r="A2845" s="706">
        <v>114641</v>
      </c>
      <c r="B2845" s="706" t="s">
        <v>4535</v>
      </c>
      <c r="D2845" s="706" t="s">
        <v>1841</v>
      </c>
      <c r="H2845" s="1191"/>
      <c r="I2845" s="706" t="s">
        <v>4450</v>
      </c>
    </row>
    <row r="2846" spans="1:9">
      <c r="A2846" s="706">
        <v>114642</v>
      </c>
      <c r="B2846" s="706" t="s">
        <v>4536</v>
      </c>
      <c r="D2846" s="706" t="s">
        <v>1841</v>
      </c>
      <c r="H2846" s="1191"/>
      <c r="I2846" s="706" t="s">
        <v>4450</v>
      </c>
    </row>
    <row r="2847" spans="1:9">
      <c r="A2847" s="706">
        <v>114643</v>
      </c>
      <c r="B2847" s="706" t="s">
        <v>4537</v>
      </c>
      <c r="D2847" s="706" t="s">
        <v>1841</v>
      </c>
      <c r="H2847" s="1191"/>
      <c r="I2847" s="706" t="s">
        <v>4450</v>
      </c>
    </row>
    <row r="2848" spans="1:9">
      <c r="A2848" s="706">
        <v>114644</v>
      </c>
      <c r="B2848" s="706" t="s">
        <v>4538</v>
      </c>
      <c r="D2848" s="706" t="s">
        <v>1841</v>
      </c>
      <c r="H2848" s="1191"/>
      <c r="I2848" s="706" t="s">
        <v>4450</v>
      </c>
    </row>
    <row r="2849" spans="1:9">
      <c r="A2849" s="706">
        <v>114645</v>
      </c>
      <c r="B2849" s="706" t="s">
        <v>4539</v>
      </c>
      <c r="D2849" s="706" t="s">
        <v>1841</v>
      </c>
      <c r="H2849" s="1191"/>
      <c r="I2849" s="706" t="s">
        <v>4450</v>
      </c>
    </row>
    <row r="2850" spans="1:9">
      <c r="A2850" s="706">
        <v>114646</v>
      </c>
      <c r="B2850" s="706" t="s">
        <v>4540</v>
      </c>
      <c r="D2850" s="706" t="s">
        <v>1841</v>
      </c>
      <c r="H2850" s="1191"/>
      <c r="I2850" s="706" t="s">
        <v>4450</v>
      </c>
    </row>
    <row r="2851" spans="1:9">
      <c r="A2851" s="706">
        <v>114647</v>
      </c>
      <c r="B2851" s="706" t="s">
        <v>4541</v>
      </c>
      <c r="D2851" s="706" t="s">
        <v>1841</v>
      </c>
      <c r="H2851" s="1191"/>
      <c r="I2851" s="706" t="s">
        <v>4450</v>
      </c>
    </row>
    <row r="2852" spans="1:9">
      <c r="A2852" s="706">
        <v>114648</v>
      </c>
      <c r="B2852" s="706" t="s">
        <v>4542</v>
      </c>
      <c r="D2852" s="706" t="s">
        <v>1841</v>
      </c>
      <c r="H2852" s="1191"/>
      <c r="I2852" s="706" t="s">
        <v>4450</v>
      </c>
    </row>
    <row r="2853" spans="1:9">
      <c r="A2853" s="706">
        <v>114649</v>
      </c>
      <c r="B2853" s="706" t="s">
        <v>4543</v>
      </c>
      <c r="D2853" s="706" t="s">
        <v>1841</v>
      </c>
      <c r="H2853" s="1191"/>
      <c r="I2853" s="706" t="s">
        <v>4450</v>
      </c>
    </row>
    <row r="2854" spans="1:9">
      <c r="A2854" s="706">
        <v>114650</v>
      </c>
      <c r="B2854" s="706" t="s">
        <v>4544</v>
      </c>
      <c r="D2854" s="706" t="s">
        <v>1841</v>
      </c>
      <c r="H2854" s="1191"/>
      <c r="I2854" s="706" t="s">
        <v>4450</v>
      </c>
    </row>
    <row r="2855" spans="1:9">
      <c r="A2855" s="706">
        <v>114651</v>
      </c>
      <c r="B2855" s="706" t="s">
        <v>4545</v>
      </c>
      <c r="D2855" s="706" t="s">
        <v>1841</v>
      </c>
      <c r="H2855" s="1191"/>
      <c r="I2855" s="706" t="s">
        <v>4450</v>
      </c>
    </row>
    <row r="2856" spans="1:9">
      <c r="A2856" s="706">
        <v>114652</v>
      </c>
      <c r="B2856" s="706" t="s">
        <v>4546</v>
      </c>
      <c r="D2856" s="706" t="s">
        <v>1841</v>
      </c>
      <c r="H2856" s="1191"/>
      <c r="I2856" s="706" t="s">
        <v>4450</v>
      </c>
    </row>
    <row r="2857" spans="1:9">
      <c r="A2857" s="706">
        <v>114653</v>
      </c>
      <c r="B2857" s="706" t="s">
        <v>4547</v>
      </c>
      <c r="D2857" s="706" t="s">
        <v>1841</v>
      </c>
      <c r="H2857" s="1191"/>
      <c r="I2857" s="706" t="s">
        <v>4450</v>
      </c>
    </row>
    <row r="2858" spans="1:9">
      <c r="A2858" s="706">
        <v>114654</v>
      </c>
      <c r="B2858" s="706" t="s">
        <v>4548</v>
      </c>
      <c r="D2858" s="706" t="s">
        <v>1841</v>
      </c>
      <c r="H2858" s="1191"/>
      <c r="I2858" s="706" t="s">
        <v>4450</v>
      </c>
    </row>
    <row r="2859" spans="1:9">
      <c r="A2859" s="706">
        <v>114655</v>
      </c>
      <c r="B2859" s="706" t="s">
        <v>4549</v>
      </c>
      <c r="D2859" s="706" t="s">
        <v>1841</v>
      </c>
      <c r="H2859" s="1191"/>
      <c r="I2859" s="706" t="s">
        <v>4450</v>
      </c>
    </row>
    <row r="2860" spans="1:9">
      <c r="A2860" s="706">
        <v>114656</v>
      </c>
      <c r="B2860" s="706" t="s">
        <v>4550</v>
      </c>
      <c r="D2860" s="706" t="s">
        <v>1841</v>
      </c>
      <c r="H2860" s="1191"/>
      <c r="I2860" s="706" t="s">
        <v>4450</v>
      </c>
    </row>
    <row r="2861" spans="1:9">
      <c r="A2861" s="706">
        <v>114657</v>
      </c>
      <c r="B2861" s="706" t="s">
        <v>4551</v>
      </c>
      <c r="D2861" s="706" t="s">
        <v>1841</v>
      </c>
      <c r="H2861" s="1191"/>
      <c r="I2861" s="706" t="s">
        <v>4450</v>
      </c>
    </row>
    <row r="2862" spans="1:9">
      <c r="A2862" s="706">
        <v>114658</v>
      </c>
      <c r="B2862" s="706" t="s">
        <v>4552</v>
      </c>
      <c r="D2862" s="706" t="s">
        <v>1841</v>
      </c>
      <c r="H2862" s="1191"/>
      <c r="I2862" s="706" t="s">
        <v>4450</v>
      </c>
    </row>
    <row r="2863" spans="1:9">
      <c r="A2863" s="706">
        <v>114659</v>
      </c>
      <c r="B2863" s="706" t="s">
        <v>4553</v>
      </c>
      <c r="D2863" s="706" t="s">
        <v>1841</v>
      </c>
      <c r="H2863" s="1191"/>
      <c r="I2863" s="706" t="s">
        <v>4450</v>
      </c>
    </row>
    <row r="2864" spans="1:9">
      <c r="A2864" s="706">
        <v>114660</v>
      </c>
      <c r="B2864" s="706" t="s">
        <v>4554</v>
      </c>
      <c r="D2864" s="706" t="s">
        <v>1841</v>
      </c>
      <c r="H2864" s="1191"/>
      <c r="I2864" s="706" t="s">
        <v>4450</v>
      </c>
    </row>
    <row r="2865" spans="1:9">
      <c r="A2865" s="706">
        <v>114661</v>
      </c>
      <c r="B2865" s="706" t="s">
        <v>4555</v>
      </c>
      <c r="D2865" s="706" t="s">
        <v>1841</v>
      </c>
      <c r="H2865" s="1191"/>
      <c r="I2865" s="706" t="s">
        <v>4450</v>
      </c>
    </row>
    <row r="2866" spans="1:9">
      <c r="A2866" s="706">
        <v>114662</v>
      </c>
      <c r="B2866" s="706" t="s">
        <v>4556</v>
      </c>
      <c r="D2866" s="706" t="s">
        <v>1841</v>
      </c>
      <c r="H2866" s="1191"/>
      <c r="I2866" s="706" t="s">
        <v>4450</v>
      </c>
    </row>
    <row r="2867" spans="1:9">
      <c r="A2867" s="706">
        <v>114663</v>
      </c>
      <c r="B2867" s="706" t="s">
        <v>4557</v>
      </c>
      <c r="D2867" s="706" t="s">
        <v>1841</v>
      </c>
      <c r="H2867" s="1191"/>
      <c r="I2867" s="706" t="s">
        <v>4450</v>
      </c>
    </row>
    <row r="2868" spans="1:9">
      <c r="A2868" s="706">
        <v>114664</v>
      </c>
      <c r="B2868" s="706" t="s">
        <v>4558</v>
      </c>
      <c r="D2868" s="706" t="s">
        <v>1841</v>
      </c>
      <c r="H2868" s="1191"/>
      <c r="I2868" s="706" t="s">
        <v>4450</v>
      </c>
    </row>
    <row r="2869" spans="1:9">
      <c r="A2869" s="706">
        <v>114665</v>
      </c>
      <c r="B2869" s="706" t="s">
        <v>4559</v>
      </c>
      <c r="D2869" s="706" t="s">
        <v>1841</v>
      </c>
      <c r="H2869" s="1191"/>
      <c r="I2869" s="706" t="s">
        <v>4450</v>
      </c>
    </row>
    <row r="2870" spans="1:9">
      <c r="A2870" s="706">
        <v>114666</v>
      </c>
      <c r="B2870" s="706" t="s">
        <v>4560</v>
      </c>
      <c r="D2870" s="706" t="s">
        <v>1841</v>
      </c>
      <c r="H2870" s="1191"/>
      <c r="I2870" s="706" t="s">
        <v>4450</v>
      </c>
    </row>
    <row r="2871" spans="1:9">
      <c r="A2871" s="706">
        <v>114667</v>
      </c>
      <c r="B2871" s="706" t="s">
        <v>4561</v>
      </c>
      <c r="C2871" s="706" t="s">
        <v>2381</v>
      </c>
      <c r="D2871" s="706" t="s">
        <v>1841</v>
      </c>
      <c r="E2871" s="706">
        <v>82.25</v>
      </c>
      <c r="F2871" s="706" t="s">
        <v>28</v>
      </c>
      <c r="G2871" s="706">
        <v>404310</v>
      </c>
      <c r="H2871" s="1191">
        <v>44571</v>
      </c>
      <c r="I2871" s="706" t="s">
        <v>4450</v>
      </c>
    </row>
    <row r="2872" spans="1:9">
      <c r="A2872" s="706">
        <v>114668</v>
      </c>
      <c r="B2872" s="706" t="s">
        <v>4562</v>
      </c>
      <c r="D2872" s="706" t="s">
        <v>1841</v>
      </c>
      <c r="H2872" s="1191"/>
      <c r="I2872" s="706" t="s">
        <v>4450</v>
      </c>
    </row>
    <row r="2873" spans="1:9">
      <c r="A2873" s="706">
        <v>114669</v>
      </c>
      <c r="B2873" s="706" t="s">
        <v>4563</v>
      </c>
      <c r="C2873" s="706" t="s">
        <v>2381</v>
      </c>
      <c r="D2873" s="706" t="s">
        <v>1841</v>
      </c>
      <c r="E2873" s="706">
        <v>75.575999999999993</v>
      </c>
      <c r="F2873" s="706" t="s">
        <v>28</v>
      </c>
      <c r="G2873" s="706">
        <v>406360</v>
      </c>
      <c r="H2873" s="1191">
        <v>45000</v>
      </c>
      <c r="I2873" s="706" t="s">
        <v>4450</v>
      </c>
    </row>
    <row r="2874" spans="1:9">
      <c r="A2874" s="706">
        <v>114670</v>
      </c>
      <c r="B2874" s="706" t="s">
        <v>4564</v>
      </c>
      <c r="D2874" s="706" t="s">
        <v>1841</v>
      </c>
      <c r="H2874" s="1191"/>
      <c r="I2874" s="706" t="s">
        <v>4450</v>
      </c>
    </row>
    <row r="2875" spans="1:9">
      <c r="A2875" s="706">
        <v>114671</v>
      </c>
      <c r="B2875" s="706" t="s">
        <v>4565</v>
      </c>
      <c r="D2875" s="706" t="s">
        <v>1841</v>
      </c>
      <c r="H2875" s="1191"/>
      <c r="I2875" s="706" t="s">
        <v>4450</v>
      </c>
    </row>
    <row r="2876" spans="1:9">
      <c r="A2876" s="706">
        <v>114672</v>
      </c>
      <c r="B2876" s="706" t="s">
        <v>4566</v>
      </c>
      <c r="D2876" s="706" t="s">
        <v>1841</v>
      </c>
      <c r="H2876" s="1191"/>
      <c r="I2876" s="706" t="s">
        <v>4450</v>
      </c>
    </row>
    <row r="2877" spans="1:9">
      <c r="A2877" s="706">
        <v>114673</v>
      </c>
      <c r="B2877" s="706" t="s">
        <v>4567</v>
      </c>
      <c r="D2877" s="706" t="s">
        <v>1841</v>
      </c>
      <c r="H2877" s="1191"/>
      <c r="I2877" s="706" t="s">
        <v>4450</v>
      </c>
    </row>
    <row r="2878" spans="1:9">
      <c r="A2878" s="706">
        <v>114674</v>
      </c>
      <c r="B2878" s="706" t="s">
        <v>4568</v>
      </c>
      <c r="C2878" s="706" t="s">
        <v>4482</v>
      </c>
      <c r="D2878" s="706" t="s">
        <v>1841</v>
      </c>
      <c r="E2878" s="706">
        <v>20.893699999999999</v>
      </c>
      <c r="F2878" s="706" t="s">
        <v>28</v>
      </c>
      <c r="G2878" s="706">
        <v>400817</v>
      </c>
      <c r="H2878" s="1191">
        <v>44008</v>
      </c>
      <c r="I2878" s="706" t="s">
        <v>4450</v>
      </c>
    </row>
    <row r="2879" spans="1:9">
      <c r="A2879" s="706">
        <v>114675</v>
      </c>
      <c r="B2879" s="706" t="s">
        <v>4569</v>
      </c>
      <c r="D2879" s="706" t="s">
        <v>1841</v>
      </c>
      <c r="H2879" s="1191"/>
      <c r="I2879" s="706" t="s">
        <v>4450</v>
      </c>
    </row>
    <row r="2880" spans="1:9">
      <c r="A2880" s="706">
        <v>114676</v>
      </c>
      <c r="B2880" s="706" t="s">
        <v>4570</v>
      </c>
      <c r="D2880" s="706" t="s">
        <v>1841</v>
      </c>
      <c r="H2880" s="1191"/>
      <c r="I2880" s="706" t="s">
        <v>4450</v>
      </c>
    </row>
    <row r="2881" spans="1:9">
      <c r="A2881" s="706">
        <v>114677</v>
      </c>
      <c r="B2881" s="706" t="s">
        <v>4571</v>
      </c>
      <c r="D2881" s="706" t="s">
        <v>1841</v>
      </c>
      <c r="H2881" s="1191"/>
      <c r="I2881" s="706" t="s">
        <v>4450</v>
      </c>
    </row>
    <row r="2882" spans="1:9">
      <c r="A2882" s="706">
        <v>114678</v>
      </c>
      <c r="B2882" s="706" t="s">
        <v>4572</v>
      </c>
      <c r="D2882" s="706" t="s">
        <v>1841</v>
      </c>
      <c r="H2882" s="1191"/>
      <c r="I2882" s="706" t="s">
        <v>4450</v>
      </c>
    </row>
    <row r="2883" spans="1:9">
      <c r="A2883" s="706">
        <v>114679</v>
      </c>
      <c r="B2883" s="706" t="s">
        <v>4573</v>
      </c>
      <c r="D2883" s="706" t="s">
        <v>1841</v>
      </c>
      <c r="H2883" s="1191"/>
      <c r="I2883" s="706" t="s">
        <v>4450</v>
      </c>
    </row>
    <row r="2884" spans="1:9">
      <c r="A2884" s="706">
        <v>114680</v>
      </c>
      <c r="B2884" s="706" t="s">
        <v>4574</v>
      </c>
      <c r="D2884" s="706" t="s">
        <v>1841</v>
      </c>
      <c r="H2884" s="1191"/>
      <c r="I2884" s="706" t="s">
        <v>4450</v>
      </c>
    </row>
    <row r="2885" spans="1:9">
      <c r="A2885" s="706">
        <v>114681</v>
      </c>
      <c r="B2885" s="706" t="s">
        <v>4575</v>
      </c>
      <c r="D2885" s="706" t="s">
        <v>1841</v>
      </c>
      <c r="H2885" s="1191"/>
      <c r="I2885" s="706" t="s">
        <v>4450</v>
      </c>
    </row>
    <row r="2886" spans="1:9">
      <c r="A2886" s="706">
        <v>114682</v>
      </c>
      <c r="B2886" s="706" t="s">
        <v>4576</v>
      </c>
      <c r="D2886" s="706" t="s">
        <v>1841</v>
      </c>
      <c r="H2886" s="1191"/>
      <c r="I2886" s="706" t="s">
        <v>4450</v>
      </c>
    </row>
    <row r="2887" spans="1:9">
      <c r="A2887" s="706">
        <v>114683</v>
      </c>
      <c r="B2887" s="706" t="s">
        <v>4577</v>
      </c>
      <c r="D2887" s="706" t="s">
        <v>1841</v>
      </c>
      <c r="H2887" s="1191"/>
      <c r="I2887" s="706" t="s">
        <v>4450</v>
      </c>
    </row>
    <row r="2888" spans="1:9">
      <c r="A2888" s="706">
        <v>114684</v>
      </c>
      <c r="B2888" s="706" t="s">
        <v>4578</v>
      </c>
      <c r="D2888" s="706" t="s">
        <v>1841</v>
      </c>
      <c r="H2888" s="1191"/>
      <c r="I2888" s="706" t="s">
        <v>4450</v>
      </c>
    </row>
    <row r="2889" spans="1:9">
      <c r="A2889" s="706">
        <v>114685</v>
      </c>
      <c r="B2889" s="706" t="s">
        <v>4579</v>
      </c>
      <c r="D2889" s="706" t="s">
        <v>1841</v>
      </c>
      <c r="H2889" s="1191"/>
      <c r="I2889" s="706" t="s">
        <v>4450</v>
      </c>
    </row>
    <row r="2890" spans="1:9">
      <c r="A2890" s="706">
        <v>114686</v>
      </c>
      <c r="B2890" s="706" t="s">
        <v>4580</v>
      </c>
      <c r="D2890" s="706" t="s">
        <v>1841</v>
      </c>
      <c r="H2890" s="1191"/>
      <c r="I2890" s="706" t="s">
        <v>4450</v>
      </c>
    </row>
    <row r="2891" spans="1:9">
      <c r="A2891" s="706">
        <v>114687</v>
      </c>
      <c r="B2891" s="706" t="s">
        <v>4581</v>
      </c>
      <c r="D2891" s="706" t="s">
        <v>1841</v>
      </c>
      <c r="H2891" s="1191"/>
      <c r="I2891" s="706" t="s">
        <v>4450</v>
      </c>
    </row>
    <row r="2892" spans="1:9">
      <c r="A2892" s="706">
        <v>114688</v>
      </c>
      <c r="B2892" s="706" t="s">
        <v>4582</v>
      </c>
      <c r="D2892" s="706" t="s">
        <v>1841</v>
      </c>
      <c r="H2892" s="1191"/>
      <c r="I2892" s="706" t="s">
        <v>4450</v>
      </c>
    </row>
    <row r="2893" spans="1:9">
      <c r="A2893" s="706">
        <v>114689</v>
      </c>
      <c r="B2893" s="706" t="s">
        <v>4583</v>
      </c>
      <c r="C2893" s="706" t="s">
        <v>4482</v>
      </c>
      <c r="D2893" s="706" t="s">
        <v>1841</v>
      </c>
      <c r="E2893" s="706">
        <v>26.33</v>
      </c>
      <c r="F2893" s="706" t="s">
        <v>28</v>
      </c>
      <c r="G2893" s="706">
        <v>40274</v>
      </c>
      <c r="H2893" s="1191">
        <v>43903</v>
      </c>
      <c r="I2893" s="706" t="s">
        <v>4450</v>
      </c>
    </row>
    <row r="2894" spans="1:9">
      <c r="A2894" s="706">
        <v>114690</v>
      </c>
      <c r="B2894" s="706" t="s">
        <v>4584</v>
      </c>
      <c r="D2894" s="706" t="s">
        <v>1841</v>
      </c>
      <c r="H2894" s="1191"/>
      <c r="I2894" s="706" t="s">
        <v>4450</v>
      </c>
    </row>
    <row r="2895" spans="1:9">
      <c r="A2895" s="706">
        <v>114691</v>
      </c>
      <c r="B2895" s="706" t="s">
        <v>4585</v>
      </c>
      <c r="D2895" s="706" t="s">
        <v>1841</v>
      </c>
      <c r="H2895" s="1191"/>
      <c r="I2895" s="706" t="s">
        <v>4450</v>
      </c>
    </row>
    <row r="2896" spans="1:9">
      <c r="A2896" s="706">
        <v>114692</v>
      </c>
      <c r="B2896" s="706" t="s">
        <v>4586</v>
      </c>
      <c r="D2896" s="706" t="s">
        <v>1841</v>
      </c>
      <c r="H2896" s="1191"/>
      <c r="I2896" s="706" t="s">
        <v>4450</v>
      </c>
    </row>
    <row r="2897" spans="1:9">
      <c r="A2897" s="706">
        <v>114693</v>
      </c>
      <c r="B2897" s="706" t="s">
        <v>4587</v>
      </c>
      <c r="D2897" s="706" t="s">
        <v>1841</v>
      </c>
      <c r="H2897" s="1191"/>
      <c r="I2897" s="706" t="s">
        <v>4450</v>
      </c>
    </row>
    <row r="2898" spans="1:9">
      <c r="A2898" s="706">
        <v>114694</v>
      </c>
      <c r="B2898" s="706" t="s">
        <v>4588</v>
      </c>
      <c r="D2898" s="706" t="s">
        <v>1841</v>
      </c>
      <c r="H2898" s="1191"/>
      <c r="I2898" s="706" t="s">
        <v>4450</v>
      </c>
    </row>
    <row r="2899" spans="1:9">
      <c r="A2899" s="706">
        <v>114695</v>
      </c>
      <c r="B2899" s="706" t="s">
        <v>4589</v>
      </c>
      <c r="D2899" s="706" t="s">
        <v>1841</v>
      </c>
      <c r="H2899" s="1191"/>
      <c r="I2899" s="706" t="s">
        <v>4450</v>
      </c>
    </row>
    <row r="2900" spans="1:9">
      <c r="A2900" s="706">
        <v>114696</v>
      </c>
      <c r="B2900" s="706" t="s">
        <v>4590</v>
      </c>
      <c r="D2900" s="706" t="s">
        <v>1841</v>
      </c>
      <c r="H2900" s="1191"/>
      <c r="I2900" s="706" t="s">
        <v>4450</v>
      </c>
    </row>
    <row r="2901" spans="1:9">
      <c r="A2901" s="706">
        <v>114697</v>
      </c>
      <c r="B2901" s="706" t="s">
        <v>4591</v>
      </c>
      <c r="D2901" s="706" t="s">
        <v>1841</v>
      </c>
      <c r="H2901" s="1191"/>
      <c r="I2901" s="706" t="s">
        <v>4450</v>
      </c>
    </row>
    <row r="2902" spans="1:9">
      <c r="A2902" s="706">
        <v>114698</v>
      </c>
      <c r="B2902" s="706" t="s">
        <v>4592</v>
      </c>
      <c r="D2902" s="706" t="s">
        <v>1841</v>
      </c>
      <c r="H2902" s="1191"/>
      <c r="I2902" s="706" t="s">
        <v>4450</v>
      </c>
    </row>
    <row r="2903" spans="1:9">
      <c r="A2903" s="706">
        <v>114699</v>
      </c>
      <c r="B2903" s="706" t="s">
        <v>4593</v>
      </c>
      <c r="D2903" s="706" t="s">
        <v>1841</v>
      </c>
      <c r="H2903" s="1191"/>
      <c r="I2903" s="706" t="s">
        <v>4450</v>
      </c>
    </row>
    <row r="2904" spans="1:9">
      <c r="A2904" s="706">
        <v>114700</v>
      </c>
      <c r="B2904" s="706" t="s">
        <v>4594</v>
      </c>
      <c r="D2904" s="706" t="s">
        <v>1841</v>
      </c>
      <c r="H2904" s="1191"/>
      <c r="I2904" s="706" t="s">
        <v>4450</v>
      </c>
    </row>
    <row r="2905" spans="1:9">
      <c r="A2905" s="706">
        <v>114701</v>
      </c>
      <c r="B2905" s="706" t="s">
        <v>4595</v>
      </c>
      <c r="D2905" s="706" t="s">
        <v>1841</v>
      </c>
      <c r="H2905" s="1191"/>
      <c r="I2905" s="706" t="s">
        <v>4450</v>
      </c>
    </row>
    <row r="2906" spans="1:9">
      <c r="A2906" s="706">
        <v>114702</v>
      </c>
      <c r="B2906" s="706" t="s">
        <v>4596</v>
      </c>
      <c r="D2906" s="706" t="s">
        <v>1841</v>
      </c>
      <c r="H2906" s="1191"/>
      <c r="I2906" s="706" t="s">
        <v>4450</v>
      </c>
    </row>
    <row r="2907" spans="1:9">
      <c r="A2907" s="706">
        <v>114703</v>
      </c>
      <c r="B2907" s="706" t="s">
        <v>4597</v>
      </c>
      <c r="D2907" s="706" t="s">
        <v>1841</v>
      </c>
      <c r="H2907" s="1191"/>
      <c r="I2907" s="706" t="s">
        <v>4450</v>
      </c>
    </row>
    <row r="2908" spans="1:9">
      <c r="A2908" s="706">
        <v>114704</v>
      </c>
      <c r="B2908" s="706" t="s">
        <v>4598</v>
      </c>
      <c r="D2908" s="706" t="s">
        <v>1841</v>
      </c>
      <c r="H2908" s="1191"/>
      <c r="I2908" s="706" t="s">
        <v>4450</v>
      </c>
    </row>
    <row r="2909" spans="1:9">
      <c r="A2909" s="706">
        <v>114705</v>
      </c>
      <c r="B2909" s="706" t="s">
        <v>4599</v>
      </c>
      <c r="D2909" s="706" t="s">
        <v>1841</v>
      </c>
      <c r="H2909" s="1191"/>
      <c r="I2909" s="706" t="s">
        <v>4450</v>
      </c>
    </row>
    <row r="2910" spans="1:9">
      <c r="A2910" s="706">
        <v>114706</v>
      </c>
      <c r="B2910" s="706" t="s">
        <v>4600</v>
      </c>
      <c r="D2910" s="706" t="s">
        <v>1841</v>
      </c>
      <c r="H2910" s="1191"/>
      <c r="I2910" s="706" t="s">
        <v>4450</v>
      </c>
    </row>
    <row r="2911" spans="1:9">
      <c r="A2911" s="706">
        <v>114707</v>
      </c>
      <c r="B2911" s="706" t="s">
        <v>4601</v>
      </c>
      <c r="D2911" s="706" t="s">
        <v>1841</v>
      </c>
      <c r="H2911" s="1191"/>
      <c r="I2911" s="706" t="s">
        <v>4450</v>
      </c>
    </row>
    <row r="2912" spans="1:9">
      <c r="A2912" s="706">
        <v>114708</v>
      </c>
      <c r="B2912" s="706" t="s">
        <v>4602</v>
      </c>
      <c r="D2912" s="706" t="s">
        <v>1841</v>
      </c>
      <c r="H2912" s="1191"/>
      <c r="I2912" s="706" t="s">
        <v>4450</v>
      </c>
    </row>
    <row r="2913" spans="1:9">
      <c r="A2913" s="706">
        <v>114709</v>
      </c>
      <c r="B2913" s="706" t="s">
        <v>4603</v>
      </c>
      <c r="D2913" s="706" t="s">
        <v>1841</v>
      </c>
      <c r="H2913" s="1191"/>
      <c r="I2913" s="706" t="s">
        <v>4450</v>
      </c>
    </row>
    <row r="2914" spans="1:9">
      <c r="A2914" s="706">
        <v>114710</v>
      </c>
      <c r="B2914" s="706" t="s">
        <v>4604</v>
      </c>
      <c r="D2914" s="706" t="s">
        <v>1841</v>
      </c>
      <c r="H2914" s="1191"/>
      <c r="I2914" s="706" t="s">
        <v>4450</v>
      </c>
    </row>
    <row r="2915" spans="1:9">
      <c r="A2915" s="706">
        <v>114711</v>
      </c>
      <c r="B2915" s="706" t="s">
        <v>4605</v>
      </c>
      <c r="D2915" s="706" t="s">
        <v>1841</v>
      </c>
      <c r="H2915" s="1191"/>
      <c r="I2915" s="706" t="s">
        <v>4450</v>
      </c>
    </row>
    <row r="2916" spans="1:9">
      <c r="A2916" s="706">
        <v>114712</v>
      </c>
      <c r="B2916" s="706" t="s">
        <v>4606</v>
      </c>
      <c r="D2916" s="706" t="s">
        <v>1841</v>
      </c>
      <c r="H2916" s="1191"/>
      <c r="I2916" s="706" t="s">
        <v>4450</v>
      </c>
    </row>
    <row r="2917" spans="1:9">
      <c r="A2917" s="706">
        <v>114713</v>
      </c>
      <c r="B2917" s="706" t="s">
        <v>4607</v>
      </c>
      <c r="D2917" s="706" t="s">
        <v>1841</v>
      </c>
      <c r="H2917" s="1191"/>
      <c r="I2917" s="706" t="s">
        <v>4450</v>
      </c>
    </row>
    <row r="2918" spans="1:9">
      <c r="A2918" s="706">
        <v>114714</v>
      </c>
      <c r="B2918" s="706" t="s">
        <v>4608</v>
      </c>
      <c r="D2918" s="706" t="s">
        <v>1841</v>
      </c>
      <c r="H2918" s="1191"/>
      <c r="I2918" s="706" t="s">
        <v>4450</v>
      </c>
    </row>
    <row r="2919" spans="1:9">
      <c r="A2919" s="706">
        <v>114715</v>
      </c>
      <c r="B2919" s="706" t="s">
        <v>4609</v>
      </c>
      <c r="D2919" s="706" t="s">
        <v>1841</v>
      </c>
      <c r="H2919" s="1191"/>
      <c r="I2919" s="706" t="s">
        <v>4450</v>
      </c>
    </row>
    <row r="2920" spans="1:9">
      <c r="A2920" s="706">
        <v>114716</v>
      </c>
      <c r="B2920" s="706" t="s">
        <v>4610</v>
      </c>
      <c r="D2920" s="706" t="s">
        <v>1841</v>
      </c>
      <c r="H2920" s="1191"/>
      <c r="I2920" s="706" t="s">
        <v>4450</v>
      </c>
    </row>
    <row r="2921" spans="1:9">
      <c r="A2921" s="706">
        <v>114717</v>
      </c>
      <c r="B2921" s="706" t="s">
        <v>4611</v>
      </c>
      <c r="D2921" s="706" t="s">
        <v>1841</v>
      </c>
      <c r="H2921" s="1191"/>
      <c r="I2921" s="706" t="s">
        <v>4450</v>
      </c>
    </row>
    <row r="2922" spans="1:9">
      <c r="A2922" s="706">
        <v>114718</v>
      </c>
      <c r="B2922" s="706" t="s">
        <v>4612</v>
      </c>
      <c r="D2922" s="706" t="s">
        <v>1841</v>
      </c>
      <c r="H2922" s="1191"/>
      <c r="I2922" s="706" t="s">
        <v>4450</v>
      </c>
    </row>
    <row r="2923" spans="1:9">
      <c r="A2923" s="706">
        <v>114719</v>
      </c>
      <c r="B2923" s="706" t="s">
        <v>4613</v>
      </c>
      <c r="D2923" s="706" t="s">
        <v>1841</v>
      </c>
      <c r="H2923" s="1191"/>
      <c r="I2923" s="706" t="s">
        <v>4450</v>
      </c>
    </row>
    <row r="2924" spans="1:9">
      <c r="A2924" s="706">
        <v>114720</v>
      </c>
      <c r="B2924" s="706" t="s">
        <v>4614</v>
      </c>
      <c r="D2924" s="706" t="s">
        <v>1841</v>
      </c>
      <c r="H2924" s="1191"/>
      <c r="I2924" s="706" t="s">
        <v>4450</v>
      </c>
    </row>
    <row r="2925" spans="1:9">
      <c r="A2925" s="706">
        <v>114721</v>
      </c>
      <c r="B2925" s="706" t="s">
        <v>4615</v>
      </c>
      <c r="D2925" s="706" t="s">
        <v>1841</v>
      </c>
      <c r="H2925" s="1191"/>
      <c r="I2925" s="706" t="s">
        <v>4450</v>
      </c>
    </row>
    <row r="2926" spans="1:9">
      <c r="A2926" s="706">
        <v>114722</v>
      </c>
      <c r="B2926" s="706" t="s">
        <v>4616</v>
      </c>
      <c r="D2926" s="706" t="s">
        <v>1841</v>
      </c>
      <c r="H2926" s="1191"/>
      <c r="I2926" s="706" t="s">
        <v>4450</v>
      </c>
    </row>
    <row r="2927" spans="1:9">
      <c r="A2927" s="706">
        <v>114723</v>
      </c>
      <c r="B2927" s="706" t="s">
        <v>4617</v>
      </c>
      <c r="D2927" s="706" t="s">
        <v>1841</v>
      </c>
      <c r="H2927" s="1191"/>
      <c r="I2927" s="706" t="s">
        <v>4450</v>
      </c>
    </row>
    <row r="2928" spans="1:9">
      <c r="A2928" s="706">
        <v>114724</v>
      </c>
      <c r="B2928" s="706" t="s">
        <v>4618</v>
      </c>
      <c r="D2928" s="706" t="s">
        <v>1841</v>
      </c>
      <c r="H2928" s="1191"/>
      <c r="I2928" s="706" t="s">
        <v>4450</v>
      </c>
    </row>
    <row r="2929" spans="1:9">
      <c r="A2929" s="706">
        <v>114725</v>
      </c>
      <c r="B2929" s="706" t="s">
        <v>4619</v>
      </c>
      <c r="D2929" s="706" t="s">
        <v>1841</v>
      </c>
      <c r="H2929" s="1191"/>
      <c r="I2929" s="706" t="s">
        <v>4450</v>
      </c>
    </row>
    <row r="2930" spans="1:9">
      <c r="A2930" s="706">
        <v>114726</v>
      </c>
      <c r="B2930" s="706" t="s">
        <v>4620</v>
      </c>
      <c r="D2930" s="706" t="s">
        <v>1841</v>
      </c>
      <c r="H2930" s="1191"/>
      <c r="I2930" s="706" t="s">
        <v>4450</v>
      </c>
    </row>
    <row r="2931" spans="1:9">
      <c r="A2931" s="706">
        <v>114727</v>
      </c>
      <c r="B2931" s="706" t="s">
        <v>4621</v>
      </c>
      <c r="D2931" s="706" t="s">
        <v>1841</v>
      </c>
      <c r="H2931" s="1191"/>
      <c r="I2931" s="706" t="s">
        <v>4450</v>
      </c>
    </row>
    <row r="2932" spans="1:9">
      <c r="A2932" s="706">
        <v>114728</v>
      </c>
      <c r="B2932" s="706" t="s">
        <v>4622</v>
      </c>
      <c r="D2932" s="706" t="s">
        <v>1841</v>
      </c>
      <c r="H2932" s="1191"/>
      <c r="I2932" s="706" t="s">
        <v>4450</v>
      </c>
    </row>
    <row r="2933" spans="1:9">
      <c r="A2933" s="706">
        <v>114729</v>
      </c>
      <c r="B2933" s="706" t="s">
        <v>4623</v>
      </c>
      <c r="D2933" s="706" t="s">
        <v>1841</v>
      </c>
      <c r="H2933" s="1191"/>
      <c r="I2933" s="706" t="s">
        <v>4450</v>
      </c>
    </row>
    <row r="2934" spans="1:9">
      <c r="A2934" s="706">
        <v>114730</v>
      </c>
      <c r="B2934" s="706" t="s">
        <v>4624</v>
      </c>
      <c r="D2934" s="706" t="s">
        <v>1841</v>
      </c>
      <c r="H2934" s="1191"/>
      <c r="I2934" s="706" t="s">
        <v>4450</v>
      </c>
    </row>
    <row r="2935" spans="1:9">
      <c r="A2935" s="706">
        <v>114731</v>
      </c>
      <c r="B2935" s="706" t="s">
        <v>4625</v>
      </c>
      <c r="D2935" s="706" t="s">
        <v>1841</v>
      </c>
      <c r="H2935" s="1191"/>
      <c r="I2935" s="706" t="s">
        <v>4450</v>
      </c>
    </row>
    <row r="2936" spans="1:9">
      <c r="A2936" s="706">
        <v>114732</v>
      </c>
      <c r="B2936" s="706" t="s">
        <v>4626</v>
      </c>
      <c r="D2936" s="706" t="s">
        <v>1841</v>
      </c>
      <c r="H2936" s="1191"/>
      <c r="I2936" s="706" t="s">
        <v>4450</v>
      </c>
    </row>
    <row r="2937" spans="1:9">
      <c r="A2937" s="706">
        <v>114733</v>
      </c>
      <c r="B2937" s="706" t="s">
        <v>4627</v>
      </c>
      <c r="D2937" s="706" t="s">
        <v>1841</v>
      </c>
      <c r="H2937" s="1191"/>
      <c r="I2937" s="706" t="s">
        <v>4450</v>
      </c>
    </row>
    <row r="2938" spans="1:9">
      <c r="A2938" s="706">
        <v>114734</v>
      </c>
      <c r="B2938" s="706" t="s">
        <v>4628</v>
      </c>
      <c r="D2938" s="706" t="s">
        <v>1841</v>
      </c>
      <c r="H2938" s="1191"/>
      <c r="I2938" s="706" t="s">
        <v>4450</v>
      </c>
    </row>
    <row r="2939" spans="1:9">
      <c r="A2939" s="706">
        <v>114735</v>
      </c>
      <c r="B2939" s="706" t="s">
        <v>4629</v>
      </c>
      <c r="D2939" s="706" t="s">
        <v>1841</v>
      </c>
      <c r="H2939" s="1191"/>
      <c r="I2939" s="706" t="s">
        <v>4450</v>
      </c>
    </row>
    <row r="2940" spans="1:9">
      <c r="A2940" s="706">
        <v>114736</v>
      </c>
      <c r="B2940" s="706" t="s">
        <v>4630</v>
      </c>
      <c r="D2940" s="706" t="s">
        <v>1841</v>
      </c>
      <c r="H2940" s="1191"/>
      <c r="I2940" s="706" t="s">
        <v>4450</v>
      </c>
    </row>
    <row r="2941" spans="1:9">
      <c r="A2941" s="706">
        <v>114737</v>
      </c>
      <c r="B2941" s="706" t="s">
        <v>4631</v>
      </c>
      <c r="D2941" s="706" t="s">
        <v>1841</v>
      </c>
      <c r="H2941" s="1191"/>
      <c r="I2941" s="706" t="s">
        <v>4450</v>
      </c>
    </row>
    <row r="2942" spans="1:9">
      <c r="A2942" s="706">
        <v>114738</v>
      </c>
      <c r="B2942" s="706" t="s">
        <v>4632</v>
      </c>
      <c r="D2942" s="706" t="s">
        <v>1841</v>
      </c>
      <c r="H2942" s="1191"/>
      <c r="I2942" s="706" t="s">
        <v>4450</v>
      </c>
    </row>
    <row r="2943" spans="1:9">
      <c r="A2943" s="706">
        <v>114739</v>
      </c>
      <c r="B2943" s="706" t="s">
        <v>4633</v>
      </c>
      <c r="D2943" s="706" t="s">
        <v>1841</v>
      </c>
      <c r="H2943" s="1191"/>
      <c r="I2943" s="706" t="s">
        <v>4450</v>
      </c>
    </row>
    <row r="2944" spans="1:9">
      <c r="A2944" s="706">
        <v>114740</v>
      </c>
      <c r="B2944" s="706" t="s">
        <v>4634</v>
      </c>
      <c r="D2944" s="706" t="s">
        <v>1841</v>
      </c>
      <c r="H2944" s="1191"/>
      <c r="I2944" s="706" t="s">
        <v>4450</v>
      </c>
    </row>
    <row r="2945" spans="1:9">
      <c r="A2945" s="706">
        <v>114741</v>
      </c>
      <c r="B2945" s="706" t="s">
        <v>4635</v>
      </c>
      <c r="D2945" s="706" t="s">
        <v>1841</v>
      </c>
      <c r="H2945" s="1191"/>
      <c r="I2945" s="706" t="s">
        <v>4450</v>
      </c>
    </row>
    <row r="2946" spans="1:9">
      <c r="A2946" s="706">
        <v>114742</v>
      </c>
      <c r="B2946" s="706" t="s">
        <v>4636</v>
      </c>
      <c r="D2946" s="706" t="s">
        <v>1841</v>
      </c>
      <c r="H2946" s="1191"/>
      <c r="I2946" s="706" t="s">
        <v>4450</v>
      </c>
    </row>
    <row r="2947" spans="1:9">
      <c r="A2947" s="706">
        <v>114743</v>
      </c>
      <c r="B2947" s="706" t="s">
        <v>4637</v>
      </c>
      <c r="D2947" s="706" t="s">
        <v>1841</v>
      </c>
      <c r="H2947" s="1191"/>
      <c r="I2947" s="706" t="s">
        <v>4450</v>
      </c>
    </row>
    <row r="2948" spans="1:9">
      <c r="A2948" s="706">
        <v>114744</v>
      </c>
      <c r="B2948" s="706" t="s">
        <v>4638</v>
      </c>
      <c r="D2948" s="706" t="s">
        <v>1841</v>
      </c>
      <c r="H2948" s="1191"/>
      <c r="I2948" s="706" t="s">
        <v>4450</v>
      </c>
    </row>
    <row r="2949" spans="1:9">
      <c r="A2949" s="706">
        <v>114745</v>
      </c>
      <c r="B2949" s="706" t="s">
        <v>4639</v>
      </c>
      <c r="D2949" s="706" t="s">
        <v>1841</v>
      </c>
      <c r="H2949" s="1191"/>
      <c r="I2949" s="706" t="s">
        <v>4450</v>
      </c>
    </row>
    <row r="2950" spans="1:9">
      <c r="A2950" s="706">
        <v>114746</v>
      </c>
      <c r="B2950" s="706" t="s">
        <v>4640</v>
      </c>
      <c r="D2950" s="706" t="s">
        <v>1841</v>
      </c>
      <c r="H2950" s="1191"/>
      <c r="I2950" s="706" t="s">
        <v>4450</v>
      </c>
    </row>
    <row r="2951" spans="1:9">
      <c r="A2951" s="706">
        <v>114747</v>
      </c>
      <c r="B2951" s="706" t="s">
        <v>4641</v>
      </c>
      <c r="D2951" s="706" t="s">
        <v>1841</v>
      </c>
      <c r="H2951" s="1191"/>
      <c r="I2951" s="706" t="s">
        <v>4450</v>
      </c>
    </row>
    <row r="2952" spans="1:9">
      <c r="A2952" s="706">
        <v>114748</v>
      </c>
      <c r="B2952" s="706" t="s">
        <v>4642</v>
      </c>
      <c r="D2952" s="706" t="s">
        <v>1841</v>
      </c>
      <c r="H2952" s="1191"/>
      <c r="I2952" s="706" t="s">
        <v>4450</v>
      </c>
    </row>
    <row r="2953" spans="1:9">
      <c r="A2953" s="706">
        <v>114749</v>
      </c>
      <c r="B2953" s="706" t="s">
        <v>4643</v>
      </c>
      <c r="D2953" s="706" t="s">
        <v>1841</v>
      </c>
      <c r="H2953" s="1191"/>
      <c r="I2953" s="706" t="s">
        <v>4450</v>
      </c>
    </row>
    <row r="2954" spans="1:9">
      <c r="A2954" s="706">
        <v>114750</v>
      </c>
      <c r="B2954" s="706" t="s">
        <v>4644</v>
      </c>
      <c r="D2954" s="706" t="s">
        <v>1841</v>
      </c>
      <c r="H2954" s="1191"/>
      <c r="I2954" s="706" t="s">
        <v>4450</v>
      </c>
    </row>
    <row r="2955" spans="1:9">
      <c r="A2955" s="706">
        <v>114751</v>
      </c>
      <c r="B2955" s="706" t="s">
        <v>4645</v>
      </c>
      <c r="D2955" s="706" t="s">
        <v>1841</v>
      </c>
      <c r="H2955" s="1191"/>
      <c r="I2955" s="706" t="s">
        <v>4450</v>
      </c>
    </row>
    <row r="2956" spans="1:9">
      <c r="A2956" s="706">
        <v>114752</v>
      </c>
      <c r="B2956" s="706" t="s">
        <v>4646</v>
      </c>
      <c r="D2956" s="706" t="s">
        <v>1841</v>
      </c>
      <c r="H2956" s="1191"/>
      <c r="I2956" s="706" t="s">
        <v>4450</v>
      </c>
    </row>
    <row r="2957" spans="1:9">
      <c r="A2957" s="706">
        <v>114753</v>
      </c>
      <c r="B2957" s="706" t="s">
        <v>4647</v>
      </c>
      <c r="D2957" s="706" t="s">
        <v>1841</v>
      </c>
      <c r="H2957" s="1191"/>
      <c r="I2957" s="706" t="s">
        <v>4450</v>
      </c>
    </row>
    <row r="2958" spans="1:9">
      <c r="A2958" s="706">
        <v>114754</v>
      </c>
      <c r="B2958" s="706" t="s">
        <v>4648</v>
      </c>
      <c r="D2958" s="706" t="s">
        <v>1841</v>
      </c>
      <c r="H2958" s="1191"/>
      <c r="I2958" s="706" t="s">
        <v>4450</v>
      </c>
    </row>
    <row r="2959" spans="1:9">
      <c r="A2959" s="706">
        <v>114755</v>
      </c>
      <c r="B2959" s="706" t="s">
        <v>4649</v>
      </c>
      <c r="D2959" s="706" t="s">
        <v>1841</v>
      </c>
      <c r="H2959" s="1191"/>
      <c r="I2959" s="706" t="s">
        <v>4450</v>
      </c>
    </row>
    <row r="2960" spans="1:9">
      <c r="A2960" s="706">
        <v>114756</v>
      </c>
      <c r="B2960" s="706" t="s">
        <v>4650</v>
      </c>
      <c r="D2960" s="706" t="s">
        <v>1841</v>
      </c>
      <c r="H2960" s="1191"/>
      <c r="I2960" s="706" t="s">
        <v>4450</v>
      </c>
    </row>
    <row r="2961" spans="1:9">
      <c r="A2961" s="706">
        <v>114757</v>
      </c>
      <c r="B2961" s="706" t="s">
        <v>4651</v>
      </c>
      <c r="D2961" s="706" t="s">
        <v>1841</v>
      </c>
      <c r="H2961" s="1191"/>
      <c r="I2961" s="706" t="s">
        <v>4450</v>
      </c>
    </row>
    <row r="2962" spans="1:9">
      <c r="A2962" s="706">
        <v>114758</v>
      </c>
      <c r="B2962" s="706" t="s">
        <v>4652</v>
      </c>
      <c r="D2962" s="706" t="s">
        <v>1841</v>
      </c>
      <c r="H2962" s="1191"/>
      <c r="I2962" s="706" t="s">
        <v>4450</v>
      </c>
    </row>
    <row r="2963" spans="1:9">
      <c r="A2963" s="706">
        <v>114759</v>
      </c>
      <c r="B2963" s="706" t="s">
        <v>4653</v>
      </c>
      <c r="D2963" s="706" t="s">
        <v>1841</v>
      </c>
      <c r="H2963" s="1191"/>
      <c r="I2963" s="706" t="s">
        <v>4450</v>
      </c>
    </row>
    <row r="2964" spans="1:9">
      <c r="A2964" s="706">
        <v>114760</v>
      </c>
      <c r="B2964" s="706" t="s">
        <v>4654</v>
      </c>
      <c r="D2964" s="706" t="s">
        <v>1841</v>
      </c>
      <c r="H2964" s="1191"/>
      <c r="I2964" s="706" t="s">
        <v>4450</v>
      </c>
    </row>
    <row r="2965" spans="1:9">
      <c r="A2965" s="706">
        <v>114761</v>
      </c>
      <c r="B2965" s="706" t="s">
        <v>4655</v>
      </c>
      <c r="D2965" s="706" t="s">
        <v>1841</v>
      </c>
      <c r="H2965" s="1191"/>
      <c r="I2965" s="706" t="s">
        <v>4450</v>
      </c>
    </row>
    <row r="2966" spans="1:9">
      <c r="A2966" s="706">
        <v>114762</v>
      </c>
      <c r="B2966" s="706" t="s">
        <v>4656</v>
      </c>
      <c r="D2966" s="706" t="s">
        <v>1841</v>
      </c>
      <c r="H2966" s="1191"/>
      <c r="I2966" s="706" t="s">
        <v>4450</v>
      </c>
    </row>
    <row r="2967" spans="1:9">
      <c r="A2967" s="706">
        <v>114763</v>
      </c>
      <c r="B2967" s="706" t="s">
        <v>4657</v>
      </c>
      <c r="D2967" s="706" t="s">
        <v>1841</v>
      </c>
      <c r="H2967" s="1191"/>
      <c r="I2967" s="706" t="s">
        <v>4450</v>
      </c>
    </row>
    <row r="2968" spans="1:9">
      <c r="A2968" s="706">
        <v>114764</v>
      </c>
      <c r="B2968" s="706" t="s">
        <v>4658</v>
      </c>
      <c r="D2968" s="706" t="s">
        <v>1841</v>
      </c>
      <c r="H2968" s="1191"/>
      <c r="I2968" s="706" t="s">
        <v>4450</v>
      </c>
    </row>
    <row r="2969" spans="1:9">
      <c r="A2969" s="706">
        <v>114765</v>
      </c>
      <c r="B2969" s="706" t="s">
        <v>4659</v>
      </c>
      <c r="D2969" s="706" t="s">
        <v>1841</v>
      </c>
      <c r="H2969" s="1191"/>
      <c r="I2969" s="706" t="s">
        <v>4450</v>
      </c>
    </row>
    <row r="2970" spans="1:9">
      <c r="A2970" s="706">
        <v>114766</v>
      </c>
      <c r="B2970" s="706" t="s">
        <v>4660</v>
      </c>
      <c r="D2970" s="706" t="s">
        <v>1841</v>
      </c>
      <c r="H2970" s="1191"/>
      <c r="I2970" s="706" t="s">
        <v>4450</v>
      </c>
    </row>
    <row r="2971" spans="1:9">
      <c r="A2971" s="706">
        <v>114767</v>
      </c>
      <c r="B2971" s="706" t="s">
        <v>4661</v>
      </c>
      <c r="D2971" s="706" t="s">
        <v>1841</v>
      </c>
      <c r="H2971" s="1191"/>
      <c r="I2971" s="706" t="s">
        <v>4450</v>
      </c>
    </row>
    <row r="2972" spans="1:9">
      <c r="A2972" s="706">
        <v>114768</v>
      </c>
      <c r="B2972" s="706" t="s">
        <v>4662</v>
      </c>
      <c r="D2972" s="706" t="s">
        <v>1841</v>
      </c>
      <c r="H2972" s="1191"/>
      <c r="I2972" s="706" t="s">
        <v>4450</v>
      </c>
    </row>
    <row r="2973" spans="1:9">
      <c r="A2973" s="706">
        <v>114769</v>
      </c>
      <c r="B2973" s="706" t="s">
        <v>4663</v>
      </c>
      <c r="D2973" s="706" t="s">
        <v>1841</v>
      </c>
      <c r="H2973" s="1191"/>
      <c r="I2973" s="706" t="s">
        <v>4450</v>
      </c>
    </row>
    <row r="2974" spans="1:9">
      <c r="A2974" s="706">
        <v>114770</v>
      </c>
      <c r="B2974" s="706" t="s">
        <v>4664</v>
      </c>
      <c r="D2974" s="706" t="s">
        <v>1841</v>
      </c>
      <c r="H2974" s="1191"/>
      <c r="I2974" s="706" t="s">
        <v>4450</v>
      </c>
    </row>
    <row r="2975" spans="1:9">
      <c r="A2975" s="706">
        <v>114771</v>
      </c>
      <c r="B2975" s="706" t="s">
        <v>4665</v>
      </c>
      <c r="D2975" s="706" t="s">
        <v>1841</v>
      </c>
      <c r="H2975" s="1191"/>
      <c r="I2975" s="706" t="s">
        <v>4450</v>
      </c>
    </row>
    <row r="2976" spans="1:9">
      <c r="A2976" s="706">
        <v>114772</v>
      </c>
      <c r="B2976" s="706" t="s">
        <v>4666</v>
      </c>
      <c r="D2976" s="706" t="s">
        <v>1841</v>
      </c>
      <c r="H2976" s="1191"/>
      <c r="I2976" s="706" t="s">
        <v>4450</v>
      </c>
    </row>
    <row r="2977" spans="1:9">
      <c r="A2977" s="706">
        <v>114773</v>
      </c>
      <c r="B2977" s="706" t="s">
        <v>4667</v>
      </c>
      <c r="D2977" s="706" t="s">
        <v>1841</v>
      </c>
      <c r="H2977" s="1191"/>
      <c r="I2977" s="706" t="s">
        <v>4450</v>
      </c>
    </row>
    <row r="2978" spans="1:9">
      <c r="A2978" s="706">
        <v>114774</v>
      </c>
      <c r="B2978" s="706" t="s">
        <v>4668</v>
      </c>
      <c r="D2978" s="706" t="s">
        <v>1841</v>
      </c>
      <c r="H2978" s="1191"/>
      <c r="I2978" s="706" t="s">
        <v>4450</v>
      </c>
    </row>
    <row r="2979" spans="1:9">
      <c r="A2979" s="706">
        <v>114775</v>
      </c>
      <c r="B2979" s="706" t="s">
        <v>4669</v>
      </c>
      <c r="D2979" s="706" t="s">
        <v>1841</v>
      </c>
      <c r="H2979" s="1191"/>
      <c r="I2979" s="706" t="s">
        <v>4450</v>
      </c>
    </row>
    <row r="2980" spans="1:9">
      <c r="A2980" s="706">
        <v>114776</v>
      </c>
      <c r="B2980" s="706" t="s">
        <v>4670</v>
      </c>
      <c r="D2980" s="706" t="s">
        <v>1841</v>
      </c>
      <c r="H2980" s="1191"/>
      <c r="I2980" s="706" t="s">
        <v>4450</v>
      </c>
    </row>
    <row r="2981" spans="1:9">
      <c r="A2981" s="706">
        <v>114777</v>
      </c>
      <c r="B2981" s="706" t="s">
        <v>4671</v>
      </c>
      <c r="D2981" s="706" t="s">
        <v>1841</v>
      </c>
      <c r="H2981" s="1191"/>
      <c r="I2981" s="706" t="s">
        <v>4450</v>
      </c>
    </row>
    <row r="2982" spans="1:9">
      <c r="A2982" s="706">
        <v>114778</v>
      </c>
      <c r="B2982" s="706" t="s">
        <v>4672</v>
      </c>
      <c r="D2982" s="706" t="s">
        <v>1841</v>
      </c>
      <c r="H2982" s="1191"/>
      <c r="I2982" s="706" t="s">
        <v>4450</v>
      </c>
    </row>
    <row r="2983" spans="1:9">
      <c r="A2983" s="706">
        <v>114779</v>
      </c>
      <c r="B2983" s="706" t="s">
        <v>4673</v>
      </c>
      <c r="D2983" s="706" t="s">
        <v>1841</v>
      </c>
      <c r="H2983" s="1191"/>
      <c r="I2983" s="706" t="s">
        <v>4450</v>
      </c>
    </row>
    <row r="2984" spans="1:9">
      <c r="A2984" s="706">
        <v>114780</v>
      </c>
      <c r="B2984" s="706" t="s">
        <v>4674</v>
      </c>
      <c r="D2984" s="706" t="s">
        <v>1841</v>
      </c>
      <c r="H2984" s="1191"/>
      <c r="I2984" s="706" t="s">
        <v>4450</v>
      </c>
    </row>
    <row r="2985" spans="1:9">
      <c r="A2985" s="706">
        <v>114781</v>
      </c>
      <c r="B2985" s="706" t="s">
        <v>4675</v>
      </c>
      <c r="D2985" s="706" t="s">
        <v>1841</v>
      </c>
      <c r="H2985" s="1191"/>
      <c r="I2985" s="706" t="s">
        <v>4450</v>
      </c>
    </row>
    <row r="2986" spans="1:9">
      <c r="A2986" s="706">
        <v>114782</v>
      </c>
      <c r="B2986" s="706" t="s">
        <v>4676</v>
      </c>
      <c r="D2986" s="706" t="s">
        <v>1841</v>
      </c>
      <c r="H2986" s="1191"/>
      <c r="I2986" s="706" t="s">
        <v>4450</v>
      </c>
    </row>
    <row r="2987" spans="1:9">
      <c r="A2987" s="706">
        <v>114783</v>
      </c>
      <c r="B2987" s="706" t="s">
        <v>4677</v>
      </c>
      <c r="D2987" s="706" t="s">
        <v>1841</v>
      </c>
      <c r="H2987" s="1191"/>
      <c r="I2987" s="706" t="s">
        <v>4450</v>
      </c>
    </row>
    <row r="2988" spans="1:9">
      <c r="A2988" s="706">
        <v>114784</v>
      </c>
      <c r="B2988" s="706" t="s">
        <v>4678</v>
      </c>
      <c r="D2988" s="706" t="s">
        <v>1841</v>
      </c>
      <c r="H2988" s="1191"/>
      <c r="I2988" s="706" t="s">
        <v>4450</v>
      </c>
    </row>
    <row r="2989" spans="1:9">
      <c r="A2989" s="706">
        <v>114785</v>
      </c>
      <c r="B2989" s="706" t="s">
        <v>4679</v>
      </c>
      <c r="D2989" s="706" t="s">
        <v>1841</v>
      </c>
      <c r="H2989" s="1191"/>
      <c r="I2989" s="706" t="s">
        <v>4450</v>
      </c>
    </row>
    <row r="2990" spans="1:9">
      <c r="A2990" s="706">
        <v>114786</v>
      </c>
      <c r="B2990" s="706" t="s">
        <v>4680</v>
      </c>
      <c r="D2990" s="706" t="s">
        <v>1841</v>
      </c>
      <c r="H2990" s="1191"/>
      <c r="I2990" s="706" t="s">
        <v>4450</v>
      </c>
    </row>
    <row r="2991" spans="1:9">
      <c r="A2991" s="706">
        <v>114787</v>
      </c>
      <c r="B2991" s="706" t="s">
        <v>4681</v>
      </c>
      <c r="D2991" s="706" t="s">
        <v>1841</v>
      </c>
      <c r="H2991" s="1191"/>
      <c r="I2991" s="706" t="s">
        <v>4450</v>
      </c>
    </row>
    <row r="2992" spans="1:9">
      <c r="A2992" s="706">
        <v>114788</v>
      </c>
      <c r="B2992" s="706" t="s">
        <v>4682</v>
      </c>
      <c r="D2992" s="706" t="s">
        <v>1841</v>
      </c>
      <c r="H2992" s="1191"/>
      <c r="I2992" s="706" t="s">
        <v>4450</v>
      </c>
    </row>
    <row r="2993" spans="1:9">
      <c r="A2993" s="706">
        <v>114789</v>
      </c>
      <c r="B2993" s="706" t="s">
        <v>4683</v>
      </c>
      <c r="D2993" s="706" t="s">
        <v>1841</v>
      </c>
      <c r="H2993" s="1191"/>
      <c r="I2993" s="706" t="s">
        <v>4450</v>
      </c>
    </row>
    <row r="2994" spans="1:9">
      <c r="A2994" s="706">
        <v>114790</v>
      </c>
      <c r="B2994" s="706" t="s">
        <v>4684</v>
      </c>
      <c r="D2994" s="706" t="s">
        <v>1841</v>
      </c>
      <c r="H2994" s="1191"/>
      <c r="I2994" s="706" t="s">
        <v>4450</v>
      </c>
    </row>
    <row r="2995" spans="1:9">
      <c r="A2995" s="706">
        <v>114791</v>
      </c>
      <c r="B2995" s="706" t="s">
        <v>4685</v>
      </c>
      <c r="D2995" s="706" t="s">
        <v>1841</v>
      </c>
      <c r="H2995" s="1191"/>
      <c r="I2995" s="706" t="s">
        <v>4450</v>
      </c>
    </row>
    <row r="2996" spans="1:9">
      <c r="A2996" s="706">
        <v>114792</v>
      </c>
      <c r="B2996" s="706" t="s">
        <v>4686</v>
      </c>
      <c r="D2996" s="706" t="s">
        <v>1841</v>
      </c>
      <c r="H2996" s="1191"/>
      <c r="I2996" s="706" t="s">
        <v>4450</v>
      </c>
    </row>
    <row r="2997" spans="1:9">
      <c r="A2997" s="706">
        <v>114793</v>
      </c>
      <c r="B2997" s="706" t="s">
        <v>4687</v>
      </c>
      <c r="D2997" s="706" t="s">
        <v>1841</v>
      </c>
      <c r="H2997" s="1191"/>
      <c r="I2997" s="706" t="s">
        <v>4450</v>
      </c>
    </row>
    <row r="2998" spans="1:9">
      <c r="A2998" s="706">
        <v>114794</v>
      </c>
      <c r="B2998" s="706" t="s">
        <v>4688</v>
      </c>
      <c r="D2998" s="706" t="s">
        <v>1841</v>
      </c>
      <c r="H2998" s="1191"/>
      <c r="I2998" s="706" t="s">
        <v>4450</v>
      </c>
    </row>
    <row r="2999" spans="1:9">
      <c r="A2999" s="706">
        <v>114795</v>
      </c>
      <c r="B2999" s="706" t="s">
        <v>4689</v>
      </c>
      <c r="D2999" s="706" t="s">
        <v>1841</v>
      </c>
      <c r="H2999" s="1191"/>
      <c r="I2999" s="706" t="s">
        <v>4450</v>
      </c>
    </row>
    <row r="3000" spans="1:9">
      <c r="A3000" s="706">
        <v>114796</v>
      </c>
      <c r="B3000" s="706" t="s">
        <v>4690</v>
      </c>
      <c r="D3000" s="706" t="s">
        <v>1841</v>
      </c>
      <c r="H3000" s="1191"/>
      <c r="I3000" s="706" t="s">
        <v>4450</v>
      </c>
    </row>
    <row r="3001" spans="1:9">
      <c r="A3001" s="706">
        <v>114797</v>
      </c>
      <c r="B3001" s="706" t="s">
        <v>4691</v>
      </c>
      <c r="D3001" s="706" t="s">
        <v>1841</v>
      </c>
      <c r="H3001" s="1191"/>
      <c r="I3001" s="706" t="s">
        <v>4450</v>
      </c>
    </row>
    <row r="3002" spans="1:9">
      <c r="A3002" s="706">
        <v>114798</v>
      </c>
      <c r="B3002" s="706" t="s">
        <v>4692</v>
      </c>
      <c r="D3002" s="706" t="s">
        <v>1841</v>
      </c>
      <c r="H3002" s="1191"/>
      <c r="I3002" s="706" t="s">
        <v>4450</v>
      </c>
    </row>
    <row r="3003" spans="1:9">
      <c r="A3003" s="706">
        <v>114799</v>
      </c>
      <c r="B3003" s="706" t="s">
        <v>4693</v>
      </c>
      <c r="D3003" s="706" t="s">
        <v>1841</v>
      </c>
      <c r="H3003" s="1191"/>
      <c r="I3003" s="706" t="s">
        <v>4450</v>
      </c>
    </row>
    <row r="3004" spans="1:9">
      <c r="A3004" s="706">
        <v>114800</v>
      </c>
      <c r="B3004" s="706" t="s">
        <v>4694</v>
      </c>
      <c r="D3004" s="706" t="s">
        <v>1841</v>
      </c>
      <c r="H3004" s="1191"/>
      <c r="I3004" s="706" t="s">
        <v>4450</v>
      </c>
    </row>
    <row r="3005" spans="1:9">
      <c r="A3005" s="706">
        <v>115741</v>
      </c>
      <c r="B3005" s="706" t="s">
        <v>4695</v>
      </c>
      <c r="C3005" s="706" t="s">
        <v>8198</v>
      </c>
      <c r="D3005" s="706" t="s">
        <v>1841</v>
      </c>
      <c r="E3005" s="706">
        <v>74.959999999999994</v>
      </c>
      <c r="F3005" s="706" t="s">
        <v>28</v>
      </c>
      <c r="G3005" s="706">
        <v>406232</v>
      </c>
      <c r="H3005" s="1191">
        <v>44979</v>
      </c>
      <c r="I3005" s="706" t="s">
        <v>4696</v>
      </c>
    </row>
    <row r="3006" spans="1:9">
      <c r="A3006" s="706">
        <v>115742</v>
      </c>
      <c r="B3006" s="706" t="s">
        <v>4697</v>
      </c>
      <c r="C3006" s="706" t="s">
        <v>8198</v>
      </c>
      <c r="D3006" s="706" t="s">
        <v>1841</v>
      </c>
      <c r="E3006" s="706">
        <v>2.6</v>
      </c>
      <c r="F3006" s="706" t="s">
        <v>28</v>
      </c>
      <c r="G3006" s="706">
        <v>402483</v>
      </c>
      <c r="H3006" s="1191">
        <v>44236</v>
      </c>
      <c r="I3006" s="706" t="s">
        <v>4696</v>
      </c>
    </row>
    <row r="3007" spans="1:9">
      <c r="A3007" s="706">
        <v>115743</v>
      </c>
      <c r="B3007" s="706" t="s">
        <v>4698</v>
      </c>
      <c r="D3007" s="706" t="s">
        <v>1841</v>
      </c>
      <c r="H3007" s="1191"/>
      <c r="I3007" s="706" t="s">
        <v>4696</v>
      </c>
    </row>
    <row r="3008" spans="1:9">
      <c r="A3008" s="706">
        <v>115744</v>
      </c>
      <c r="B3008" s="706" t="s">
        <v>4699</v>
      </c>
      <c r="D3008" s="706" t="s">
        <v>1841</v>
      </c>
      <c r="H3008" s="1191"/>
      <c r="I3008" s="706" t="s">
        <v>4696</v>
      </c>
    </row>
    <row r="3009" spans="1:9">
      <c r="A3009" s="706">
        <v>115745</v>
      </c>
      <c r="B3009" s="706" t="s">
        <v>4700</v>
      </c>
      <c r="D3009" s="706" t="s">
        <v>1841</v>
      </c>
      <c r="H3009" s="1191"/>
      <c r="I3009" s="706" t="s">
        <v>4701</v>
      </c>
    </row>
    <row r="3010" spans="1:9">
      <c r="A3010" s="706">
        <v>115746</v>
      </c>
      <c r="B3010" s="706" t="s">
        <v>4702</v>
      </c>
      <c r="D3010" s="706" t="s">
        <v>1841</v>
      </c>
      <c r="H3010" s="1191"/>
      <c r="I3010" s="706" t="s">
        <v>4701</v>
      </c>
    </row>
    <row r="3011" spans="1:9">
      <c r="A3011" s="706">
        <v>115747</v>
      </c>
      <c r="B3011" s="706" t="s">
        <v>4703</v>
      </c>
      <c r="C3011" s="706" t="s">
        <v>1930</v>
      </c>
      <c r="D3011" s="706" t="s">
        <v>1841</v>
      </c>
      <c r="E3011" s="706">
        <v>14.8</v>
      </c>
      <c r="F3011" s="706" t="s">
        <v>28</v>
      </c>
      <c r="G3011" s="706">
        <v>402417</v>
      </c>
      <c r="H3011" s="1191">
        <v>44224</v>
      </c>
      <c r="I3011" s="706" t="s">
        <v>4701</v>
      </c>
    </row>
    <row r="3012" spans="1:9">
      <c r="A3012" s="706">
        <v>115748</v>
      </c>
      <c r="B3012" s="706" t="s">
        <v>4704</v>
      </c>
      <c r="D3012" s="706" t="s">
        <v>1841</v>
      </c>
      <c r="H3012" s="1191"/>
      <c r="I3012" s="706" t="s">
        <v>4701</v>
      </c>
    </row>
    <row r="3013" spans="1:9">
      <c r="A3013" s="706">
        <v>115749</v>
      </c>
      <c r="B3013" s="706" t="s">
        <v>4705</v>
      </c>
      <c r="D3013" s="706" t="s">
        <v>1841</v>
      </c>
      <c r="H3013" s="1191"/>
      <c r="I3013" s="706" t="s">
        <v>4701</v>
      </c>
    </row>
    <row r="3014" spans="1:9">
      <c r="A3014" s="706">
        <v>115750</v>
      </c>
      <c r="B3014" s="706" t="s">
        <v>4706</v>
      </c>
      <c r="D3014" s="706" t="s">
        <v>1841</v>
      </c>
      <c r="H3014" s="1191"/>
      <c r="I3014" s="706" t="s">
        <v>4701</v>
      </c>
    </row>
    <row r="3015" spans="1:9">
      <c r="A3015" s="706">
        <v>115751</v>
      </c>
      <c r="B3015" s="706" t="s">
        <v>4707</v>
      </c>
      <c r="C3015" s="706" t="s">
        <v>8198</v>
      </c>
      <c r="D3015" s="706" t="s">
        <v>1841</v>
      </c>
      <c r="E3015" s="706">
        <v>11.25</v>
      </c>
      <c r="F3015" s="706" t="s">
        <v>28</v>
      </c>
      <c r="G3015" s="706">
        <v>402465</v>
      </c>
      <c r="H3015" s="1191">
        <v>44232</v>
      </c>
      <c r="I3015" s="706" t="s">
        <v>4701</v>
      </c>
    </row>
    <row r="3016" spans="1:9">
      <c r="A3016" s="706">
        <v>115752</v>
      </c>
      <c r="B3016" s="706" t="s">
        <v>4708</v>
      </c>
      <c r="D3016" s="706" t="s">
        <v>1841</v>
      </c>
      <c r="H3016" s="1191"/>
      <c r="I3016" s="706" t="s">
        <v>4701</v>
      </c>
    </row>
    <row r="3017" spans="1:9">
      <c r="A3017" s="706">
        <v>115753</v>
      </c>
      <c r="B3017" s="706" t="s">
        <v>4709</v>
      </c>
      <c r="D3017" s="706" t="s">
        <v>1841</v>
      </c>
      <c r="H3017" s="1191"/>
      <c r="I3017" s="706" t="s">
        <v>4701</v>
      </c>
    </row>
    <row r="3018" spans="1:9">
      <c r="A3018" s="706">
        <v>115754</v>
      </c>
      <c r="B3018" s="706" t="s">
        <v>4710</v>
      </c>
      <c r="D3018" s="706" t="s">
        <v>1841</v>
      </c>
      <c r="H3018" s="1191"/>
      <c r="I3018" s="706" t="s">
        <v>4701</v>
      </c>
    </row>
    <row r="3019" spans="1:9">
      <c r="A3019" s="706">
        <v>115755</v>
      </c>
      <c r="B3019" s="706" t="s">
        <v>4711</v>
      </c>
      <c r="C3019" s="706" t="s">
        <v>8198</v>
      </c>
      <c r="D3019" s="706" t="s">
        <v>1841</v>
      </c>
      <c r="E3019" s="706">
        <v>6.5</v>
      </c>
      <c r="F3019" s="706" t="s">
        <v>28</v>
      </c>
      <c r="G3019" s="706">
        <v>402310</v>
      </c>
      <c r="H3019" s="1191">
        <v>44209</v>
      </c>
      <c r="I3019" s="706" t="s">
        <v>4701</v>
      </c>
    </row>
    <row r="3020" spans="1:9">
      <c r="A3020" s="706">
        <v>115756</v>
      </c>
      <c r="B3020" s="706" t="s">
        <v>4712</v>
      </c>
      <c r="D3020" s="706" t="s">
        <v>1841</v>
      </c>
      <c r="H3020" s="1191"/>
      <c r="I3020" s="706" t="s">
        <v>4701</v>
      </c>
    </row>
    <row r="3021" spans="1:9">
      <c r="A3021" s="706">
        <v>115757</v>
      </c>
      <c r="B3021" s="706" t="s">
        <v>4713</v>
      </c>
      <c r="D3021" s="706" t="s">
        <v>1841</v>
      </c>
      <c r="H3021" s="1191"/>
      <c r="I3021" s="706" t="s">
        <v>4701</v>
      </c>
    </row>
    <row r="3022" spans="1:9">
      <c r="A3022" s="706">
        <v>115758</v>
      </c>
      <c r="B3022" s="706" t="s">
        <v>4714</v>
      </c>
      <c r="C3022" s="706" t="s">
        <v>1930</v>
      </c>
      <c r="D3022" s="706" t="s">
        <v>1841</v>
      </c>
      <c r="E3022" s="706">
        <v>14.7</v>
      </c>
      <c r="F3022" s="706" t="s">
        <v>28</v>
      </c>
      <c r="G3022" s="706">
        <v>405081</v>
      </c>
      <c r="H3022" s="1191">
        <v>44707</v>
      </c>
      <c r="I3022" s="706" t="s">
        <v>4701</v>
      </c>
    </row>
    <row r="3023" spans="1:9">
      <c r="A3023" s="706">
        <v>115759</v>
      </c>
      <c r="B3023" s="706" t="s">
        <v>4715</v>
      </c>
      <c r="C3023" s="706" t="s">
        <v>8198</v>
      </c>
      <c r="D3023" s="706" t="s">
        <v>1841</v>
      </c>
      <c r="E3023" s="706">
        <v>3.75</v>
      </c>
      <c r="F3023" s="706" t="s">
        <v>28</v>
      </c>
      <c r="G3023" s="706">
        <v>402483</v>
      </c>
      <c r="H3023" s="1191">
        <v>44236</v>
      </c>
      <c r="I3023" s="706" t="s">
        <v>4701</v>
      </c>
    </row>
    <row r="3024" spans="1:9">
      <c r="A3024" s="706">
        <v>115760</v>
      </c>
      <c r="B3024" s="706" t="s">
        <v>4716</v>
      </c>
      <c r="D3024" s="706" t="s">
        <v>1841</v>
      </c>
      <c r="H3024" s="1191"/>
      <c r="I3024" s="706" t="s">
        <v>4701</v>
      </c>
    </row>
    <row r="3025" spans="1:9">
      <c r="A3025" s="706">
        <v>115761</v>
      </c>
      <c r="B3025" s="706" t="s">
        <v>4717</v>
      </c>
      <c r="D3025" s="706" t="s">
        <v>1841</v>
      </c>
      <c r="H3025" s="1191"/>
      <c r="I3025" s="706" t="s">
        <v>4701</v>
      </c>
    </row>
    <row r="3026" spans="1:9">
      <c r="A3026" s="706">
        <v>115762</v>
      </c>
      <c r="B3026" s="706" t="s">
        <v>4718</v>
      </c>
      <c r="D3026" s="706" t="s">
        <v>1841</v>
      </c>
      <c r="H3026" s="1191"/>
      <c r="I3026" s="706" t="s">
        <v>4701</v>
      </c>
    </row>
    <row r="3027" spans="1:9">
      <c r="A3027" s="706">
        <v>115763</v>
      </c>
      <c r="B3027" s="706" t="s">
        <v>4719</v>
      </c>
      <c r="D3027" s="706" t="s">
        <v>1841</v>
      </c>
      <c r="H3027" s="1191"/>
      <c r="I3027" s="706" t="s">
        <v>4701</v>
      </c>
    </row>
    <row r="3028" spans="1:9">
      <c r="A3028" s="706">
        <v>115764</v>
      </c>
      <c r="B3028" s="706" t="s">
        <v>4720</v>
      </c>
      <c r="D3028" s="706" t="s">
        <v>1841</v>
      </c>
      <c r="H3028" s="1191"/>
      <c r="I3028" s="706" t="s">
        <v>4701</v>
      </c>
    </row>
    <row r="3029" spans="1:9">
      <c r="A3029" s="706">
        <v>115765</v>
      </c>
      <c r="B3029" s="706" t="s">
        <v>4721</v>
      </c>
      <c r="D3029" s="706" t="s">
        <v>1841</v>
      </c>
      <c r="H3029" s="1191"/>
      <c r="I3029" s="706" t="s">
        <v>4701</v>
      </c>
    </row>
    <row r="3030" spans="1:9">
      <c r="A3030" s="706">
        <v>115766</v>
      </c>
      <c r="B3030" s="706" t="s">
        <v>4722</v>
      </c>
      <c r="D3030" s="706" t="s">
        <v>1841</v>
      </c>
      <c r="H3030" s="1191"/>
      <c r="I3030" s="706" t="s">
        <v>4701</v>
      </c>
    </row>
    <row r="3031" spans="1:9">
      <c r="A3031" s="706">
        <v>115767</v>
      </c>
      <c r="B3031" s="706" t="s">
        <v>4723</v>
      </c>
      <c r="D3031" s="706" t="s">
        <v>1841</v>
      </c>
      <c r="H3031" s="1191"/>
      <c r="I3031" s="706" t="s">
        <v>4701</v>
      </c>
    </row>
    <row r="3032" spans="1:9">
      <c r="A3032" s="706">
        <v>115768</v>
      </c>
      <c r="B3032" s="706" t="s">
        <v>4724</v>
      </c>
      <c r="D3032" s="706" t="s">
        <v>1841</v>
      </c>
      <c r="H3032" s="1191"/>
      <c r="I3032" s="706" t="s">
        <v>4701</v>
      </c>
    </row>
    <row r="3033" spans="1:9">
      <c r="A3033" s="706">
        <v>115769</v>
      </c>
      <c r="B3033" s="706" t="s">
        <v>4725</v>
      </c>
      <c r="D3033" s="706" t="s">
        <v>1841</v>
      </c>
      <c r="H3033" s="1191"/>
      <c r="I3033" s="706" t="s">
        <v>4701</v>
      </c>
    </row>
    <row r="3034" spans="1:9">
      <c r="A3034" s="706">
        <v>115770</v>
      </c>
      <c r="B3034" s="706" t="s">
        <v>4726</v>
      </c>
      <c r="C3034" s="706" t="s">
        <v>8198</v>
      </c>
      <c r="D3034" s="706" t="s">
        <v>1841</v>
      </c>
      <c r="E3034" s="706">
        <v>17.350000000000001</v>
      </c>
      <c r="F3034" s="706" t="s">
        <v>28</v>
      </c>
      <c r="G3034" s="706">
        <v>40264</v>
      </c>
      <c r="H3034" s="1191">
        <v>43902</v>
      </c>
      <c r="I3034" s="706" t="s">
        <v>4701</v>
      </c>
    </row>
    <row r="3035" spans="1:9">
      <c r="A3035" s="706">
        <v>115771</v>
      </c>
      <c r="B3035" s="706" t="s">
        <v>4727</v>
      </c>
      <c r="C3035" s="706" t="s">
        <v>8198</v>
      </c>
      <c r="D3035" s="706" t="s">
        <v>1841</v>
      </c>
      <c r="E3035" s="706">
        <v>19.600000000000001</v>
      </c>
      <c r="F3035" s="706" t="s">
        <v>28</v>
      </c>
      <c r="G3035" s="706">
        <v>402736</v>
      </c>
      <c r="H3035" s="1191">
        <v>44266</v>
      </c>
      <c r="I3035" s="706" t="s">
        <v>4701</v>
      </c>
    </row>
    <row r="3036" spans="1:9">
      <c r="A3036" s="706">
        <v>115772</v>
      </c>
      <c r="B3036" s="706" t="s">
        <v>4728</v>
      </c>
      <c r="D3036" s="706" t="s">
        <v>1841</v>
      </c>
      <c r="H3036" s="1191"/>
      <c r="I3036" s="706" t="s">
        <v>4701</v>
      </c>
    </row>
    <row r="3037" spans="1:9">
      <c r="A3037" s="706">
        <v>115773</v>
      </c>
      <c r="B3037" s="706" t="s">
        <v>4729</v>
      </c>
      <c r="D3037" s="706" t="s">
        <v>1841</v>
      </c>
      <c r="H3037" s="1191"/>
      <c r="I3037" s="706" t="s">
        <v>4730</v>
      </c>
    </row>
    <row r="3038" spans="1:9">
      <c r="A3038" s="706">
        <v>115774</v>
      </c>
      <c r="B3038" s="706" t="s">
        <v>4731</v>
      </c>
      <c r="D3038" s="706" t="s">
        <v>1841</v>
      </c>
      <c r="H3038" s="1191"/>
      <c r="I3038" s="706" t="s">
        <v>4730</v>
      </c>
    </row>
    <row r="3039" spans="1:9">
      <c r="A3039" s="706">
        <v>115775</v>
      </c>
      <c r="B3039" s="706" t="s">
        <v>4732</v>
      </c>
      <c r="C3039" s="706" t="s">
        <v>8198</v>
      </c>
      <c r="D3039" s="706" t="s">
        <v>1841</v>
      </c>
      <c r="E3039" s="706">
        <v>18</v>
      </c>
      <c r="F3039" s="706" t="s">
        <v>28</v>
      </c>
      <c r="G3039" s="706">
        <v>403060</v>
      </c>
      <c r="H3039" s="1191">
        <v>44326</v>
      </c>
      <c r="I3039" s="706" t="s">
        <v>4730</v>
      </c>
    </row>
    <row r="3040" spans="1:9">
      <c r="A3040" s="706">
        <v>115776</v>
      </c>
      <c r="B3040" s="706" t="s">
        <v>4733</v>
      </c>
      <c r="D3040" s="706" t="s">
        <v>1841</v>
      </c>
      <c r="H3040" s="1191"/>
      <c r="I3040" s="706" t="s">
        <v>4730</v>
      </c>
    </row>
    <row r="3041" spans="1:9">
      <c r="A3041" s="706">
        <v>115777</v>
      </c>
      <c r="B3041" s="706" t="s">
        <v>4734</v>
      </c>
      <c r="D3041" s="706" t="s">
        <v>1841</v>
      </c>
      <c r="H3041" s="1191"/>
      <c r="I3041" s="706" t="s">
        <v>4730</v>
      </c>
    </row>
    <row r="3042" spans="1:9">
      <c r="A3042" s="706">
        <v>115778</v>
      </c>
      <c r="B3042" s="706" t="s">
        <v>4735</v>
      </c>
      <c r="D3042" s="706" t="s">
        <v>1841</v>
      </c>
      <c r="H3042" s="1191"/>
      <c r="I3042" s="706" t="s">
        <v>4730</v>
      </c>
    </row>
    <row r="3043" spans="1:9">
      <c r="A3043" s="706">
        <v>115779</v>
      </c>
      <c r="B3043" s="706" t="s">
        <v>4736</v>
      </c>
      <c r="D3043" s="706" t="s">
        <v>1841</v>
      </c>
      <c r="H3043" s="1191"/>
      <c r="I3043" s="706" t="s">
        <v>4730</v>
      </c>
    </row>
    <row r="3044" spans="1:9">
      <c r="A3044" s="706">
        <v>115780</v>
      </c>
      <c r="B3044" s="706" t="s">
        <v>4737</v>
      </c>
      <c r="D3044" s="706" t="s">
        <v>1841</v>
      </c>
      <c r="H3044" s="1191"/>
      <c r="I3044" s="706" t="s">
        <v>4730</v>
      </c>
    </row>
    <row r="3045" spans="1:9">
      <c r="A3045" s="706">
        <v>115781</v>
      </c>
      <c r="B3045" s="706" t="s">
        <v>4738</v>
      </c>
      <c r="D3045" s="706" t="s">
        <v>1841</v>
      </c>
      <c r="H3045" s="1191"/>
      <c r="I3045" s="706" t="s">
        <v>4730</v>
      </c>
    </row>
    <row r="3046" spans="1:9">
      <c r="A3046" s="706">
        <v>115782</v>
      </c>
      <c r="B3046" s="706" t="s">
        <v>4739</v>
      </c>
      <c r="D3046" s="706" t="s">
        <v>1841</v>
      </c>
      <c r="H3046" s="1191"/>
      <c r="I3046" s="706" t="s">
        <v>4730</v>
      </c>
    </row>
    <row r="3047" spans="1:9">
      <c r="A3047" s="706">
        <v>115783</v>
      </c>
      <c r="B3047" s="706" t="s">
        <v>4740</v>
      </c>
      <c r="D3047" s="706" t="s">
        <v>1841</v>
      </c>
      <c r="H3047" s="1191"/>
      <c r="I3047" s="706" t="s">
        <v>4730</v>
      </c>
    </row>
    <row r="3048" spans="1:9">
      <c r="A3048" s="706">
        <v>115784</v>
      </c>
      <c r="B3048" s="706" t="s">
        <v>4741</v>
      </c>
      <c r="D3048" s="706" t="s">
        <v>1841</v>
      </c>
      <c r="H3048" s="1191"/>
      <c r="I3048" s="706" t="s">
        <v>4730</v>
      </c>
    </row>
    <row r="3049" spans="1:9">
      <c r="A3049" s="706">
        <v>115785</v>
      </c>
      <c r="B3049" s="706" t="s">
        <v>4742</v>
      </c>
      <c r="D3049" s="706" t="s">
        <v>1841</v>
      </c>
      <c r="H3049" s="1191"/>
      <c r="I3049" s="706" t="s">
        <v>4730</v>
      </c>
    </row>
    <row r="3050" spans="1:9">
      <c r="A3050" s="706">
        <v>115786</v>
      </c>
      <c r="B3050" s="706" t="s">
        <v>4743</v>
      </c>
      <c r="D3050" s="706" t="s">
        <v>1841</v>
      </c>
      <c r="H3050" s="1191"/>
      <c r="I3050" s="706" t="s">
        <v>4730</v>
      </c>
    </row>
    <row r="3051" spans="1:9">
      <c r="A3051" s="706">
        <v>115787</v>
      </c>
      <c r="B3051" s="706" t="s">
        <v>4744</v>
      </c>
      <c r="C3051" s="706" t="s">
        <v>8198</v>
      </c>
      <c r="D3051" s="706" t="s">
        <v>1841</v>
      </c>
      <c r="E3051" s="706">
        <v>3.1</v>
      </c>
      <c r="F3051" s="706" t="s">
        <v>28</v>
      </c>
      <c r="G3051" s="706">
        <v>402333</v>
      </c>
      <c r="H3051" s="1191">
        <v>44211</v>
      </c>
      <c r="I3051" s="706" t="s">
        <v>4730</v>
      </c>
    </row>
    <row r="3052" spans="1:9">
      <c r="A3052" s="706">
        <v>115788</v>
      </c>
      <c r="B3052" s="706" t="s">
        <v>4745</v>
      </c>
      <c r="D3052" s="706" t="s">
        <v>1841</v>
      </c>
      <c r="H3052" s="1191"/>
      <c r="I3052" s="706" t="s">
        <v>4730</v>
      </c>
    </row>
    <row r="3053" spans="1:9">
      <c r="A3053" s="706">
        <v>115789</v>
      </c>
      <c r="B3053" s="706" t="s">
        <v>4746</v>
      </c>
      <c r="D3053" s="706" t="s">
        <v>1841</v>
      </c>
      <c r="H3053" s="1191"/>
      <c r="I3053" s="706" t="s">
        <v>4730</v>
      </c>
    </row>
    <row r="3054" spans="1:9">
      <c r="A3054" s="706">
        <v>115790</v>
      </c>
      <c r="B3054" s="706" t="s">
        <v>4747</v>
      </c>
      <c r="D3054" s="706" t="s">
        <v>1841</v>
      </c>
      <c r="H3054" s="1191"/>
      <c r="I3054" s="706" t="s">
        <v>4730</v>
      </c>
    </row>
    <row r="3055" spans="1:9">
      <c r="A3055" s="706">
        <v>115791</v>
      </c>
      <c r="B3055" s="706" t="s">
        <v>4748</v>
      </c>
      <c r="D3055" s="706" t="s">
        <v>1841</v>
      </c>
      <c r="H3055" s="1191"/>
      <c r="I3055" s="706" t="s">
        <v>4730</v>
      </c>
    </row>
    <row r="3056" spans="1:9">
      <c r="A3056" s="706">
        <v>115792</v>
      </c>
      <c r="B3056" s="706" t="s">
        <v>4749</v>
      </c>
      <c r="D3056" s="706" t="s">
        <v>1841</v>
      </c>
      <c r="H3056" s="1191"/>
      <c r="I3056" s="706" t="s">
        <v>4730</v>
      </c>
    </row>
    <row r="3057" spans="1:9">
      <c r="A3057" s="706">
        <v>115793</v>
      </c>
      <c r="B3057" s="706" t="s">
        <v>4750</v>
      </c>
      <c r="D3057" s="706" t="s">
        <v>1841</v>
      </c>
      <c r="H3057" s="1191"/>
      <c r="I3057" s="706" t="s">
        <v>4730</v>
      </c>
    </row>
    <row r="3058" spans="1:9">
      <c r="A3058" s="706">
        <v>115794</v>
      </c>
      <c r="B3058" s="706" t="s">
        <v>4751</v>
      </c>
      <c r="D3058" s="706" t="s">
        <v>1841</v>
      </c>
      <c r="H3058" s="1191"/>
      <c r="I3058" s="706" t="s">
        <v>4730</v>
      </c>
    </row>
    <row r="3059" spans="1:9">
      <c r="A3059" s="706">
        <v>115795</v>
      </c>
      <c r="B3059" s="706" t="s">
        <v>4752</v>
      </c>
      <c r="D3059" s="706" t="s">
        <v>1841</v>
      </c>
      <c r="H3059" s="1191"/>
      <c r="I3059" s="706" t="s">
        <v>4730</v>
      </c>
    </row>
    <row r="3060" spans="1:9">
      <c r="A3060" s="706">
        <v>115796</v>
      </c>
      <c r="B3060" s="706" t="s">
        <v>4753</v>
      </c>
      <c r="D3060" s="706" t="s">
        <v>1841</v>
      </c>
      <c r="H3060" s="1191"/>
      <c r="I3060" s="706" t="s">
        <v>4730</v>
      </c>
    </row>
    <row r="3061" spans="1:9">
      <c r="A3061" s="706">
        <v>115797</v>
      </c>
      <c r="B3061" s="706" t="s">
        <v>4754</v>
      </c>
      <c r="C3061" s="706" t="s">
        <v>1930</v>
      </c>
      <c r="D3061" s="706" t="s">
        <v>1841</v>
      </c>
      <c r="E3061" s="706">
        <v>22.13</v>
      </c>
      <c r="F3061" s="706" t="s">
        <v>28</v>
      </c>
      <c r="G3061" s="706">
        <v>40179</v>
      </c>
      <c r="H3061" s="1191">
        <v>43895</v>
      </c>
      <c r="I3061" s="706" t="s">
        <v>4730</v>
      </c>
    </row>
    <row r="3062" spans="1:9">
      <c r="A3062" s="706">
        <v>115798</v>
      </c>
      <c r="B3062" s="706" t="s">
        <v>4755</v>
      </c>
      <c r="D3062" s="706" t="s">
        <v>1841</v>
      </c>
      <c r="H3062" s="1191"/>
      <c r="I3062" s="706" t="s">
        <v>4730</v>
      </c>
    </row>
    <row r="3063" spans="1:9">
      <c r="A3063" s="706">
        <v>115799</v>
      </c>
      <c r="B3063" s="706" t="s">
        <v>4756</v>
      </c>
      <c r="D3063" s="706" t="s">
        <v>1841</v>
      </c>
      <c r="H3063" s="1191"/>
      <c r="I3063" s="706" t="s">
        <v>4730</v>
      </c>
    </row>
    <row r="3064" spans="1:9">
      <c r="A3064" s="706">
        <v>115800</v>
      </c>
      <c r="B3064" s="706" t="s">
        <v>4757</v>
      </c>
      <c r="D3064" s="706" t="s">
        <v>1841</v>
      </c>
      <c r="H3064" s="1191"/>
      <c r="I3064" s="706" t="s">
        <v>4730</v>
      </c>
    </row>
    <row r="3065" spans="1:9">
      <c r="A3065" s="706">
        <v>115850</v>
      </c>
      <c r="B3065" s="706" t="s">
        <v>4758</v>
      </c>
      <c r="C3065" s="706" t="s">
        <v>1930</v>
      </c>
      <c r="D3065" s="706" t="s">
        <v>1841</v>
      </c>
      <c r="E3065" s="706">
        <v>7.42</v>
      </c>
      <c r="F3065" s="706" t="s">
        <v>28</v>
      </c>
      <c r="G3065" s="706">
        <v>402544</v>
      </c>
      <c r="H3065" s="1191">
        <v>44243</v>
      </c>
      <c r="I3065" s="706" t="s">
        <v>4701</v>
      </c>
    </row>
    <row r="3066" spans="1:9">
      <c r="A3066" s="706">
        <v>115851</v>
      </c>
      <c r="B3066" s="706" t="s">
        <v>4759</v>
      </c>
      <c r="D3066" s="706" t="s">
        <v>1841</v>
      </c>
      <c r="H3066" s="1191"/>
      <c r="I3066" s="706" t="s">
        <v>4701</v>
      </c>
    </row>
    <row r="3067" spans="1:9">
      <c r="A3067" s="706">
        <v>115852</v>
      </c>
      <c r="B3067" s="706" t="s">
        <v>4760</v>
      </c>
      <c r="D3067" s="706" t="s">
        <v>1841</v>
      </c>
      <c r="H3067" s="1191"/>
      <c r="I3067" s="706" t="s">
        <v>4701</v>
      </c>
    </row>
    <row r="3068" spans="1:9">
      <c r="A3068" s="706">
        <v>115853</v>
      </c>
      <c r="B3068" s="706" t="s">
        <v>4761</v>
      </c>
      <c r="D3068" s="706" t="s">
        <v>1841</v>
      </c>
      <c r="H3068" s="1191"/>
      <c r="I3068" s="706" t="s">
        <v>4701</v>
      </c>
    </row>
    <row r="3069" spans="1:9">
      <c r="A3069" s="706">
        <v>116963</v>
      </c>
      <c r="B3069" s="706" t="s">
        <v>4762</v>
      </c>
      <c r="C3069" s="706" t="s">
        <v>8199</v>
      </c>
      <c r="D3069" s="706" t="s">
        <v>1841</v>
      </c>
      <c r="E3069" s="706">
        <v>14.75</v>
      </c>
      <c r="F3069" s="706" t="s">
        <v>28</v>
      </c>
      <c r="G3069" s="706">
        <v>406974</v>
      </c>
      <c r="H3069" s="1191">
        <v>45146</v>
      </c>
      <c r="I3069" s="706" t="s">
        <v>4763</v>
      </c>
    </row>
    <row r="3070" spans="1:9">
      <c r="A3070" s="706">
        <v>116964</v>
      </c>
      <c r="B3070" s="706" t="s">
        <v>4764</v>
      </c>
      <c r="C3070" s="706" t="s">
        <v>8198</v>
      </c>
      <c r="D3070" s="706" t="s">
        <v>1841</v>
      </c>
      <c r="E3070" s="706">
        <v>26.833300000000001</v>
      </c>
      <c r="F3070" s="706" t="s">
        <v>28</v>
      </c>
      <c r="G3070" s="706">
        <v>402765</v>
      </c>
      <c r="H3070" s="1191">
        <v>44270</v>
      </c>
      <c r="I3070" s="706" t="s">
        <v>4763</v>
      </c>
    </row>
    <row r="3071" spans="1:9">
      <c r="A3071" s="706">
        <v>116965</v>
      </c>
      <c r="B3071" s="706" t="s">
        <v>4765</v>
      </c>
      <c r="D3071" s="706" t="s">
        <v>1841</v>
      </c>
      <c r="H3071" s="1191"/>
      <c r="I3071" s="706" t="s">
        <v>4763</v>
      </c>
    </row>
    <row r="3072" spans="1:9">
      <c r="A3072" s="706">
        <v>116966</v>
      </c>
      <c r="B3072" s="706" t="s">
        <v>4766</v>
      </c>
      <c r="C3072" s="706" t="s">
        <v>8198</v>
      </c>
      <c r="D3072" s="706" t="s">
        <v>1841</v>
      </c>
      <c r="E3072" s="706">
        <v>26.25</v>
      </c>
      <c r="F3072" s="706" t="s">
        <v>28</v>
      </c>
      <c r="G3072" s="706">
        <v>40264</v>
      </c>
      <c r="H3072" s="1191">
        <v>43902</v>
      </c>
      <c r="I3072" s="706" t="s">
        <v>4763</v>
      </c>
    </row>
    <row r="3073" spans="1:9">
      <c r="A3073" s="706">
        <v>116967</v>
      </c>
      <c r="B3073" s="706" t="s">
        <v>4767</v>
      </c>
      <c r="D3073" s="706" t="s">
        <v>1841</v>
      </c>
      <c r="H3073" s="1191"/>
      <c r="I3073" s="706" t="s">
        <v>4763</v>
      </c>
    </row>
    <row r="3074" spans="1:9">
      <c r="A3074" s="706">
        <v>116968</v>
      </c>
      <c r="B3074" s="706" t="s">
        <v>4768</v>
      </c>
      <c r="D3074" s="706" t="s">
        <v>1841</v>
      </c>
      <c r="H3074" s="1191"/>
      <c r="I3074" s="706" t="s">
        <v>4763</v>
      </c>
    </row>
    <row r="3075" spans="1:9">
      <c r="A3075" s="706">
        <v>116969</v>
      </c>
      <c r="B3075" s="706" t="s">
        <v>4769</v>
      </c>
      <c r="D3075" s="706" t="s">
        <v>1841</v>
      </c>
      <c r="H3075" s="1191"/>
      <c r="I3075" s="706" t="s">
        <v>4763</v>
      </c>
    </row>
    <row r="3076" spans="1:9">
      <c r="A3076" s="706">
        <v>116970</v>
      </c>
      <c r="B3076" s="706" t="s">
        <v>4770</v>
      </c>
      <c r="D3076" s="706" t="s">
        <v>1841</v>
      </c>
      <c r="H3076" s="1191"/>
      <c r="I3076" s="706" t="s">
        <v>4763</v>
      </c>
    </row>
    <row r="3077" spans="1:9">
      <c r="A3077" s="706">
        <v>116971</v>
      </c>
      <c r="B3077" s="706" t="s">
        <v>4771</v>
      </c>
      <c r="D3077" s="706" t="s">
        <v>1841</v>
      </c>
      <c r="H3077" s="1191"/>
      <c r="I3077" s="706" t="s">
        <v>4763</v>
      </c>
    </row>
    <row r="3078" spans="1:9">
      <c r="A3078" s="706">
        <v>116972</v>
      </c>
      <c r="B3078" s="706" t="s">
        <v>4772</v>
      </c>
      <c r="D3078" s="706" t="s">
        <v>1841</v>
      </c>
      <c r="H3078" s="1191"/>
      <c r="I3078" s="706" t="s">
        <v>4763</v>
      </c>
    </row>
    <row r="3079" spans="1:9">
      <c r="A3079" s="706">
        <v>116973</v>
      </c>
      <c r="B3079" s="706" t="s">
        <v>4773</v>
      </c>
      <c r="D3079" s="706" t="s">
        <v>1841</v>
      </c>
      <c r="H3079" s="1191"/>
      <c r="I3079" s="706" t="s">
        <v>4763</v>
      </c>
    </row>
    <row r="3080" spans="1:9">
      <c r="A3080" s="706">
        <v>116974</v>
      </c>
      <c r="B3080" s="706" t="s">
        <v>4774</v>
      </c>
      <c r="D3080" s="706" t="s">
        <v>1841</v>
      </c>
      <c r="H3080" s="1191"/>
      <c r="I3080" s="706" t="s">
        <v>4763</v>
      </c>
    </row>
    <row r="3081" spans="1:9">
      <c r="A3081" s="706">
        <v>116975</v>
      </c>
      <c r="B3081" s="706" t="s">
        <v>4775</v>
      </c>
      <c r="D3081" s="706" t="s">
        <v>1841</v>
      </c>
      <c r="H3081" s="1191"/>
      <c r="I3081" s="706" t="s">
        <v>4763</v>
      </c>
    </row>
    <row r="3082" spans="1:9">
      <c r="A3082" s="706">
        <v>116976</v>
      </c>
      <c r="B3082" s="706" t="s">
        <v>4776</v>
      </c>
      <c r="D3082" s="706" t="s">
        <v>1841</v>
      </c>
      <c r="H3082" s="1191"/>
      <c r="I3082" s="706" t="s">
        <v>4763</v>
      </c>
    </row>
    <row r="3083" spans="1:9">
      <c r="A3083" s="706">
        <v>116977</v>
      </c>
      <c r="B3083" s="706" t="s">
        <v>4777</v>
      </c>
      <c r="D3083" s="706" t="s">
        <v>1841</v>
      </c>
      <c r="H3083" s="1191"/>
      <c r="I3083" s="706" t="s">
        <v>4763</v>
      </c>
    </row>
    <row r="3084" spans="1:9">
      <c r="A3084" s="706">
        <v>116978</v>
      </c>
      <c r="B3084" s="706" t="s">
        <v>4778</v>
      </c>
      <c r="D3084" s="706" t="s">
        <v>1841</v>
      </c>
      <c r="H3084" s="1191"/>
      <c r="I3084" s="706" t="s">
        <v>4763</v>
      </c>
    </row>
    <row r="3085" spans="1:9">
      <c r="A3085" s="706">
        <v>116979</v>
      </c>
      <c r="B3085" s="706" t="s">
        <v>4779</v>
      </c>
      <c r="D3085" s="706" t="s">
        <v>1841</v>
      </c>
      <c r="H3085" s="1191"/>
      <c r="I3085" s="706" t="s">
        <v>4763</v>
      </c>
    </row>
    <row r="3086" spans="1:9">
      <c r="A3086" s="706">
        <v>116980</v>
      </c>
      <c r="B3086" s="706" t="s">
        <v>4780</v>
      </c>
      <c r="D3086" s="706" t="s">
        <v>1841</v>
      </c>
      <c r="H3086" s="1191"/>
      <c r="I3086" s="706" t="s">
        <v>4763</v>
      </c>
    </row>
    <row r="3087" spans="1:9">
      <c r="A3087" s="706">
        <v>116981</v>
      </c>
      <c r="B3087" s="706" t="s">
        <v>4781</v>
      </c>
      <c r="D3087" s="706" t="s">
        <v>1841</v>
      </c>
      <c r="H3087" s="1191"/>
      <c r="I3087" s="706" t="s">
        <v>4763</v>
      </c>
    </row>
    <row r="3088" spans="1:9">
      <c r="A3088" s="706">
        <v>116982</v>
      </c>
      <c r="B3088" s="706" t="s">
        <v>4782</v>
      </c>
      <c r="C3088" s="706" t="s">
        <v>8198</v>
      </c>
      <c r="D3088" s="706" t="s">
        <v>1841</v>
      </c>
      <c r="E3088" s="706">
        <v>14.6</v>
      </c>
      <c r="F3088" s="706" t="s">
        <v>28</v>
      </c>
      <c r="G3088" s="706">
        <v>402679</v>
      </c>
      <c r="H3088" s="1191">
        <v>44258</v>
      </c>
      <c r="I3088" s="706" t="s">
        <v>4763</v>
      </c>
    </row>
    <row r="3089" spans="1:9">
      <c r="A3089" s="706">
        <v>116983</v>
      </c>
      <c r="B3089" s="706" t="s">
        <v>4783</v>
      </c>
      <c r="D3089" s="706" t="s">
        <v>1841</v>
      </c>
      <c r="H3089" s="1191"/>
      <c r="I3089" s="706" t="s">
        <v>4763</v>
      </c>
    </row>
    <row r="3090" spans="1:9">
      <c r="A3090" s="706">
        <v>116984</v>
      </c>
      <c r="B3090" s="706" t="s">
        <v>4784</v>
      </c>
      <c r="D3090" s="706" t="s">
        <v>1841</v>
      </c>
      <c r="H3090" s="1191"/>
      <c r="I3090" s="706" t="s">
        <v>4763</v>
      </c>
    </row>
    <row r="3091" spans="1:9">
      <c r="A3091" s="706">
        <v>116985</v>
      </c>
      <c r="B3091" s="706" t="s">
        <v>4785</v>
      </c>
      <c r="D3091" s="706" t="s">
        <v>1841</v>
      </c>
      <c r="H3091" s="1191"/>
      <c r="I3091" s="706" t="s">
        <v>4763</v>
      </c>
    </row>
    <row r="3092" spans="1:9">
      <c r="A3092" s="706">
        <v>116986</v>
      </c>
      <c r="B3092" s="706" t="s">
        <v>4786</v>
      </c>
      <c r="D3092" s="706" t="s">
        <v>1841</v>
      </c>
      <c r="H3092" s="1191"/>
      <c r="I3092" s="706" t="s">
        <v>4763</v>
      </c>
    </row>
    <row r="3093" spans="1:9">
      <c r="A3093" s="706">
        <v>116987</v>
      </c>
      <c r="B3093" s="706" t="s">
        <v>4787</v>
      </c>
      <c r="D3093" s="706" t="s">
        <v>1841</v>
      </c>
      <c r="H3093" s="1191"/>
      <c r="I3093" s="706" t="s">
        <v>4763</v>
      </c>
    </row>
    <row r="3094" spans="1:9">
      <c r="A3094" s="706">
        <v>116988</v>
      </c>
      <c r="B3094" s="706" t="s">
        <v>4788</v>
      </c>
      <c r="D3094" s="706" t="s">
        <v>1841</v>
      </c>
      <c r="H3094" s="1191"/>
      <c r="I3094" s="706" t="s">
        <v>4763</v>
      </c>
    </row>
    <row r="3095" spans="1:9">
      <c r="A3095" s="706">
        <v>116989</v>
      </c>
      <c r="B3095" s="706" t="s">
        <v>4789</v>
      </c>
      <c r="D3095" s="706" t="s">
        <v>1841</v>
      </c>
      <c r="H3095" s="1191"/>
      <c r="I3095" s="706" t="s">
        <v>4763</v>
      </c>
    </row>
    <row r="3096" spans="1:9">
      <c r="A3096" s="706">
        <v>116990</v>
      </c>
      <c r="B3096" s="706" t="s">
        <v>4790</v>
      </c>
      <c r="D3096" s="706" t="s">
        <v>1841</v>
      </c>
      <c r="H3096" s="1191"/>
      <c r="I3096" s="706" t="s">
        <v>4763</v>
      </c>
    </row>
    <row r="3097" spans="1:9">
      <c r="A3097" s="706">
        <v>116991</v>
      </c>
      <c r="B3097" s="706" t="s">
        <v>4791</v>
      </c>
      <c r="D3097" s="706" t="s">
        <v>1841</v>
      </c>
      <c r="H3097" s="1191"/>
      <c r="I3097" s="706" t="s">
        <v>4763</v>
      </c>
    </row>
    <row r="3098" spans="1:9">
      <c r="A3098" s="706">
        <v>116992</v>
      </c>
      <c r="B3098" s="706" t="s">
        <v>4792</v>
      </c>
      <c r="D3098" s="706" t="s">
        <v>1841</v>
      </c>
      <c r="H3098" s="1191"/>
      <c r="I3098" s="706" t="s">
        <v>4763</v>
      </c>
    </row>
    <row r="3099" spans="1:9">
      <c r="A3099" s="706">
        <v>116993</v>
      </c>
      <c r="B3099" s="706" t="s">
        <v>4793</v>
      </c>
      <c r="D3099" s="706" t="s">
        <v>1841</v>
      </c>
      <c r="H3099" s="1191"/>
      <c r="I3099" s="706" t="s">
        <v>4763</v>
      </c>
    </row>
    <row r="3100" spans="1:9">
      <c r="A3100" s="706">
        <v>116994</v>
      </c>
      <c r="B3100" s="706" t="s">
        <v>4794</v>
      </c>
      <c r="D3100" s="706" t="s">
        <v>1841</v>
      </c>
      <c r="H3100" s="1191"/>
      <c r="I3100" s="706" t="s">
        <v>4763</v>
      </c>
    </row>
    <row r="3101" spans="1:9">
      <c r="A3101" s="706">
        <v>116995</v>
      </c>
      <c r="B3101" s="706" t="s">
        <v>4795</v>
      </c>
      <c r="D3101" s="706" t="s">
        <v>1841</v>
      </c>
      <c r="H3101" s="1191"/>
      <c r="I3101" s="706" t="s">
        <v>4763</v>
      </c>
    </row>
    <row r="3102" spans="1:9">
      <c r="A3102" s="706">
        <v>116996</v>
      </c>
      <c r="B3102" s="706" t="s">
        <v>4796</v>
      </c>
      <c r="D3102" s="706" t="s">
        <v>1841</v>
      </c>
      <c r="H3102" s="1191"/>
      <c r="I3102" s="706" t="s">
        <v>4763</v>
      </c>
    </row>
    <row r="3103" spans="1:9">
      <c r="A3103" s="706">
        <v>116997</v>
      </c>
      <c r="B3103" s="706" t="s">
        <v>4797</v>
      </c>
      <c r="D3103" s="706" t="s">
        <v>1841</v>
      </c>
      <c r="H3103" s="1191"/>
      <c r="I3103" s="706" t="s">
        <v>4763</v>
      </c>
    </row>
    <row r="3104" spans="1:9">
      <c r="A3104" s="706">
        <v>116998</v>
      </c>
      <c r="B3104" s="706" t="s">
        <v>4798</v>
      </c>
      <c r="D3104" s="706" t="s">
        <v>1841</v>
      </c>
      <c r="H3104" s="1191"/>
      <c r="I3104" s="706" t="s">
        <v>4763</v>
      </c>
    </row>
    <row r="3105" spans="1:9">
      <c r="A3105" s="706">
        <v>118572</v>
      </c>
      <c r="B3105" s="706" t="s">
        <v>4799</v>
      </c>
      <c r="D3105" s="706" t="s">
        <v>1841</v>
      </c>
      <c r="H3105" s="1191"/>
      <c r="I3105" s="706" t="s">
        <v>4800</v>
      </c>
    </row>
    <row r="3106" spans="1:9">
      <c r="A3106" s="706">
        <v>118573</v>
      </c>
      <c r="B3106" s="706" t="s">
        <v>4801</v>
      </c>
      <c r="C3106" s="706" t="s">
        <v>8198</v>
      </c>
      <c r="D3106" s="706" t="s">
        <v>1841</v>
      </c>
      <c r="E3106" s="706">
        <v>14.32</v>
      </c>
      <c r="F3106" s="706" t="s">
        <v>28</v>
      </c>
      <c r="G3106" s="706">
        <v>404599</v>
      </c>
      <c r="H3106" s="1191">
        <v>44621</v>
      </c>
      <c r="I3106" s="706" t="s">
        <v>4802</v>
      </c>
    </row>
    <row r="3107" spans="1:9">
      <c r="A3107" s="706">
        <v>118574</v>
      </c>
      <c r="B3107" s="706" t="s">
        <v>4803</v>
      </c>
      <c r="C3107" s="706" t="s">
        <v>8198</v>
      </c>
      <c r="D3107" s="706" t="s">
        <v>1841</v>
      </c>
      <c r="E3107" s="706">
        <v>18.727499999999999</v>
      </c>
      <c r="F3107" s="706" t="s">
        <v>28</v>
      </c>
      <c r="G3107" s="706">
        <v>402634</v>
      </c>
      <c r="H3107" s="1191">
        <v>44253</v>
      </c>
      <c r="I3107" s="706" t="s">
        <v>4800</v>
      </c>
    </row>
    <row r="3108" spans="1:9">
      <c r="A3108" s="706">
        <v>118575</v>
      </c>
      <c r="B3108" s="706" t="s">
        <v>4804</v>
      </c>
      <c r="D3108" s="706" t="s">
        <v>1841</v>
      </c>
      <c r="H3108" s="1191"/>
      <c r="I3108" s="706" t="s">
        <v>4800</v>
      </c>
    </row>
    <row r="3109" spans="1:9">
      <c r="A3109" s="706">
        <v>118576</v>
      </c>
      <c r="B3109" s="706" t="s">
        <v>4805</v>
      </c>
      <c r="C3109" s="706" t="s">
        <v>8198</v>
      </c>
      <c r="D3109" s="706" t="s">
        <v>1841</v>
      </c>
      <c r="E3109" s="706">
        <v>6.2074999999999996</v>
      </c>
      <c r="F3109" s="706" t="s">
        <v>28</v>
      </c>
      <c r="G3109" s="706">
        <v>400150</v>
      </c>
      <c r="H3109" s="1191">
        <v>43934</v>
      </c>
      <c r="I3109" s="706" t="s">
        <v>4800</v>
      </c>
    </row>
    <row r="3110" spans="1:9">
      <c r="A3110" s="706">
        <v>118577</v>
      </c>
      <c r="B3110" s="706" t="s">
        <v>4806</v>
      </c>
      <c r="D3110" s="706" t="s">
        <v>1841</v>
      </c>
      <c r="H3110" s="1191"/>
      <c r="I3110" s="706" t="s">
        <v>4800</v>
      </c>
    </row>
    <row r="3111" spans="1:9">
      <c r="A3111" s="706">
        <v>118578</v>
      </c>
      <c r="B3111" s="706" t="s">
        <v>4807</v>
      </c>
      <c r="D3111" s="706" t="s">
        <v>1841</v>
      </c>
      <c r="H3111" s="1191"/>
      <c r="I3111" s="706" t="s">
        <v>4800</v>
      </c>
    </row>
    <row r="3112" spans="1:9">
      <c r="A3112" s="706">
        <v>118579</v>
      </c>
      <c r="B3112" s="706" t="s">
        <v>4808</v>
      </c>
      <c r="D3112" s="706" t="s">
        <v>1841</v>
      </c>
      <c r="H3112" s="1191"/>
      <c r="I3112" s="706" t="s">
        <v>4800</v>
      </c>
    </row>
    <row r="3113" spans="1:9">
      <c r="A3113" s="706">
        <v>118580</v>
      </c>
      <c r="B3113" s="706" t="s">
        <v>4809</v>
      </c>
      <c r="C3113" s="706" t="s">
        <v>8198</v>
      </c>
      <c r="D3113" s="706" t="s">
        <v>1841</v>
      </c>
      <c r="E3113" s="706">
        <v>23.95</v>
      </c>
      <c r="F3113" s="706" t="s">
        <v>28</v>
      </c>
      <c r="G3113" s="706">
        <v>403052</v>
      </c>
      <c r="H3113" s="1191">
        <v>44322</v>
      </c>
      <c r="I3113" s="706" t="s">
        <v>4800</v>
      </c>
    </row>
    <row r="3114" spans="1:9">
      <c r="A3114" s="706">
        <v>118581</v>
      </c>
      <c r="B3114" s="706" t="s">
        <v>4810</v>
      </c>
      <c r="C3114" s="706" t="s">
        <v>8198</v>
      </c>
      <c r="D3114" s="706" t="s">
        <v>1841</v>
      </c>
      <c r="E3114" s="706">
        <v>15.236000000000001</v>
      </c>
      <c r="F3114" s="706" t="s">
        <v>28</v>
      </c>
      <c r="G3114" s="706">
        <v>402679</v>
      </c>
      <c r="H3114" s="1191">
        <v>44258</v>
      </c>
      <c r="I3114" s="706" t="s">
        <v>4800</v>
      </c>
    </row>
    <row r="3115" spans="1:9">
      <c r="A3115" s="706">
        <v>118582</v>
      </c>
      <c r="B3115" s="706" t="s">
        <v>4811</v>
      </c>
      <c r="D3115" s="706" t="s">
        <v>1841</v>
      </c>
      <c r="H3115" s="1191"/>
      <c r="I3115" s="706" t="s">
        <v>4800</v>
      </c>
    </row>
    <row r="3116" spans="1:9">
      <c r="A3116" s="706">
        <v>118583</v>
      </c>
      <c r="B3116" s="706" t="s">
        <v>4812</v>
      </c>
      <c r="D3116" s="706" t="s">
        <v>1841</v>
      </c>
      <c r="H3116" s="1191"/>
      <c r="I3116" s="706" t="s">
        <v>4800</v>
      </c>
    </row>
    <row r="3117" spans="1:9">
      <c r="A3117" s="706">
        <v>118584</v>
      </c>
      <c r="B3117" s="706" t="s">
        <v>4813</v>
      </c>
      <c r="D3117" s="706" t="s">
        <v>1841</v>
      </c>
      <c r="H3117" s="1191"/>
      <c r="I3117" s="706" t="s">
        <v>4800</v>
      </c>
    </row>
    <row r="3118" spans="1:9">
      <c r="A3118" s="706">
        <v>118585</v>
      </c>
      <c r="B3118" s="706" t="s">
        <v>4814</v>
      </c>
      <c r="D3118" s="706" t="s">
        <v>1841</v>
      </c>
      <c r="H3118" s="1191"/>
      <c r="I3118" s="706" t="s">
        <v>4800</v>
      </c>
    </row>
    <row r="3119" spans="1:9">
      <c r="A3119" s="706">
        <v>118586</v>
      </c>
      <c r="B3119" s="706" t="s">
        <v>4815</v>
      </c>
      <c r="D3119" s="706" t="s">
        <v>1841</v>
      </c>
      <c r="H3119" s="1191"/>
      <c r="I3119" s="706" t="s">
        <v>4800</v>
      </c>
    </row>
    <row r="3120" spans="1:9">
      <c r="A3120" s="706">
        <v>118587</v>
      </c>
      <c r="B3120" s="706" t="s">
        <v>4816</v>
      </c>
      <c r="D3120" s="706" t="s">
        <v>1841</v>
      </c>
      <c r="H3120" s="1191"/>
      <c r="I3120" s="706" t="s">
        <v>4800</v>
      </c>
    </row>
    <row r="3121" spans="1:9">
      <c r="A3121" s="706">
        <v>118588</v>
      </c>
      <c r="B3121" s="706" t="s">
        <v>4817</v>
      </c>
      <c r="C3121" s="706" t="s">
        <v>8198</v>
      </c>
      <c r="D3121" s="706" t="s">
        <v>1841</v>
      </c>
      <c r="E3121" s="706">
        <v>20.6325</v>
      </c>
      <c r="F3121" s="706" t="s">
        <v>28</v>
      </c>
      <c r="G3121" s="706">
        <v>402510</v>
      </c>
      <c r="H3121" s="1191">
        <v>44238</v>
      </c>
      <c r="I3121" s="706" t="s">
        <v>4800</v>
      </c>
    </row>
    <row r="3122" spans="1:9">
      <c r="A3122" s="706">
        <v>118589</v>
      </c>
      <c r="B3122" s="706" t="s">
        <v>4818</v>
      </c>
      <c r="C3122" s="706" t="s">
        <v>8198</v>
      </c>
      <c r="D3122" s="706" t="s">
        <v>1841</v>
      </c>
      <c r="E3122" s="706">
        <v>27.25</v>
      </c>
      <c r="F3122" s="706" t="s">
        <v>28</v>
      </c>
      <c r="G3122" s="706">
        <v>407558</v>
      </c>
      <c r="H3122" s="1191">
        <v>45259</v>
      </c>
      <c r="I3122" s="706" t="s">
        <v>4800</v>
      </c>
    </row>
    <row r="3123" spans="1:9">
      <c r="A3123" s="706">
        <v>118590</v>
      </c>
      <c r="B3123" s="706" t="s">
        <v>4819</v>
      </c>
      <c r="D3123" s="706" t="s">
        <v>1841</v>
      </c>
      <c r="H3123" s="1191"/>
      <c r="I3123" s="706" t="s">
        <v>4800</v>
      </c>
    </row>
    <row r="3124" spans="1:9">
      <c r="A3124" s="706">
        <v>118591</v>
      </c>
      <c r="B3124" s="706" t="s">
        <v>4820</v>
      </c>
      <c r="D3124" s="706" t="s">
        <v>1841</v>
      </c>
      <c r="H3124" s="1191"/>
      <c r="I3124" s="706" t="s">
        <v>4800</v>
      </c>
    </row>
    <row r="3125" spans="1:9">
      <c r="A3125" s="706">
        <v>118592</v>
      </c>
      <c r="B3125" s="706" t="s">
        <v>4821</v>
      </c>
      <c r="C3125" s="706" t="s">
        <v>8198</v>
      </c>
      <c r="D3125" s="706" t="s">
        <v>1841</v>
      </c>
      <c r="E3125" s="706">
        <v>15.75</v>
      </c>
      <c r="F3125" s="706" t="s">
        <v>28</v>
      </c>
      <c r="G3125" s="706">
        <v>406209</v>
      </c>
      <c r="H3125" s="1191">
        <v>44973</v>
      </c>
      <c r="I3125" s="706" t="s">
        <v>4800</v>
      </c>
    </row>
    <row r="3126" spans="1:9">
      <c r="A3126" s="706">
        <v>118593</v>
      </c>
      <c r="B3126" s="706" t="s">
        <v>4822</v>
      </c>
      <c r="D3126" s="706" t="s">
        <v>1841</v>
      </c>
      <c r="H3126" s="1191"/>
      <c r="I3126" s="706" t="s">
        <v>4800</v>
      </c>
    </row>
    <row r="3127" spans="1:9">
      <c r="A3127" s="706">
        <v>118594</v>
      </c>
      <c r="B3127" s="706" t="s">
        <v>4823</v>
      </c>
      <c r="C3127" s="706" t="s">
        <v>8198</v>
      </c>
      <c r="D3127" s="706" t="s">
        <v>1841</v>
      </c>
      <c r="E3127" s="706">
        <v>12.547499999999999</v>
      </c>
      <c r="F3127" s="706" t="s">
        <v>28</v>
      </c>
      <c r="G3127" s="706">
        <v>403467</v>
      </c>
      <c r="H3127" s="1191">
        <v>44417</v>
      </c>
      <c r="I3127" s="706" t="s">
        <v>4800</v>
      </c>
    </row>
    <row r="3128" spans="1:9">
      <c r="A3128" s="706">
        <v>118595</v>
      </c>
      <c r="B3128" s="706" t="s">
        <v>4824</v>
      </c>
      <c r="D3128" s="706" t="s">
        <v>1841</v>
      </c>
      <c r="H3128" s="1191"/>
      <c r="I3128" s="706" t="s">
        <v>4800</v>
      </c>
    </row>
    <row r="3129" spans="1:9">
      <c r="A3129" s="706">
        <v>118596</v>
      </c>
      <c r="B3129" s="706" t="s">
        <v>4825</v>
      </c>
      <c r="D3129" s="706" t="s">
        <v>1841</v>
      </c>
      <c r="H3129" s="1191"/>
      <c r="I3129" s="706" t="s">
        <v>4800</v>
      </c>
    </row>
    <row r="3130" spans="1:9">
      <c r="A3130" s="706">
        <v>118597</v>
      </c>
      <c r="B3130" s="706" t="s">
        <v>4826</v>
      </c>
      <c r="C3130" s="706" t="s">
        <v>8198</v>
      </c>
      <c r="D3130" s="706" t="s">
        <v>1841</v>
      </c>
      <c r="E3130" s="706">
        <v>17.600000000000001</v>
      </c>
      <c r="F3130" s="706" t="s">
        <v>28</v>
      </c>
      <c r="G3130" s="706">
        <v>405343</v>
      </c>
      <c r="H3130" s="1191">
        <v>44767</v>
      </c>
      <c r="I3130" s="706" t="s">
        <v>4800</v>
      </c>
    </row>
    <row r="3131" spans="1:9">
      <c r="A3131" s="706">
        <v>118598</v>
      </c>
      <c r="B3131" s="706" t="s">
        <v>4827</v>
      </c>
      <c r="C3131" s="706" t="s">
        <v>8198</v>
      </c>
      <c r="D3131" s="706" t="s">
        <v>1841</v>
      </c>
      <c r="E3131" s="706">
        <v>8.0850000000000009</v>
      </c>
      <c r="F3131" s="706" t="s">
        <v>28</v>
      </c>
      <c r="G3131" s="706">
        <v>402686</v>
      </c>
      <c r="H3131" s="1191">
        <v>44259</v>
      </c>
      <c r="I3131" s="706" t="s">
        <v>4802</v>
      </c>
    </row>
    <row r="3132" spans="1:9">
      <c r="A3132" s="706">
        <v>118599</v>
      </c>
      <c r="B3132" s="706" t="s">
        <v>4828</v>
      </c>
      <c r="D3132" s="706" t="s">
        <v>1841</v>
      </c>
      <c r="H3132" s="1191"/>
      <c r="I3132" s="706" t="s">
        <v>4802</v>
      </c>
    </row>
    <row r="3133" spans="1:9">
      <c r="A3133" s="706">
        <v>118600</v>
      </c>
      <c r="B3133" s="706" t="s">
        <v>4829</v>
      </c>
      <c r="D3133" s="706" t="s">
        <v>1841</v>
      </c>
      <c r="H3133" s="1191"/>
      <c r="I3133" s="706" t="s">
        <v>4802</v>
      </c>
    </row>
    <row r="3134" spans="1:9">
      <c r="A3134" s="706">
        <v>118777</v>
      </c>
      <c r="B3134" s="706" t="s">
        <v>4830</v>
      </c>
      <c r="C3134" s="706" t="s">
        <v>8198</v>
      </c>
      <c r="D3134" s="706" t="s">
        <v>1841</v>
      </c>
      <c r="E3134" s="706">
        <v>11.202999999999999</v>
      </c>
      <c r="F3134" s="706" t="s">
        <v>28</v>
      </c>
      <c r="G3134" s="706">
        <v>400150</v>
      </c>
      <c r="H3134" s="1191">
        <v>43934</v>
      </c>
      <c r="I3134" s="706" t="s">
        <v>4802</v>
      </c>
    </row>
    <row r="3135" spans="1:9">
      <c r="A3135" s="706">
        <v>118778</v>
      </c>
      <c r="B3135" s="706" t="s">
        <v>4831</v>
      </c>
      <c r="D3135" s="706" t="s">
        <v>1841</v>
      </c>
      <c r="H3135" s="1191"/>
      <c r="I3135" s="706" t="s">
        <v>4802</v>
      </c>
    </row>
    <row r="3136" spans="1:9">
      <c r="A3136" s="706">
        <v>118779</v>
      </c>
      <c r="B3136" s="706" t="s">
        <v>4832</v>
      </c>
      <c r="D3136" s="706" t="s">
        <v>1841</v>
      </c>
      <c r="H3136" s="1191"/>
      <c r="I3136" s="706" t="s">
        <v>4802</v>
      </c>
    </row>
    <row r="3137" spans="1:9">
      <c r="A3137" s="706">
        <v>118780</v>
      </c>
      <c r="B3137" s="706" t="s">
        <v>4833</v>
      </c>
      <c r="D3137" s="706" t="s">
        <v>1841</v>
      </c>
      <c r="H3137" s="1191"/>
      <c r="I3137" s="706" t="s">
        <v>4802</v>
      </c>
    </row>
    <row r="3138" spans="1:9">
      <c r="A3138" s="706">
        <v>118781</v>
      </c>
      <c r="B3138" s="706" t="s">
        <v>4834</v>
      </c>
      <c r="D3138" s="706" t="s">
        <v>1841</v>
      </c>
      <c r="H3138" s="1191"/>
      <c r="I3138" s="706" t="s">
        <v>4802</v>
      </c>
    </row>
    <row r="3139" spans="1:9">
      <c r="A3139" s="706">
        <v>118782</v>
      </c>
      <c r="B3139" s="706" t="s">
        <v>4835</v>
      </c>
      <c r="D3139" s="706" t="s">
        <v>1841</v>
      </c>
      <c r="H3139" s="1191"/>
      <c r="I3139" s="706" t="s">
        <v>4802</v>
      </c>
    </row>
    <row r="3140" spans="1:9">
      <c r="A3140" s="706">
        <v>118783</v>
      </c>
      <c r="B3140" s="706" t="s">
        <v>4836</v>
      </c>
      <c r="D3140" s="706" t="s">
        <v>1841</v>
      </c>
      <c r="H3140" s="1191"/>
      <c r="I3140" s="706" t="s">
        <v>4802</v>
      </c>
    </row>
    <row r="3141" spans="1:9">
      <c r="A3141" s="706">
        <v>118784</v>
      </c>
      <c r="B3141" s="706" t="s">
        <v>4837</v>
      </c>
      <c r="D3141" s="706" t="s">
        <v>1841</v>
      </c>
      <c r="H3141" s="1191"/>
      <c r="I3141" s="706" t="s">
        <v>4802</v>
      </c>
    </row>
    <row r="3142" spans="1:9">
      <c r="A3142" s="706">
        <v>118785</v>
      </c>
      <c r="B3142" s="706" t="s">
        <v>4838</v>
      </c>
      <c r="D3142" s="706" t="s">
        <v>1841</v>
      </c>
      <c r="H3142" s="1191"/>
      <c r="I3142" s="706" t="s">
        <v>4802</v>
      </c>
    </row>
    <row r="3143" spans="1:9">
      <c r="A3143" s="706">
        <v>118786</v>
      </c>
      <c r="B3143" s="706" t="s">
        <v>4839</v>
      </c>
      <c r="D3143" s="706" t="s">
        <v>1841</v>
      </c>
      <c r="H3143" s="1191"/>
      <c r="I3143" s="706" t="s">
        <v>4802</v>
      </c>
    </row>
    <row r="3144" spans="1:9">
      <c r="A3144" s="706">
        <v>118787</v>
      </c>
      <c r="B3144" s="706" t="s">
        <v>4840</v>
      </c>
      <c r="D3144" s="706" t="s">
        <v>1841</v>
      </c>
      <c r="H3144" s="1191"/>
      <c r="I3144" s="706" t="s">
        <v>4802</v>
      </c>
    </row>
    <row r="3145" spans="1:9">
      <c r="A3145" s="706">
        <v>118788</v>
      </c>
      <c r="B3145" s="706" t="s">
        <v>4841</v>
      </c>
      <c r="C3145" s="706" t="s">
        <v>8198</v>
      </c>
      <c r="D3145" s="706" t="s">
        <v>1841</v>
      </c>
      <c r="E3145" s="706">
        <v>14.422499999999999</v>
      </c>
      <c r="F3145" s="706" t="s">
        <v>28</v>
      </c>
      <c r="G3145" s="706">
        <v>401978</v>
      </c>
      <c r="H3145" s="1191">
        <v>44139</v>
      </c>
      <c r="I3145" s="706" t="s">
        <v>4802</v>
      </c>
    </row>
    <row r="3146" spans="1:9">
      <c r="A3146" s="706">
        <v>118789</v>
      </c>
      <c r="B3146" s="706" t="s">
        <v>4842</v>
      </c>
      <c r="D3146" s="706" t="s">
        <v>1841</v>
      </c>
      <c r="H3146" s="1191"/>
      <c r="I3146" s="706" t="s">
        <v>4802</v>
      </c>
    </row>
    <row r="3147" spans="1:9">
      <c r="A3147" s="706">
        <v>118790</v>
      </c>
      <c r="B3147" s="706" t="s">
        <v>4843</v>
      </c>
      <c r="D3147" s="706" t="s">
        <v>1841</v>
      </c>
      <c r="H3147" s="1191"/>
      <c r="I3147" s="706" t="s">
        <v>4802</v>
      </c>
    </row>
    <row r="3148" spans="1:9">
      <c r="A3148" s="706">
        <v>118791</v>
      </c>
      <c r="B3148" s="706" t="s">
        <v>4844</v>
      </c>
      <c r="C3148" s="706" t="s">
        <v>8198</v>
      </c>
      <c r="D3148" s="706" t="s">
        <v>1841</v>
      </c>
      <c r="E3148" s="706">
        <v>11.956</v>
      </c>
      <c r="F3148" s="706" t="s">
        <v>28</v>
      </c>
      <c r="G3148" s="706">
        <v>402435</v>
      </c>
      <c r="H3148" s="1191">
        <v>44228</v>
      </c>
      <c r="I3148" s="706" t="s">
        <v>4802</v>
      </c>
    </row>
    <row r="3149" spans="1:9">
      <c r="A3149" s="706">
        <v>118792</v>
      </c>
      <c r="B3149" s="706" t="s">
        <v>4845</v>
      </c>
      <c r="C3149" s="706" t="s">
        <v>8198</v>
      </c>
      <c r="D3149" s="706" t="s">
        <v>1841</v>
      </c>
      <c r="E3149" s="706">
        <v>0</v>
      </c>
      <c r="F3149" s="706" t="s">
        <v>28</v>
      </c>
      <c r="G3149" s="706">
        <v>402798</v>
      </c>
      <c r="H3149" s="1191">
        <v>44277</v>
      </c>
      <c r="I3149" s="706" t="s">
        <v>4802</v>
      </c>
    </row>
    <row r="3150" spans="1:9">
      <c r="A3150" s="706">
        <v>118793</v>
      </c>
      <c r="B3150" s="706" t="s">
        <v>4846</v>
      </c>
      <c r="D3150" s="706" t="s">
        <v>1841</v>
      </c>
      <c r="H3150" s="1191"/>
      <c r="I3150" s="706" t="s">
        <v>4802</v>
      </c>
    </row>
    <row r="3151" spans="1:9">
      <c r="A3151" s="706">
        <v>118794</v>
      </c>
      <c r="B3151" s="706" t="s">
        <v>4847</v>
      </c>
      <c r="D3151" s="706" t="s">
        <v>1841</v>
      </c>
      <c r="H3151" s="1191"/>
      <c r="I3151" s="706" t="s">
        <v>4802</v>
      </c>
    </row>
    <row r="3152" spans="1:9">
      <c r="A3152" s="706">
        <v>118795</v>
      </c>
      <c r="B3152" s="706" t="s">
        <v>4848</v>
      </c>
      <c r="D3152" s="706" t="s">
        <v>1841</v>
      </c>
      <c r="H3152" s="1191"/>
      <c r="I3152" s="706" t="s">
        <v>4802</v>
      </c>
    </row>
    <row r="3153" spans="1:9">
      <c r="A3153" s="706">
        <v>118796</v>
      </c>
      <c r="B3153" s="706" t="s">
        <v>4849</v>
      </c>
      <c r="D3153" s="706" t="s">
        <v>1841</v>
      </c>
      <c r="H3153" s="1191"/>
      <c r="I3153" s="706" t="s">
        <v>4802</v>
      </c>
    </row>
    <row r="3154" spans="1:9">
      <c r="A3154" s="706">
        <v>118797</v>
      </c>
      <c r="B3154" s="706" t="s">
        <v>4850</v>
      </c>
      <c r="D3154" s="706" t="s">
        <v>1841</v>
      </c>
      <c r="H3154" s="1191"/>
      <c r="I3154" s="706" t="s">
        <v>4802</v>
      </c>
    </row>
    <row r="3155" spans="1:9">
      <c r="A3155" s="706">
        <v>118798</v>
      </c>
      <c r="B3155" s="706" t="s">
        <v>4851</v>
      </c>
      <c r="C3155" s="706" t="s">
        <v>8198</v>
      </c>
      <c r="D3155" s="706" t="s">
        <v>1841</v>
      </c>
      <c r="E3155" s="706">
        <v>7.5625</v>
      </c>
      <c r="F3155" s="706" t="s">
        <v>28</v>
      </c>
      <c r="G3155" s="706">
        <v>402881</v>
      </c>
      <c r="H3155" s="1191">
        <v>44292</v>
      </c>
      <c r="I3155" s="706" t="s">
        <v>4802</v>
      </c>
    </row>
    <row r="3156" spans="1:9">
      <c r="A3156" s="706">
        <v>118799</v>
      </c>
      <c r="B3156" s="706" t="s">
        <v>4852</v>
      </c>
      <c r="D3156" s="706" t="s">
        <v>1841</v>
      </c>
      <c r="H3156" s="1191"/>
      <c r="I3156" s="706" t="s">
        <v>4802</v>
      </c>
    </row>
    <row r="3157" spans="1:9">
      <c r="A3157" s="706">
        <v>118800</v>
      </c>
      <c r="B3157" s="706" t="s">
        <v>4853</v>
      </c>
      <c r="D3157" s="706" t="s">
        <v>1841</v>
      </c>
      <c r="H3157" s="1191"/>
      <c r="I3157" s="706" t="s">
        <v>4802</v>
      </c>
    </row>
    <row r="3158" spans="1:9">
      <c r="A3158" s="706">
        <v>119721</v>
      </c>
      <c r="B3158" s="706" t="s">
        <v>4854</v>
      </c>
      <c r="D3158" s="706" t="s">
        <v>1841</v>
      </c>
      <c r="H3158" s="1191"/>
      <c r="I3158" s="706" t="s">
        <v>4855</v>
      </c>
    </row>
    <row r="3159" spans="1:9">
      <c r="A3159" s="706">
        <v>119722</v>
      </c>
      <c r="B3159" s="706" t="s">
        <v>4856</v>
      </c>
      <c r="D3159" s="706" t="s">
        <v>1841</v>
      </c>
      <c r="H3159" s="1191"/>
      <c r="I3159" s="706" t="s">
        <v>4855</v>
      </c>
    </row>
    <row r="3160" spans="1:9">
      <c r="A3160" s="706">
        <v>119723</v>
      </c>
      <c r="B3160" s="706" t="s">
        <v>4857</v>
      </c>
      <c r="D3160" s="706" t="s">
        <v>1841</v>
      </c>
      <c r="H3160" s="1191"/>
      <c r="I3160" s="706" t="s">
        <v>4855</v>
      </c>
    </row>
    <row r="3161" spans="1:9">
      <c r="A3161" s="706">
        <v>119724</v>
      </c>
      <c r="B3161" s="706" t="s">
        <v>4858</v>
      </c>
      <c r="D3161" s="706" t="s">
        <v>1841</v>
      </c>
      <c r="H3161" s="1191"/>
      <c r="I3161" s="706" t="s">
        <v>4855</v>
      </c>
    </row>
    <row r="3162" spans="1:9">
      <c r="A3162" s="706">
        <v>119725</v>
      </c>
      <c r="B3162" s="706" t="s">
        <v>4859</v>
      </c>
      <c r="D3162" s="706" t="s">
        <v>1841</v>
      </c>
      <c r="H3162" s="1191"/>
      <c r="I3162" s="706" t="s">
        <v>4855</v>
      </c>
    </row>
    <row r="3163" spans="1:9">
      <c r="A3163" s="706">
        <v>119726</v>
      </c>
      <c r="B3163" s="706" t="s">
        <v>4860</v>
      </c>
      <c r="D3163" s="706" t="s">
        <v>1841</v>
      </c>
      <c r="H3163" s="1191"/>
      <c r="I3163" s="706" t="s">
        <v>4855</v>
      </c>
    </row>
    <row r="3164" spans="1:9">
      <c r="A3164" s="706">
        <v>119727</v>
      </c>
      <c r="B3164" s="706" t="s">
        <v>4861</v>
      </c>
      <c r="D3164" s="706" t="s">
        <v>1841</v>
      </c>
      <c r="H3164" s="1191"/>
      <c r="I3164" s="706" t="s">
        <v>4855</v>
      </c>
    </row>
    <row r="3165" spans="1:9">
      <c r="A3165" s="706">
        <v>119728</v>
      </c>
      <c r="B3165" s="706" t="s">
        <v>4862</v>
      </c>
      <c r="D3165" s="706" t="s">
        <v>1841</v>
      </c>
      <c r="H3165" s="1191"/>
      <c r="I3165" s="706" t="s">
        <v>4855</v>
      </c>
    </row>
    <row r="3166" spans="1:9">
      <c r="A3166" s="706">
        <v>119729</v>
      </c>
      <c r="B3166" s="706" t="s">
        <v>4863</v>
      </c>
      <c r="D3166" s="706" t="s">
        <v>1841</v>
      </c>
      <c r="H3166" s="1191"/>
      <c r="I3166" s="706" t="s">
        <v>4855</v>
      </c>
    </row>
    <row r="3167" spans="1:9">
      <c r="A3167" s="706">
        <v>119730</v>
      </c>
      <c r="B3167" s="706" t="s">
        <v>4864</v>
      </c>
      <c r="D3167" s="706" t="s">
        <v>1841</v>
      </c>
      <c r="H3167" s="1191"/>
      <c r="I3167" s="706" t="s">
        <v>4855</v>
      </c>
    </row>
    <row r="3168" spans="1:9">
      <c r="A3168" s="706">
        <v>119731</v>
      </c>
      <c r="B3168" s="706" t="s">
        <v>4865</v>
      </c>
      <c r="D3168" s="706" t="s">
        <v>1841</v>
      </c>
      <c r="H3168" s="1191"/>
      <c r="I3168" s="706" t="s">
        <v>4855</v>
      </c>
    </row>
    <row r="3169" spans="1:9">
      <c r="A3169" s="706">
        <v>119732</v>
      </c>
      <c r="B3169" s="706" t="s">
        <v>4866</v>
      </c>
      <c r="D3169" s="706" t="s">
        <v>1841</v>
      </c>
      <c r="H3169" s="1191"/>
      <c r="I3169" s="706" t="s">
        <v>4855</v>
      </c>
    </row>
    <row r="3170" spans="1:9">
      <c r="A3170" s="706">
        <v>119733</v>
      </c>
      <c r="B3170" s="706" t="s">
        <v>4867</v>
      </c>
      <c r="C3170" s="706" t="s">
        <v>8198</v>
      </c>
      <c r="D3170" s="706" t="s">
        <v>1841</v>
      </c>
      <c r="E3170" s="706">
        <v>11.55</v>
      </c>
      <c r="F3170" s="706" t="s">
        <v>28</v>
      </c>
      <c r="G3170" s="706">
        <v>400150</v>
      </c>
      <c r="H3170" s="1191">
        <v>43934</v>
      </c>
      <c r="I3170" s="706" t="s">
        <v>4855</v>
      </c>
    </row>
    <row r="3171" spans="1:9">
      <c r="A3171" s="706">
        <v>119734</v>
      </c>
      <c r="B3171" s="706" t="s">
        <v>4868</v>
      </c>
      <c r="D3171" s="706" t="s">
        <v>1841</v>
      </c>
      <c r="H3171" s="1191"/>
      <c r="I3171" s="706" t="s">
        <v>4855</v>
      </c>
    </row>
    <row r="3172" spans="1:9">
      <c r="A3172" s="706">
        <v>119735</v>
      </c>
      <c r="B3172" s="706" t="s">
        <v>4869</v>
      </c>
      <c r="D3172" s="706" t="s">
        <v>1841</v>
      </c>
      <c r="H3172" s="1191"/>
      <c r="I3172" s="706" t="s">
        <v>4855</v>
      </c>
    </row>
    <row r="3173" spans="1:9">
      <c r="A3173" s="706">
        <v>119736</v>
      </c>
      <c r="B3173" s="706" t="s">
        <v>4870</v>
      </c>
      <c r="D3173" s="706" t="s">
        <v>1841</v>
      </c>
      <c r="H3173" s="1191"/>
      <c r="I3173" s="706" t="s">
        <v>4855</v>
      </c>
    </row>
    <row r="3174" spans="1:9">
      <c r="A3174" s="706">
        <v>119737</v>
      </c>
      <c r="B3174" s="706" t="s">
        <v>4871</v>
      </c>
      <c r="D3174" s="706" t="s">
        <v>1841</v>
      </c>
      <c r="H3174" s="1191"/>
      <c r="I3174" s="706" t="s">
        <v>4855</v>
      </c>
    </row>
    <row r="3175" spans="1:9">
      <c r="A3175" s="706">
        <v>119738</v>
      </c>
      <c r="B3175" s="706" t="s">
        <v>4872</v>
      </c>
      <c r="D3175" s="706" t="s">
        <v>1841</v>
      </c>
      <c r="H3175" s="1191"/>
      <c r="I3175" s="706" t="s">
        <v>4855</v>
      </c>
    </row>
    <row r="3176" spans="1:9">
      <c r="A3176" s="706">
        <v>119739</v>
      </c>
      <c r="B3176" s="706" t="s">
        <v>4873</v>
      </c>
      <c r="D3176" s="706" t="s">
        <v>1841</v>
      </c>
      <c r="H3176" s="1191"/>
      <c r="I3176" s="706" t="s">
        <v>4855</v>
      </c>
    </row>
    <row r="3177" spans="1:9">
      <c r="A3177" s="706">
        <v>119740</v>
      </c>
      <c r="B3177" s="706" t="s">
        <v>4874</v>
      </c>
      <c r="D3177" s="706" t="s">
        <v>1841</v>
      </c>
      <c r="H3177" s="1191"/>
      <c r="I3177" s="706" t="s">
        <v>4855</v>
      </c>
    </row>
    <row r="3178" spans="1:9">
      <c r="A3178" s="706">
        <v>119741</v>
      </c>
      <c r="B3178" s="706" t="s">
        <v>4875</v>
      </c>
      <c r="D3178" s="706" t="s">
        <v>1841</v>
      </c>
      <c r="H3178" s="1191"/>
      <c r="I3178" s="706" t="s">
        <v>4855</v>
      </c>
    </row>
    <row r="3179" spans="1:9">
      <c r="A3179" s="706">
        <v>119742</v>
      </c>
      <c r="B3179" s="706" t="s">
        <v>4876</v>
      </c>
      <c r="D3179" s="706" t="s">
        <v>1841</v>
      </c>
      <c r="H3179" s="1191"/>
      <c r="I3179" s="706" t="s">
        <v>4855</v>
      </c>
    </row>
    <row r="3180" spans="1:9">
      <c r="A3180" s="706">
        <v>119743</v>
      </c>
      <c r="B3180" s="706" t="s">
        <v>4877</v>
      </c>
      <c r="D3180" s="706" t="s">
        <v>1841</v>
      </c>
      <c r="H3180" s="1191"/>
      <c r="I3180" s="706" t="s">
        <v>4855</v>
      </c>
    </row>
    <row r="3181" spans="1:9">
      <c r="A3181" s="706">
        <v>119744</v>
      </c>
      <c r="B3181" s="706" t="s">
        <v>4878</v>
      </c>
      <c r="D3181" s="706" t="s">
        <v>1841</v>
      </c>
      <c r="H3181" s="1191"/>
      <c r="I3181" s="706" t="s">
        <v>4855</v>
      </c>
    </row>
    <row r="3182" spans="1:9">
      <c r="A3182" s="706">
        <v>119745</v>
      </c>
      <c r="B3182" s="706" t="s">
        <v>4879</v>
      </c>
      <c r="D3182" s="706" t="s">
        <v>1841</v>
      </c>
      <c r="H3182" s="1191"/>
      <c r="I3182" s="706" t="s">
        <v>4855</v>
      </c>
    </row>
    <row r="3183" spans="1:9">
      <c r="A3183" s="706">
        <v>119746</v>
      </c>
      <c r="B3183" s="706" t="s">
        <v>4880</v>
      </c>
      <c r="C3183" s="706" t="s">
        <v>8198</v>
      </c>
      <c r="D3183" s="706" t="s">
        <v>1841</v>
      </c>
      <c r="E3183" s="706">
        <v>8.0564999999999998</v>
      </c>
      <c r="F3183" s="706" t="s">
        <v>28</v>
      </c>
      <c r="G3183" s="706">
        <v>406209</v>
      </c>
      <c r="H3183" s="1191">
        <v>44973</v>
      </c>
      <c r="I3183" s="706" t="s">
        <v>4855</v>
      </c>
    </row>
    <row r="3184" spans="1:9">
      <c r="A3184" s="706">
        <v>119747</v>
      </c>
      <c r="B3184" s="706" t="s">
        <v>4881</v>
      </c>
      <c r="D3184" s="706" t="s">
        <v>1841</v>
      </c>
      <c r="H3184" s="1191"/>
      <c r="I3184" s="706" t="s">
        <v>4855</v>
      </c>
    </row>
    <row r="3185" spans="1:9">
      <c r="A3185" s="706">
        <v>119748</v>
      </c>
      <c r="B3185" s="706" t="s">
        <v>4882</v>
      </c>
      <c r="C3185" s="706" t="s">
        <v>8198</v>
      </c>
      <c r="D3185" s="706" t="s">
        <v>1841</v>
      </c>
      <c r="E3185" s="706">
        <v>7.7750000000000004</v>
      </c>
      <c r="F3185" s="706" t="s">
        <v>28</v>
      </c>
      <c r="G3185" s="706">
        <v>404989</v>
      </c>
      <c r="H3185" s="1191">
        <v>44692</v>
      </c>
      <c r="I3185" s="706" t="s">
        <v>4855</v>
      </c>
    </row>
    <row r="3186" spans="1:9">
      <c r="A3186" s="706">
        <v>119749</v>
      </c>
      <c r="B3186" s="706" t="s">
        <v>4883</v>
      </c>
      <c r="D3186" s="706" t="s">
        <v>1841</v>
      </c>
      <c r="H3186" s="1191"/>
      <c r="I3186" s="706" t="s">
        <v>4855</v>
      </c>
    </row>
    <row r="3187" spans="1:9">
      <c r="A3187" s="706">
        <v>119750</v>
      </c>
      <c r="B3187" s="706" t="s">
        <v>4884</v>
      </c>
      <c r="D3187" s="706" t="s">
        <v>1841</v>
      </c>
      <c r="H3187" s="1191"/>
      <c r="I3187" s="706" t="s">
        <v>4855</v>
      </c>
    </row>
    <row r="3188" spans="1:9">
      <c r="A3188" s="706">
        <v>119751</v>
      </c>
      <c r="B3188" s="706" t="s">
        <v>4885</v>
      </c>
      <c r="D3188" s="706" t="s">
        <v>1841</v>
      </c>
      <c r="H3188" s="1191"/>
      <c r="I3188" s="706" t="s">
        <v>4855</v>
      </c>
    </row>
    <row r="3189" spans="1:9">
      <c r="A3189" s="706">
        <v>119752</v>
      </c>
      <c r="B3189" s="706" t="s">
        <v>4886</v>
      </c>
      <c r="D3189" s="706" t="s">
        <v>1841</v>
      </c>
      <c r="H3189" s="1191"/>
      <c r="I3189" s="706" t="s">
        <v>4855</v>
      </c>
    </row>
    <row r="3190" spans="1:9">
      <c r="A3190" s="706">
        <v>119753</v>
      </c>
      <c r="B3190" s="706" t="s">
        <v>4887</v>
      </c>
      <c r="D3190" s="706" t="s">
        <v>1841</v>
      </c>
      <c r="H3190" s="1191"/>
      <c r="I3190" s="706" t="s">
        <v>4855</v>
      </c>
    </row>
    <row r="3191" spans="1:9">
      <c r="A3191" s="706">
        <v>119754</v>
      </c>
      <c r="B3191" s="706" t="s">
        <v>4888</v>
      </c>
      <c r="D3191" s="706" t="s">
        <v>1841</v>
      </c>
      <c r="H3191" s="1191"/>
      <c r="I3191" s="706" t="s">
        <v>4855</v>
      </c>
    </row>
    <row r="3192" spans="1:9">
      <c r="A3192" s="706">
        <v>119755</v>
      </c>
      <c r="B3192" s="706" t="s">
        <v>4889</v>
      </c>
      <c r="D3192" s="706" t="s">
        <v>1841</v>
      </c>
      <c r="H3192" s="1191"/>
      <c r="I3192" s="706" t="s">
        <v>4855</v>
      </c>
    </row>
    <row r="3193" spans="1:9">
      <c r="A3193" s="706">
        <v>119756</v>
      </c>
      <c r="B3193" s="706" t="s">
        <v>4890</v>
      </c>
      <c r="D3193" s="706" t="s">
        <v>1841</v>
      </c>
      <c r="H3193" s="1191"/>
      <c r="I3193" s="706" t="s">
        <v>4855</v>
      </c>
    </row>
    <row r="3194" spans="1:9">
      <c r="A3194" s="706">
        <v>119757</v>
      </c>
      <c r="B3194" s="706" t="s">
        <v>4891</v>
      </c>
      <c r="D3194" s="706" t="s">
        <v>1841</v>
      </c>
      <c r="H3194" s="1191"/>
      <c r="I3194" s="706" t="s">
        <v>4855</v>
      </c>
    </row>
    <row r="3195" spans="1:9">
      <c r="A3195" s="706">
        <v>119758</v>
      </c>
      <c r="B3195" s="706" t="s">
        <v>4892</v>
      </c>
      <c r="D3195" s="706" t="s">
        <v>1841</v>
      </c>
      <c r="H3195" s="1191"/>
      <c r="I3195" s="706" t="s">
        <v>4855</v>
      </c>
    </row>
    <row r="3196" spans="1:9">
      <c r="A3196" s="706">
        <v>119759</v>
      </c>
      <c r="B3196" s="706" t="s">
        <v>4893</v>
      </c>
      <c r="D3196" s="706" t="s">
        <v>1841</v>
      </c>
      <c r="H3196" s="1191"/>
      <c r="I3196" s="706" t="s">
        <v>4855</v>
      </c>
    </row>
    <row r="3197" spans="1:9">
      <c r="A3197" s="706">
        <v>119760</v>
      </c>
      <c r="B3197" s="706" t="s">
        <v>4894</v>
      </c>
      <c r="D3197" s="706" t="s">
        <v>1841</v>
      </c>
      <c r="H3197" s="1191"/>
      <c r="I3197" s="706" t="s">
        <v>4855</v>
      </c>
    </row>
    <row r="3198" spans="1:9">
      <c r="A3198" s="706">
        <v>119761</v>
      </c>
      <c r="B3198" s="706" t="s">
        <v>4895</v>
      </c>
      <c r="D3198" s="706" t="s">
        <v>1841</v>
      </c>
      <c r="H3198" s="1191"/>
      <c r="I3198" s="706" t="s">
        <v>4855</v>
      </c>
    </row>
    <row r="3199" spans="1:9">
      <c r="A3199" s="706">
        <v>119762</v>
      </c>
      <c r="B3199" s="706" t="s">
        <v>4896</v>
      </c>
      <c r="D3199" s="706" t="s">
        <v>1841</v>
      </c>
      <c r="H3199" s="1191"/>
      <c r="I3199" s="706" t="s">
        <v>4855</v>
      </c>
    </row>
    <row r="3200" spans="1:9">
      <c r="A3200" s="706">
        <v>119763</v>
      </c>
      <c r="B3200" s="706" t="s">
        <v>4897</v>
      </c>
      <c r="D3200" s="706" t="s">
        <v>1841</v>
      </c>
      <c r="H3200" s="1191"/>
      <c r="I3200" s="706" t="s">
        <v>4855</v>
      </c>
    </row>
    <row r="3201" spans="1:9">
      <c r="A3201" s="706">
        <v>119764</v>
      </c>
      <c r="B3201" s="706" t="s">
        <v>4898</v>
      </c>
      <c r="D3201" s="706" t="s">
        <v>1841</v>
      </c>
      <c r="H3201" s="1191"/>
      <c r="I3201" s="706" t="s">
        <v>4855</v>
      </c>
    </row>
    <row r="3202" spans="1:9">
      <c r="A3202" s="706">
        <v>119765</v>
      </c>
      <c r="B3202" s="706" t="s">
        <v>4899</v>
      </c>
      <c r="D3202" s="706" t="s">
        <v>1841</v>
      </c>
      <c r="H3202" s="1191"/>
      <c r="I3202" s="706" t="s">
        <v>4855</v>
      </c>
    </row>
    <row r="3203" spans="1:9">
      <c r="A3203" s="706">
        <v>119766</v>
      </c>
      <c r="B3203" s="706" t="s">
        <v>4900</v>
      </c>
      <c r="C3203" s="706" t="s">
        <v>8198</v>
      </c>
      <c r="D3203" s="706" t="s">
        <v>1841</v>
      </c>
      <c r="E3203" s="706">
        <v>4.9829999999999997</v>
      </c>
      <c r="F3203" s="706" t="s">
        <v>28</v>
      </c>
      <c r="G3203" s="706">
        <v>404599</v>
      </c>
      <c r="H3203" s="1191">
        <v>44621</v>
      </c>
      <c r="I3203" s="706" t="s">
        <v>4855</v>
      </c>
    </row>
    <row r="3204" spans="1:9">
      <c r="A3204" s="706">
        <v>119767</v>
      </c>
      <c r="B3204" s="706" t="s">
        <v>4901</v>
      </c>
      <c r="D3204" s="706" t="s">
        <v>1841</v>
      </c>
      <c r="H3204" s="1191"/>
      <c r="I3204" s="706" t="s">
        <v>4855</v>
      </c>
    </row>
    <row r="3205" spans="1:9">
      <c r="A3205" s="706">
        <v>119768</v>
      </c>
      <c r="B3205" s="706" t="s">
        <v>4902</v>
      </c>
      <c r="D3205" s="706" t="s">
        <v>1841</v>
      </c>
      <c r="H3205" s="1191"/>
      <c r="I3205" s="706" t="s">
        <v>4855</v>
      </c>
    </row>
    <row r="3206" spans="1:9">
      <c r="A3206" s="706">
        <v>119769</v>
      </c>
      <c r="B3206" s="706" t="s">
        <v>4903</v>
      </c>
      <c r="C3206" s="706" t="s">
        <v>8198</v>
      </c>
      <c r="D3206" s="706" t="s">
        <v>1841</v>
      </c>
      <c r="E3206" s="706">
        <v>3.78</v>
      </c>
      <c r="F3206" s="706" t="s">
        <v>28</v>
      </c>
      <c r="G3206" s="706">
        <v>407504</v>
      </c>
      <c r="H3206" s="1191">
        <v>45244</v>
      </c>
      <c r="I3206" s="706" t="s">
        <v>4855</v>
      </c>
    </row>
    <row r="3207" spans="1:9">
      <c r="A3207" s="706">
        <v>119770</v>
      </c>
      <c r="B3207" s="706" t="s">
        <v>4904</v>
      </c>
      <c r="C3207" s="706" t="s">
        <v>8198</v>
      </c>
      <c r="D3207" s="706" t="s">
        <v>1841</v>
      </c>
      <c r="E3207" s="706">
        <v>0</v>
      </c>
      <c r="F3207" s="706" t="s">
        <v>28</v>
      </c>
      <c r="G3207" s="706">
        <v>402798</v>
      </c>
      <c r="H3207" s="1191">
        <v>44277</v>
      </c>
      <c r="I3207" s="706" t="s">
        <v>4855</v>
      </c>
    </row>
    <row r="3208" spans="1:9">
      <c r="A3208" s="706">
        <v>119771</v>
      </c>
      <c r="B3208" s="706" t="s">
        <v>4905</v>
      </c>
      <c r="D3208" s="706" t="s">
        <v>1841</v>
      </c>
      <c r="H3208" s="1191"/>
      <c r="I3208" s="706" t="s">
        <v>4855</v>
      </c>
    </row>
    <row r="3209" spans="1:9">
      <c r="A3209" s="706">
        <v>119772</v>
      </c>
      <c r="B3209" s="706" t="s">
        <v>4906</v>
      </c>
      <c r="D3209" s="706" t="s">
        <v>1841</v>
      </c>
      <c r="H3209" s="1191"/>
      <c r="I3209" s="706" t="s">
        <v>4855</v>
      </c>
    </row>
    <row r="3210" spans="1:9">
      <c r="A3210" s="706">
        <v>119773</v>
      </c>
      <c r="B3210" s="706" t="s">
        <v>4907</v>
      </c>
      <c r="C3210" s="706" t="s">
        <v>8198</v>
      </c>
      <c r="D3210" s="706" t="s">
        <v>1841</v>
      </c>
      <c r="E3210" s="706">
        <v>4.4424999999999999</v>
      </c>
      <c r="F3210" s="706" t="s">
        <v>28</v>
      </c>
      <c r="G3210" s="706">
        <v>402881</v>
      </c>
      <c r="H3210" s="1191">
        <v>44292</v>
      </c>
      <c r="I3210" s="706" t="s">
        <v>4855</v>
      </c>
    </row>
    <row r="3211" spans="1:9">
      <c r="A3211" s="706">
        <v>119774</v>
      </c>
      <c r="B3211" s="706" t="s">
        <v>4908</v>
      </c>
      <c r="D3211" s="706" t="s">
        <v>1841</v>
      </c>
      <c r="H3211" s="1191"/>
      <c r="I3211" s="706" t="s">
        <v>4855</v>
      </c>
    </row>
    <row r="3212" spans="1:9">
      <c r="A3212" s="706">
        <v>119775</v>
      </c>
      <c r="B3212" s="706" t="s">
        <v>4909</v>
      </c>
      <c r="D3212" s="706" t="s">
        <v>1841</v>
      </c>
      <c r="H3212" s="1191"/>
      <c r="I3212" s="706" t="s">
        <v>4855</v>
      </c>
    </row>
    <row r="3213" spans="1:9">
      <c r="A3213" s="706">
        <v>119776</v>
      </c>
      <c r="B3213" s="706" t="s">
        <v>4910</v>
      </c>
      <c r="D3213" s="706" t="s">
        <v>1841</v>
      </c>
      <c r="H3213" s="1191"/>
      <c r="I3213" s="706" t="s">
        <v>4855</v>
      </c>
    </row>
    <row r="3214" spans="1:9">
      <c r="A3214" s="706">
        <v>119777</v>
      </c>
      <c r="B3214" s="706" t="s">
        <v>4911</v>
      </c>
      <c r="D3214" s="706" t="s">
        <v>1841</v>
      </c>
      <c r="H3214" s="1191"/>
      <c r="I3214" s="706" t="s">
        <v>4855</v>
      </c>
    </row>
    <row r="3215" spans="1:9">
      <c r="A3215" s="706">
        <v>119778</v>
      </c>
      <c r="B3215" s="706" t="s">
        <v>4912</v>
      </c>
      <c r="D3215" s="706" t="s">
        <v>1841</v>
      </c>
      <c r="H3215" s="1191"/>
      <c r="I3215" s="706" t="s">
        <v>4855</v>
      </c>
    </row>
    <row r="3216" spans="1:9">
      <c r="A3216" s="706">
        <v>119779</v>
      </c>
      <c r="B3216" s="706" t="s">
        <v>4913</v>
      </c>
      <c r="D3216" s="706" t="s">
        <v>1841</v>
      </c>
      <c r="H3216" s="1191"/>
      <c r="I3216" s="706" t="s">
        <v>4855</v>
      </c>
    </row>
    <row r="3217" spans="1:9">
      <c r="A3217" s="706">
        <v>119780</v>
      </c>
      <c r="B3217" s="706" t="s">
        <v>4914</v>
      </c>
      <c r="D3217" s="706" t="s">
        <v>1841</v>
      </c>
      <c r="H3217" s="1191"/>
      <c r="I3217" s="706" t="s">
        <v>4855</v>
      </c>
    </row>
    <row r="3218" spans="1:9">
      <c r="A3218" s="706">
        <v>119781</v>
      </c>
      <c r="B3218" s="706" t="s">
        <v>4915</v>
      </c>
      <c r="D3218" s="706" t="s">
        <v>1841</v>
      </c>
      <c r="H3218" s="1191"/>
      <c r="I3218" s="706" t="s">
        <v>4855</v>
      </c>
    </row>
    <row r="3219" spans="1:9">
      <c r="A3219" s="706">
        <v>119782</v>
      </c>
      <c r="B3219" s="706" t="s">
        <v>4916</v>
      </c>
      <c r="D3219" s="706" t="s">
        <v>1841</v>
      </c>
      <c r="H3219" s="1191"/>
      <c r="I3219" s="706" t="s">
        <v>4855</v>
      </c>
    </row>
    <row r="3220" spans="1:9">
      <c r="A3220" s="706">
        <v>119783</v>
      </c>
      <c r="B3220" s="706" t="s">
        <v>4917</v>
      </c>
      <c r="D3220" s="706" t="s">
        <v>1841</v>
      </c>
      <c r="H3220" s="1191"/>
      <c r="I3220" s="706" t="s">
        <v>4855</v>
      </c>
    </row>
    <row r="3221" spans="1:9">
      <c r="A3221" s="706">
        <v>119784</v>
      </c>
      <c r="B3221" s="706" t="s">
        <v>4918</v>
      </c>
      <c r="C3221" s="706" t="s">
        <v>8198</v>
      </c>
      <c r="D3221" s="706" t="s">
        <v>1841</v>
      </c>
      <c r="E3221" s="706">
        <v>1.6145</v>
      </c>
      <c r="F3221" s="706" t="s">
        <v>28</v>
      </c>
      <c r="G3221" s="706">
        <v>400239</v>
      </c>
      <c r="H3221" s="1191">
        <v>43942</v>
      </c>
      <c r="I3221" s="706" t="s">
        <v>4855</v>
      </c>
    </row>
    <row r="3222" spans="1:9">
      <c r="A3222" s="706">
        <v>119785</v>
      </c>
      <c r="B3222" s="706" t="s">
        <v>4919</v>
      </c>
      <c r="D3222" s="706" t="s">
        <v>1841</v>
      </c>
      <c r="H3222" s="1191"/>
      <c r="I3222" s="706" t="s">
        <v>4855</v>
      </c>
    </row>
    <row r="3223" spans="1:9">
      <c r="A3223" s="706">
        <v>119786</v>
      </c>
      <c r="B3223" s="706" t="s">
        <v>4920</v>
      </c>
      <c r="D3223" s="706" t="s">
        <v>1841</v>
      </c>
      <c r="H3223" s="1191"/>
      <c r="I3223" s="706" t="s">
        <v>4855</v>
      </c>
    </row>
    <row r="3224" spans="1:9">
      <c r="A3224" s="706">
        <v>119787</v>
      </c>
      <c r="B3224" s="706" t="s">
        <v>4921</v>
      </c>
      <c r="D3224" s="706" t="s">
        <v>1841</v>
      </c>
      <c r="H3224" s="1191"/>
      <c r="I3224" s="706" t="s">
        <v>4855</v>
      </c>
    </row>
    <row r="3225" spans="1:9">
      <c r="A3225" s="706">
        <v>119788</v>
      </c>
      <c r="B3225" s="706" t="s">
        <v>4922</v>
      </c>
      <c r="D3225" s="706" t="s">
        <v>1841</v>
      </c>
      <c r="H3225" s="1191"/>
      <c r="I3225" s="706" t="s">
        <v>4855</v>
      </c>
    </row>
    <row r="3226" spans="1:9">
      <c r="A3226" s="706">
        <v>119789</v>
      </c>
      <c r="B3226" s="706" t="s">
        <v>4923</v>
      </c>
      <c r="D3226" s="706" t="s">
        <v>1841</v>
      </c>
      <c r="H3226" s="1191"/>
      <c r="I3226" s="706" t="s">
        <v>4855</v>
      </c>
    </row>
    <row r="3227" spans="1:9">
      <c r="A3227" s="706">
        <v>119790</v>
      </c>
      <c r="B3227" s="706" t="s">
        <v>4924</v>
      </c>
      <c r="D3227" s="706" t="s">
        <v>1841</v>
      </c>
      <c r="H3227" s="1191"/>
      <c r="I3227" s="706" t="s">
        <v>4855</v>
      </c>
    </row>
    <row r="3228" spans="1:9">
      <c r="A3228" s="706">
        <v>119791</v>
      </c>
      <c r="B3228" s="706" t="s">
        <v>4925</v>
      </c>
      <c r="D3228" s="706" t="s">
        <v>1841</v>
      </c>
      <c r="H3228" s="1191"/>
      <c r="I3228" s="706" t="s">
        <v>4855</v>
      </c>
    </row>
    <row r="3229" spans="1:9">
      <c r="A3229" s="706">
        <v>119792</v>
      </c>
      <c r="B3229" s="706" t="s">
        <v>4926</v>
      </c>
      <c r="D3229" s="706" t="s">
        <v>1841</v>
      </c>
      <c r="H3229" s="1191"/>
      <c r="I3229" s="706" t="s">
        <v>4855</v>
      </c>
    </row>
    <row r="3230" spans="1:9">
      <c r="A3230" s="706">
        <v>119793</v>
      </c>
      <c r="B3230" s="706" t="s">
        <v>4927</v>
      </c>
      <c r="D3230" s="706" t="s">
        <v>1841</v>
      </c>
      <c r="H3230" s="1191"/>
      <c r="I3230" s="706" t="s">
        <v>4855</v>
      </c>
    </row>
    <row r="3231" spans="1:9">
      <c r="A3231" s="706">
        <v>119794</v>
      </c>
      <c r="B3231" s="706" t="s">
        <v>4928</v>
      </c>
      <c r="D3231" s="706" t="s">
        <v>1841</v>
      </c>
      <c r="H3231" s="1191"/>
      <c r="I3231" s="706" t="s">
        <v>4855</v>
      </c>
    </row>
    <row r="3232" spans="1:9">
      <c r="A3232" s="706">
        <v>119795</v>
      </c>
      <c r="B3232" s="706" t="s">
        <v>4929</v>
      </c>
      <c r="D3232" s="706" t="s">
        <v>1841</v>
      </c>
      <c r="H3232" s="1191"/>
      <c r="I3232" s="706" t="s">
        <v>4855</v>
      </c>
    </row>
    <row r="3233" spans="1:9">
      <c r="A3233" s="706">
        <v>119796</v>
      </c>
      <c r="B3233" s="706" t="s">
        <v>4930</v>
      </c>
      <c r="D3233" s="706" t="s">
        <v>1841</v>
      </c>
      <c r="H3233" s="1191"/>
      <c r="I3233" s="706" t="s">
        <v>4855</v>
      </c>
    </row>
    <row r="3234" spans="1:9">
      <c r="A3234" s="706">
        <v>119797</v>
      </c>
      <c r="B3234" s="706" t="s">
        <v>4931</v>
      </c>
      <c r="D3234" s="706" t="s">
        <v>1841</v>
      </c>
      <c r="H3234" s="1191"/>
      <c r="I3234" s="706" t="s">
        <v>4855</v>
      </c>
    </row>
    <row r="3235" spans="1:9">
      <c r="A3235" s="706">
        <v>119798</v>
      </c>
      <c r="B3235" s="706" t="s">
        <v>4932</v>
      </c>
      <c r="D3235" s="706" t="s">
        <v>1841</v>
      </c>
      <c r="H3235" s="1191"/>
      <c r="I3235" s="706" t="s">
        <v>4855</v>
      </c>
    </row>
    <row r="3236" spans="1:9">
      <c r="A3236" s="706">
        <v>119799</v>
      </c>
      <c r="B3236" s="706" t="s">
        <v>4933</v>
      </c>
      <c r="D3236" s="706" t="s">
        <v>1841</v>
      </c>
      <c r="H3236" s="1191"/>
      <c r="I3236" s="706" t="s">
        <v>4855</v>
      </c>
    </row>
    <row r="3237" spans="1:9">
      <c r="A3237" s="706">
        <v>119800</v>
      </c>
      <c r="B3237" s="706" t="s">
        <v>4934</v>
      </c>
      <c r="D3237" s="706" t="s">
        <v>1841</v>
      </c>
      <c r="H3237" s="1191"/>
      <c r="I3237" s="706" t="s">
        <v>4855</v>
      </c>
    </row>
    <row r="3238" spans="1:9">
      <c r="A3238" s="706">
        <v>120886</v>
      </c>
      <c r="B3238" s="706" t="s">
        <v>4935</v>
      </c>
      <c r="D3238" s="706" t="s">
        <v>1841</v>
      </c>
      <c r="H3238" s="1191"/>
      <c r="I3238" s="706" t="s">
        <v>4936</v>
      </c>
    </row>
    <row r="3239" spans="1:9">
      <c r="A3239" s="706">
        <v>120887</v>
      </c>
      <c r="B3239" s="706" t="s">
        <v>4937</v>
      </c>
      <c r="D3239" s="706" t="s">
        <v>1841</v>
      </c>
      <c r="H3239" s="1191"/>
      <c r="I3239" s="706" t="s">
        <v>4936</v>
      </c>
    </row>
    <row r="3240" spans="1:9">
      <c r="A3240" s="706">
        <v>120888</v>
      </c>
      <c r="B3240" s="706" t="s">
        <v>4938</v>
      </c>
      <c r="C3240" s="706" t="s">
        <v>1930</v>
      </c>
      <c r="D3240" s="706" t="s">
        <v>1841</v>
      </c>
      <c r="E3240" s="706">
        <v>38.619999999999997</v>
      </c>
      <c r="F3240" s="706" t="s">
        <v>1014</v>
      </c>
      <c r="G3240" s="706">
        <v>40077</v>
      </c>
      <c r="H3240" s="1191">
        <v>43881</v>
      </c>
      <c r="I3240" s="706" t="s">
        <v>4936</v>
      </c>
    </row>
    <row r="3241" spans="1:9">
      <c r="A3241" s="706">
        <v>120889</v>
      </c>
      <c r="B3241" s="706" t="s">
        <v>4939</v>
      </c>
      <c r="C3241" s="706" t="s">
        <v>1930</v>
      </c>
      <c r="D3241" s="706" t="s">
        <v>1841</v>
      </c>
      <c r="E3241" s="706">
        <v>23.76</v>
      </c>
      <c r="F3241" s="706" t="s">
        <v>1014</v>
      </c>
      <c r="G3241" s="706">
        <v>40322</v>
      </c>
      <c r="H3241" s="1191">
        <v>43909</v>
      </c>
      <c r="I3241" s="706" t="s">
        <v>4936</v>
      </c>
    </row>
    <row r="3242" spans="1:9">
      <c r="A3242" s="706">
        <v>120890</v>
      </c>
      <c r="B3242" s="706" t="s">
        <v>4940</v>
      </c>
      <c r="D3242" s="706" t="s">
        <v>1841</v>
      </c>
      <c r="H3242" s="1191"/>
      <c r="I3242" s="706" t="s">
        <v>4936</v>
      </c>
    </row>
    <row r="3243" spans="1:9">
      <c r="A3243" s="706">
        <v>120891</v>
      </c>
      <c r="B3243" s="706" t="s">
        <v>4941</v>
      </c>
      <c r="D3243" s="706" t="s">
        <v>1841</v>
      </c>
      <c r="H3243" s="1191"/>
      <c r="I3243" s="706" t="s">
        <v>4936</v>
      </c>
    </row>
    <row r="3244" spans="1:9">
      <c r="A3244" s="706">
        <v>120892</v>
      </c>
      <c r="B3244" s="706" t="s">
        <v>4942</v>
      </c>
      <c r="D3244" s="706" t="s">
        <v>1841</v>
      </c>
      <c r="H3244" s="1191"/>
      <c r="I3244" s="706" t="s">
        <v>4936</v>
      </c>
    </row>
    <row r="3245" spans="1:9">
      <c r="A3245" s="706">
        <v>120893</v>
      </c>
      <c r="B3245" s="706" t="s">
        <v>4943</v>
      </c>
      <c r="D3245" s="706" t="s">
        <v>1841</v>
      </c>
      <c r="H3245" s="1191"/>
      <c r="I3245" s="706" t="s">
        <v>4936</v>
      </c>
    </row>
    <row r="3246" spans="1:9">
      <c r="A3246" s="706">
        <v>120894</v>
      </c>
      <c r="B3246" s="706" t="s">
        <v>4944</v>
      </c>
      <c r="D3246" s="706" t="s">
        <v>1841</v>
      </c>
      <c r="H3246" s="1191"/>
      <c r="I3246" s="706" t="s">
        <v>4936</v>
      </c>
    </row>
    <row r="3247" spans="1:9">
      <c r="A3247" s="706">
        <v>120895</v>
      </c>
      <c r="B3247" s="706" t="s">
        <v>4945</v>
      </c>
      <c r="D3247" s="706" t="s">
        <v>1841</v>
      </c>
      <c r="H3247" s="1191"/>
      <c r="I3247" s="706" t="s">
        <v>4936</v>
      </c>
    </row>
    <row r="3248" spans="1:9">
      <c r="A3248" s="706">
        <v>120896</v>
      </c>
      <c r="B3248" s="706" t="s">
        <v>4946</v>
      </c>
      <c r="D3248" s="706" t="s">
        <v>1841</v>
      </c>
      <c r="H3248" s="1191"/>
      <c r="I3248" s="706" t="s">
        <v>4936</v>
      </c>
    </row>
    <row r="3249" spans="1:9">
      <c r="A3249" s="706">
        <v>120897</v>
      </c>
      <c r="B3249" s="706" t="s">
        <v>4947</v>
      </c>
      <c r="D3249" s="706" t="s">
        <v>1841</v>
      </c>
      <c r="H3249" s="1191"/>
      <c r="I3249" s="706" t="s">
        <v>4936</v>
      </c>
    </row>
    <row r="3250" spans="1:9">
      <c r="A3250" s="706">
        <v>120898</v>
      </c>
      <c r="B3250" s="706" t="s">
        <v>4948</v>
      </c>
      <c r="D3250" s="706" t="s">
        <v>1841</v>
      </c>
      <c r="H3250" s="1191"/>
      <c r="I3250" s="706" t="s">
        <v>4936</v>
      </c>
    </row>
    <row r="3251" spans="1:9">
      <c r="A3251" s="706">
        <v>120899</v>
      </c>
      <c r="B3251" s="706" t="s">
        <v>4949</v>
      </c>
      <c r="D3251" s="706" t="s">
        <v>1841</v>
      </c>
      <c r="H3251" s="1191"/>
      <c r="I3251" s="706" t="s">
        <v>4936</v>
      </c>
    </row>
    <row r="3252" spans="1:9">
      <c r="A3252" s="706">
        <v>120900</v>
      </c>
      <c r="B3252" s="706" t="s">
        <v>4950</v>
      </c>
      <c r="D3252" s="706" t="s">
        <v>1841</v>
      </c>
      <c r="H3252" s="1191"/>
      <c r="I3252" s="706" t="s">
        <v>4936</v>
      </c>
    </row>
    <row r="3253" spans="1:9">
      <c r="A3253" s="706">
        <v>121703</v>
      </c>
      <c r="B3253" s="706" t="s">
        <v>4951</v>
      </c>
      <c r="D3253" s="706" t="s">
        <v>1841</v>
      </c>
      <c r="H3253" s="1191"/>
      <c r="I3253" s="706" t="s">
        <v>4952</v>
      </c>
    </row>
    <row r="3254" spans="1:9">
      <c r="A3254" s="706">
        <v>121704</v>
      </c>
      <c r="B3254" s="706" t="s">
        <v>4953</v>
      </c>
      <c r="D3254" s="706" t="s">
        <v>1841</v>
      </c>
      <c r="H3254" s="1191"/>
      <c r="I3254" s="706" t="s">
        <v>4952</v>
      </c>
    </row>
    <row r="3255" spans="1:9">
      <c r="A3255" s="706">
        <v>121705</v>
      </c>
      <c r="B3255" s="706" t="s">
        <v>4954</v>
      </c>
      <c r="D3255" s="706" t="s">
        <v>1841</v>
      </c>
      <c r="H3255" s="1191"/>
      <c r="I3255" s="706" t="s">
        <v>4952</v>
      </c>
    </row>
    <row r="3256" spans="1:9">
      <c r="A3256" s="706">
        <v>121706</v>
      </c>
      <c r="B3256" s="706" t="s">
        <v>4955</v>
      </c>
      <c r="D3256" s="706" t="s">
        <v>1841</v>
      </c>
      <c r="H3256" s="1191"/>
      <c r="I3256" s="706" t="s">
        <v>4952</v>
      </c>
    </row>
    <row r="3257" spans="1:9">
      <c r="A3257" s="706">
        <v>121707</v>
      </c>
      <c r="B3257" s="706" t="s">
        <v>4956</v>
      </c>
      <c r="C3257" s="706" t="s">
        <v>8188</v>
      </c>
      <c r="D3257" s="706" t="s">
        <v>1841</v>
      </c>
      <c r="E3257" s="706">
        <v>95</v>
      </c>
      <c r="F3257" s="706" t="s">
        <v>768</v>
      </c>
      <c r="G3257" s="706">
        <v>40297</v>
      </c>
      <c r="H3257" s="1191">
        <v>43907</v>
      </c>
      <c r="I3257" s="706" t="s">
        <v>4952</v>
      </c>
    </row>
    <row r="3258" spans="1:9">
      <c r="A3258" s="706">
        <v>121708</v>
      </c>
      <c r="B3258" s="706" t="s">
        <v>4957</v>
      </c>
      <c r="D3258" s="706" t="s">
        <v>1841</v>
      </c>
      <c r="H3258" s="1191"/>
      <c r="I3258" s="706" t="s">
        <v>4952</v>
      </c>
    </row>
    <row r="3259" spans="1:9">
      <c r="A3259" s="706">
        <v>121709</v>
      </c>
      <c r="B3259" s="706" t="s">
        <v>4958</v>
      </c>
      <c r="D3259" s="706" t="s">
        <v>1841</v>
      </c>
      <c r="H3259" s="1191"/>
      <c r="I3259" s="706" t="s">
        <v>4952</v>
      </c>
    </row>
    <row r="3260" spans="1:9">
      <c r="A3260" s="706">
        <v>121710</v>
      </c>
      <c r="B3260" s="706" t="s">
        <v>4959</v>
      </c>
      <c r="D3260" s="706" t="s">
        <v>1841</v>
      </c>
      <c r="H3260" s="1191"/>
      <c r="I3260" s="706" t="s">
        <v>4952</v>
      </c>
    </row>
    <row r="3261" spans="1:9">
      <c r="A3261" s="706">
        <v>121770</v>
      </c>
      <c r="B3261" s="706" t="s">
        <v>4960</v>
      </c>
      <c r="C3261" s="706" t="s">
        <v>8188</v>
      </c>
      <c r="D3261" s="706" t="s">
        <v>1841</v>
      </c>
      <c r="E3261" s="706">
        <v>7.5019</v>
      </c>
      <c r="F3261" s="706" t="s">
        <v>768</v>
      </c>
      <c r="G3261" s="706">
        <v>404282</v>
      </c>
      <c r="H3261" s="1191">
        <v>44565</v>
      </c>
      <c r="I3261" s="706" t="s">
        <v>4961</v>
      </c>
    </row>
    <row r="3262" spans="1:9">
      <c r="A3262" s="706">
        <v>121771</v>
      </c>
      <c r="B3262" s="706" t="s">
        <v>4962</v>
      </c>
      <c r="D3262" s="706" t="s">
        <v>1841</v>
      </c>
      <c r="H3262" s="1191"/>
      <c r="I3262" s="706" t="s">
        <v>4961</v>
      </c>
    </row>
    <row r="3263" spans="1:9">
      <c r="A3263" s="706">
        <v>121772</v>
      </c>
      <c r="B3263" s="706" t="s">
        <v>4963</v>
      </c>
      <c r="D3263" s="706" t="s">
        <v>1841</v>
      </c>
      <c r="H3263" s="1191"/>
      <c r="I3263" s="706" t="s">
        <v>4961</v>
      </c>
    </row>
    <row r="3264" spans="1:9">
      <c r="A3264" s="706">
        <v>121773</v>
      </c>
      <c r="B3264" s="706" t="s">
        <v>4964</v>
      </c>
      <c r="D3264" s="706" t="s">
        <v>1841</v>
      </c>
      <c r="H3264" s="1191"/>
      <c r="I3264" s="706" t="s">
        <v>4961</v>
      </c>
    </row>
    <row r="3265" spans="1:9">
      <c r="A3265" s="706">
        <v>121774</v>
      </c>
      <c r="B3265" s="706" t="s">
        <v>4965</v>
      </c>
      <c r="D3265" s="706" t="s">
        <v>1841</v>
      </c>
      <c r="H3265" s="1191"/>
      <c r="I3265" s="706" t="s">
        <v>4961</v>
      </c>
    </row>
    <row r="3266" spans="1:9">
      <c r="A3266" s="706">
        <v>121775</v>
      </c>
      <c r="B3266" s="706" t="s">
        <v>4966</v>
      </c>
      <c r="C3266" s="706" t="s">
        <v>8186</v>
      </c>
      <c r="D3266" s="706" t="s">
        <v>1841</v>
      </c>
      <c r="E3266" s="706">
        <v>1.98</v>
      </c>
      <c r="F3266" s="706" t="s">
        <v>768</v>
      </c>
      <c r="G3266" s="706">
        <v>401345</v>
      </c>
      <c r="H3266" s="1191">
        <v>44061</v>
      </c>
      <c r="I3266" s="706" t="s">
        <v>4961</v>
      </c>
    </row>
    <row r="3267" spans="1:9">
      <c r="A3267" s="706">
        <v>121776</v>
      </c>
      <c r="B3267" s="706" t="s">
        <v>4967</v>
      </c>
      <c r="D3267" s="706" t="s">
        <v>1841</v>
      </c>
      <c r="H3267" s="1191"/>
      <c r="I3267" s="706" t="s">
        <v>4961</v>
      </c>
    </row>
    <row r="3268" spans="1:9">
      <c r="A3268" s="706">
        <v>121777</v>
      </c>
      <c r="B3268" s="706" t="s">
        <v>4968</v>
      </c>
      <c r="D3268" s="706" t="s">
        <v>1841</v>
      </c>
      <c r="H3268" s="1191"/>
      <c r="I3268" s="706" t="s">
        <v>4961</v>
      </c>
    </row>
    <row r="3269" spans="1:9">
      <c r="A3269" s="706">
        <v>121778</v>
      </c>
      <c r="B3269" s="706" t="s">
        <v>4969</v>
      </c>
      <c r="D3269" s="706" t="s">
        <v>1841</v>
      </c>
      <c r="H3269" s="1191"/>
      <c r="I3269" s="706" t="s">
        <v>4961</v>
      </c>
    </row>
    <row r="3270" spans="1:9">
      <c r="A3270" s="706">
        <v>121963</v>
      </c>
      <c r="B3270" s="706" t="s">
        <v>4970</v>
      </c>
      <c r="D3270" s="706" t="s">
        <v>1841</v>
      </c>
      <c r="H3270" s="1191"/>
      <c r="I3270" s="706" t="s">
        <v>4961</v>
      </c>
    </row>
    <row r="3271" spans="1:9">
      <c r="A3271" s="706">
        <v>121964</v>
      </c>
      <c r="B3271" s="706" t="s">
        <v>4971</v>
      </c>
      <c r="D3271" s="706" t="s">
        <v>1841</v>
      </c>
      <c r="H3271" s="1191"/>
      <c r="I3271" s="706" t="s">
        <v>4961</v>
      </c>
    </row>
    <row r="3272" spans="1:9">
      <c r="A3272" s="706">
        <v>121965</v>
      </c>
      <c r="B3272" s="706" t="s">
        <v>4972</v>
      </c>
      <c r="C3272" s="706" t="s">
        <v>8186</v>
      </c>
      <c r="D3272" s="706" t="s">
        <v>1841</v>
      </c>
      <c r="E3272" s="706">
        <v>1.95</v>
      </c>
      <c r="F3272" s="706" t="s">
        <v>768</v>
      </c>
      <c r="G3272" s="706">
        <v>40250</v>
      </c>
      <c r="H3272" s="1191">
        <v>43901</v>
      </c>
      <c r="I3272" s="706" t="s">
        <v>4961</v>
      </c>
    </row>
    <row r="3273" spans="1:9">
      <c r="A3273" s="706">
        <v>121966</v>
      </c>
      <c r="B3273" s="706" t="s">
        <v>4973</v>
      </c>
      <c r="D3273" s="706" t="s">
        <v>1841</v>
      </c>
      <c r="H3273" s="1191"/>
      <c r="I3273" s="706" t="s">
        <v>4961</v>
      </c>
    </row>
    <row r="3274" spans="1:9">
      <c r="A3274" s="706">
        <v>121967</v>
      </c>
      <c r="B3274" s="706" t="s">
        <v>4974</v>
      </c>
      <c r="D3274" s="706" t="s">
        <v>1841</v>
      </c>
      <c r="H3274" s="1191"/>
      <c r="I3274" s="706" t="s">
        <v>4961</v>
      </c>
    </row>
    <row r="3275" spans="1:9">
      <c r="A3275" s="706">
        <v>121968</v>
      </c>
      <c r="B3275" s="706" t="s">
        <v>4975</v>
      </c>
      <c r="C3275" s="706" t="s">
        <v>8188</v>
      </c>
      <c r="D3275" s="706" t="s">
        <v>1841</v>
      </c>
      <c r="E3275" s="706">
        <v>6.46</v>
      </c>
      <c r="F3275" s="706" t="s">
        <v>768</v>
      </c>
      <c r="G3275" s="706">
        <v>410239</v>
      </c>
      <c r="H3275" s="1191">
        <v>45776</v>
      </c>
      <c r="I3275" s="706" t="s">
        <v>4961</v>
      </c>
    </row>
    <row r="3276" spans="1:9">
      <c r="A3276" s="706">
        <v>121969</v>
      </c>
      <c r="B3276" s="706" t="s">
        <v>4976</v>
      </c>
      <c r="D3276" s="706" t="s">
        <v>1841</v>
      </c>
      <c r="H3276" s="1191"/>
      <c r="I3276" s="706" t="s">
        <v>4961</v>
      </c>
    </row>
    <row r="3277" spans="1:9">
      <c r="A3277" s="706">
        <v>121970</v>
      </c>
      <c r="B3277" s="706" t="s">
        <v>4977</v>
      </c>
      <c r="D3277" s="706" t="s">
        <v>1841</v>
      </c>
      <c r="H3277" s="1191"/>
      <c r="I3277" s="706" t="s">
        <v>4961</v>
      </c>
    </row>
    <row r="3278" spans="1:9">
      <c r="A3278" s="706">
        <v>121971</v>
      </c>
      <c r="B3278" s="706" t="s">
        <v>4978</v>
      </c>
      <c r="D3278" s="706" t="s">
        <v>1841</v>
      </c>
      <c r="H3278" s="1191"/>
      <c r="I3278" s="706" t="s">
        <v>4961</v>
      </c>
    </row>
    <row r="3279" spans="1:9">
      <c r="A3279" s="706">
        <v>121972</v>
      </c>
      <c r="B3279" s="706" t="s">
        <v>4979</v>
      </c>
      <c r="C3279" s="706" t="s">
        <v>8188</v>
      </c>
      <c r="D3279" s="706" t="s">
        <v>1841</v>
      </c>
      <c r="E3279" s="706">
        <v>2.2551000000000001</v>
      </c>
      <c r="F3279" s="706" t="s">
        <v>768</v>
      </c>
      <c r="G3279" s="706">
        <v>400055</v>
      </c>
      <c r="H3279" s="1191">
        <v>43922</v>
      </c>
      <c r="I3279" s="706" t="s">
        <v>4961</v>
      </c>
    </row>
    <row r="3280" spans="1:9">
      <c r="A3280" s="706">
        <v>121973</v>
      </c>
      <c r="B3280" s="706" t="s">
        <v>4980</v>
      </c>
      <c r="D3280" s="706" t="s">
        <v>1841</v>
      </c>
      <c r="H3280" s="1191"/>
      <c r="I3280" s="706" t="s">
        <v>4961</v>
      </c>
    </row>
    <row r="3281" spans="1:9">
      <c r="A3281" s="706">
        <v>121974</v>
      </c>
      <c r="B3281" s="706" t="s">
        <v>4981</v>
      </c>
      <c r="D3281" s="706" t="s">
        <v>1841</v>
      </c>
      <c r="H3281" s="1191"/>
      <c r="I3281" s="706" t="s">
        <v>4961</v>
      </c>
    </row>
    <row r="3282" spans="1:9">
      <c r="A3282" s="706">
        <v>121975</v>
      </c>
      <c r="B3282" s="706" t="s">
        <v>4982</v>
      </c>
      <c r="C3282" s="706" t="s">
        <v>8186</v>
      </c>
      <c r="D3282" s="706" t="s">
        <v>1841</v>
      </c>
      <c r="E3282" s="706">
        <v>1.95</v>
      </c>
      <c r="F3282" s="706" t="s">
        <v>768</v>
      </c>
      <c r="G3282" s="706">
        <v>400280</v>
      </c>
      <c r="H3282" s="1191">
        <v>43944</v>
      </c>
      <c r="I3282" s="706" t="s">
        <v>4961</v>
      </c>
    </row>
    <row r="3283" spans="1:9">
      <c r="A3283" s="706">
        <v>121976</v>
      </c>
      <c r="B3283" s="706" t="s">
        <v>4983</v>
      </c>
      <c r="C3283" s="706" t="s">
        <v>8188</v>
      </c>
      <c r="D3283" s="706" t="s">
        <v>1841</v>
      </c>
      <c r="E3283" s="706">
        <v>4.6768000000000001</v>
      </c>
      <c r="F3283" s="706" t="s">
        <v>768</v>
      </c>
      <c r="G3283" s="706">
        <v>404053</v>
      </c>
      <c r="H3283" s="1191">
        <v>44501</v>
      </c>
      <c r="I3283" s="706" t="s">
        <v>4961</v>
      </c>
    </row>
    <row r="3284" spans="1:9">
      <c r="A3284" s="706">
        <v>121977</v>
      </c>
      <c r="B3284" s="706" t="s">
        <v>4984</v>
      </c>
      <c r="C3284" s="706" t="s">
        <v>8188</v>
      </c>
      <c r="D3284" s="706" t="s">
        <v>1841</v>
      </c>
      <c r="E3284" s="706">
        <v>3.1526000000000001</v>
      </c>
      <c r="F3284" s="706" t="s">
        <v>768</v>
      </c>
      <c r="G3284" s="706">
        <v>405156</v>
      </c>
      <c r="H3284" s="1191">
        <v>44727</v>
      </c>
      <c r="I3284" s="706" t="s">
        <v>4961</v>
      </c>
    </row>
    <row r="3285" spans="1:9">
      <c r="A3285" s="706">
        <v>121978</v>
      </c>
      <c r="B3285" s="706" t="s">
        <v>4985</v>
      </c>
      <c r="C3285" s="706" t="s">
        <v>8186</v>
      </c>
      <c r="D3285" s="706" t="s">
        <v>1841</v>
      </c>
      <c r="E3285" s="706">
        <v>5.99</v>
      </c>
      <c r="F3285" s="706" t="s">
        <v>768</v>
      </c>
      <c r="G3285" s="706">
        <v>411279</v>
      </c>
      <c r="H3285" s="1191">
        <v>45975</v>
      </c>
      <c r="I3285" s="706" t="s">
        <v>4961</v>
      </c>
    </row>
    <row r="3286" spans="1:9">
      <c r="A3286" s="706">
        <v>121979</v>
      </c>
      <c r="B3286" s="706" t="s">
        <v>4986</v>
      </c>
      <c r="D3286" s="706" t="s">
        <v>1841</v>
      </c>
      <c r="H3286" s="1191"/>
      <c r="I3286" s="706" t="s">
        <v>4961</v>
      </c>
    </row>
    <row r="3287" spans="1:9">
      <c r="A3287" s="706">
        <v>121980</v>
      </c>
      <c r="B3287" s="706" t="s">
        <v>4987</v>
      </c>
      <c r="D3287" s="706" t="s">
        <v>1841</v>
      </c>
      <c r="H3287" s="1191"/>
      <c r="I3287" s="706" t="s">
        <v>4961</v>
      </c>
    </row>
    <row r="3288" spans="1:9">
      <c r="A3288" s="706">
        <v>121981</v>
      </c>
      <c r="B3288" s="706" t="s">
        <v>4988</v>
      </c>
      <c r="C3288" s="706" t="s">
        <v>8186</v>
      </c>
      <c r="D3288" s="706" t="s">
        <v>1841</v>
      </c>
      <c r="E3288" s="706">
        <v>3.89</v>
      </c>
      <c r="F3288" s="706" t="s">
        <v>768</v>
      </c>
      <c r="G3288" s="706">
        <v>411901</v>
      </c>
      <c r="H3288" s="1191">
        <v>46091</v>
      </c>
      <c r="I3288" s="706" t="s">
        <v>4961</v>
      </c>
    </row>
    <row r="3289" spans="1:9">
      <c r="A3289" s="706">
        <v>121982</v>
      </c>
      <c r="B3289" s="706" t="s">
        <v>4989</v>
      </c>
      <c r="D3289" s="706" t="s">
        <v>1841</v>
      </c>
      <c r="H3289" s="1191"/>
      <c r="I3289" s="706" t="s">
        <v>4961</v>
      </c>
    </row>
    <row r="3290" spans="1:9">
      <c r="A3290" s="706">
        <v>121983</v>
      </c>
      <c r="B3290" s="706" t="s">
        <v>4990</v>
      </c>
      <c r="D3290" s="706" t="s">
        <v>1841</v>
      </c>
      <c r="H3290" s="1191"/>
      <c r="I3290" s="706" t="s">
        <v>4961</v>
      </c>
    </row>
    <row r="3291" spans="1:9">
      <c r="A3291" s="706">
        <v>121984</v>
      </c>
      <c r="B3291" s="706" t="s">
        <v>4991</v>
      </c>
      <c r="D3291" s="706" t="s">
        <v>1841</v>
      </c>
      <c r="H3291" s="1191"/>
      <c r="I3291" s="706" t="s">
        <v>4961</v>
      </c>
    </row>
    <row r="3292" spans="1:9">
      <c r="A3292" s="706">
        <v>121985</v>
      </c>
      <c r="B3292" s="706" t="s">
        <v>4992</v>
      </c>
      <c r="D3292" s="706" t="s">
        <v>1841</v>
      </c>
      <c r="H3292" s="1191"/>
      <c r="I3292" s="706" t="s">
        <v>4961</v>
      </c>
    </row>
    <row r="3293" spans="1:9">
      <c r="A3293" s="706">
        <v>121986</v>
      </c>
      <c r="B3293" s="706" t="s">
        <v>4993</v>
      </c>
      <c r="C3293" s="706" t="s">
        <v>8188</v>
      </c>
      <c r="D3293" s="706" t="s">
        <v>1841</v>
      </c>
      <c r="E3293" s="706">
        <v>2.5457000000000001</v>
      </c>
      <c r="F3293" s="706" t="s">
        <v>768</v>
      </c>
      <c r="G3293" s="706">
        <v>401351</v>
      </c>
      <c r="H3293" s="1191">
        <v>44062</v>
      </c>
      <c r="I3293" s="706" t="s">
        <v>4961</v>
      </c>
    </row>
    <row r="3294" spans="1:9">
      <c r="A3294" s="706">
        <v>121987</v>
      </c>
      <c r="B3294" s="706" t="s">
        <v>4994</v>
      </c>
      <c r="C3294" s="706" t="s">
        <v>8186</v>
      </c>
      <c r="D3294" s="706" t="s">
        <v>1841</v>
      </c>
      <c r="E3294" s="706">
        <v>3.51</v>
      </c>
      <c r="F3294" s="706" t="s">
        <v>768</v>
      </c>
      <c r="G3294" s="706">
        <v>405279</v>
      </c>
      <c r="H3294" s="1191">
        <v>44755</v>
      </c>
      <c r="I3294" s="706" t="s">
        <v>4961</v>
      </c>
    </row>
    <row r="3295" spans="1:9">
      <c r="A3295" s="706">
        <v>121988</v>
      </c>
      <c r="B3295" s="706" t="s">
        <v>4995</v>
      </c>
      <c r="D3295" s="706" t="s">
        <v>1841</v>
      </c>
      <c r="H3295" s="1191"/>
      <c r="I3295" s="706" t="s">
        <v>4961</v>
      </c>
    </row>
    <row r="3296" spans="1:9">
      <c r="A3296" s="706">
        <v>121989</v>
      </c>
      <c r="B3296" s="706" t="s">
        <v>4996</v>
      </c>
      <c r="C3296" s="706" t="s">
        <v>8186</v>
      </c>
      <c r="D3296" s="706" t="s">
        <v>1841</v>
      </c>
      <c r="E3296" s="706">
        <v>3.19</v>
      </c>
      <c r="F3296" s="706" t="s">
        <v>768</v>
      </c>
      <c r="G3296" s="706">
        <v>408614</v>
      </c>
      <c r="H3296" s="1191">
        <v>45441</v>
      </c>
      <c r="I3296" s="706" t="s">
        <v>4961</v>
      </c>
    </row>
    <row r="3297" spans="1:9">
      <c r="A3297" s="706">
        <v>121990</v>
      </c>
      <c r="B3297" s="706" t="s">
        <v>4997</v>
      </c>
      <c r="C3297" s="706" t="s">
        <v>8186</v>
      </c>
      <c r="D3297" s="706" t="s">
        <v>1841</v>
      </c>
      <c r="E3297" s="706">
        <v>2.9</v>
      </c>
      <c r="F3297" s="706" t="s">
        <v>768</v>
      </c>
      <c r="G3297" s="706">
        <v>410862</v>
      </c>
      <c r="H3297" s="1191">
        <v>45898</v>
      </c>
      <c r="I3297" s="706" t="s">
        <v>4961</v>
      </c>
    </row>
    <row r="3298" spans="1:9">
      <c r="A3298" s="706">
        <v>121991</v>
      </c>
      <c r="B3298" s="706" t="s">
        <v>4998</v>
      </c>
      <c r="D3298" s="706" t="s">
        <v>1841</v>
      </c>
      <c r="H3298" s="1191"/>
      <c r="I3298" s="706" t="s">
        <v>4961</v>
      </c>
    </row>
    <row r="3299" spans="1:9">
      <c r="A3299" s="706">
        <v>121992</v>
      </c>
      <c r="B3299" s="706" t="s">
        <v>4999</v>
      </c>
      <c r="C3299" s="706" t="s">
        <v>8186</v>
      </c>
      <c r="D3299" s="706" t="s">
        <v>1841</v>
      </c>
      <c r="E3299" s="706">
        <v>3.99</v>
      </c>
      <c r="F3299" s="706" t="s">
        <v>768</v>
      </c>
      <c r="G3299" s="706">
        <v>411784</v>
      </c>
      <c r="H3299" s="1191">
        <v>46073</v>
      </c>
      <c r="I3299" s="706" t="s">
        <v>4961</v>
      </c>
    </row>
    <row r="3300" spans="1:9">
      <c r="A3300" s="706">
        <v>121993</v>
      </c>
      <c r="B3300" s="706" t="s">
        <v>5000</v>
      </c>
      <c r="C3300" s="706" t="s">
        <v>8186</v>
      </c>
      <c r="D3300" s="706" t="s">
        <v>1841</v>
      </c>
      <c r="E3300" s="706">
        <v>3.85</v>
      </c>
      <c r="F3300" s="706" t="s">
        <v>768</v>
      </c>
      <c r="G3300" s="706">
        <v>411618</v>
      </c>
      <c r="H3300" s="1191">
        <v>46049</v>
      </c>
      <c r="I3300" s="706" t="s">
        <v>4961</v>
      </c>
    </row>
    <row r="3301" spans="1:9">
      <c r="A3301" s="706">
        <v>121994</v>
      </c>
      <c r="B3301" s="706" t="s">
        <v>5001</v>
      </c>
      <c r="D3301" s="706" t="s">
        <v>1841</v>
      </c>
      <c r="H3301" s="1191"/>
      <c r="I3301" s="706" t="s">
        <v>4961</v>
      </c>
    </row>
    <row r="3302" spans="1:9">
      <c r="A3302" s="706">
        <v>121995</v>
      </c>
      <c r="B3302" s="706" t="s">
        <v>5002</v>
      </c>
      <c r="D3302" s="706" t="s">
        <v>1841</v>
      </c>
      <c r="H3302" s="1191"/>
      <c r="I3302" s="706" t="s">
        <v>4961</v>
      </c>
    </row>
    <row r="3303" spans="1:9">
      <c r="A3303" s="706">
        <v>121996</v>
      </c>
      <c r="B3303" s="706" t="s">
        <v>5003</v>
      </c>
      <c r="C3303" s="706" t="s">
        <v>8188</v>
      </c>
      <c r="D3303" s="706" t="s">
        <v>1841</v>
      </c>
      <c r="E3303" s="706">
        <v>3</v>
      </c>
      <c r="F3303" s="706" t="s">
        <v>768</v>
      </c>
      <c r="G3303" s="706">
        <v>403034</v>
      </c>
      <c r="H3303" s="1191">
        <v>44321</v>
      </c>
      <c r="I3303" s="706" t="s">
        <v>4961</v>
      </c>
    </row>
    <row r="3304" spans="1:9">
      <c r="A3304" s="706">
        <v>121997</v>
      </c>
      <c r="B3304" s="706" t="s">
        <v>5004</v>
      </c>
      <c r="C3304" s="706" t="s">
        <v>8186</v>
      </c>
      <c r="D3304" s="706" t="s">
        <v>1841</v>
      </c>
      <c r="E3304" s="706">
        <v>5.1909000000000001</v>
      </c>
      <c r="F3304" s="706" t="s">
        <v>768</v>
      </c>
      <c r="G3304" s="706">
        <v>409811</v>
      </c>
      <c r="H3304" s="1191">
        <v>45699</v>
      </c>
      <c r="I3304" s="706" t="s">
        <v>4961</v>
      </c>
    </row>
    <row r="3305" spans="1:9">
      <c r="A3305" s="706">
        <v>121998</v>
      </c>
      <c r="B3305" s="706" t="s">
        <v>5005</v>
      </c>
      <c r="C3305" s="706" t="s">
        <v>8186</v>
      </c>
      <c r="D3305" s="706" t="s">
        <v>1841</v>
      </c>
      <c r="E3305" s="706">
        <v>3.5528</v>
      </c>
      <c r="F3305" s="706" t="s">
        <v>768</v>
      </c>
      <c r="G3305" s="706">
        <v>408181</v>
      </c>
      <c r="H3305" s="1191">
        <v>45370</v>
      </c>
      <c r="I3305" s="706" t="s">
        <v>4961</v>
      </c>
    </row>
    <row r="3306" spans="1:9">
      <c r="A3306" s="706">
        <v>123657</v>
      </c>
      <c r="B3306" s="706" t="s">
        <v>5006</v>
      </c>
      <c r="D3306" s="706" t="s">
        <v>1841</v>
      </c>
      <c r="H3306" s="1191"/>
      <c r="I3306" s="706" t="s">
        <v>4961</v>
      </c>
    </row>
    <row r="3307" spans="1:9">
      <c r="A3307" s="706">
        <v>123658</v>
      </c>
      <c r="B3307" s="706" t="s">
        <v>5007</v>
      </c>
      <c r="D3307" s="706" t="s">
        <v>1841</v>
      </c>
      <c r="H3307" s="1191"/>
      <c r="I3307" s="706" t="s">
        <v>4961</v>
      </c>
    </row>
    <row r="3308" spans="1:9">
      <c r="A3308" s="706">
        <v>123659</v>
      </c>
      <c r="B3308" s="706" t="s">
        <v>5008</v>
      </c>
      <c r="D3308" s="706" t="s">
        <v>1841</v>
      </c>
      <c r="H3308" s="1191"/>
      <c r="I3308" s="706" t="s">
        <v>4961</v>
      </c>
    </row>
    <row r="3309" spans="1:9">
      <c r="A3309" s="706">
        <v>123660</v>
      </c>
      <c r="B3309" s="706" t="s">
        <v>5009</v>
      </c>
      <c r="D3309" s="706" t="s">
        <v>1841</v>
      </c>
      <c r="H3309" s="1191"/>
      <c r="I3309" s="706" t="s">
        <v>4961</v>
      </c>
    </row>
    <row r="3310" spans="1:9">
      <c r="A3310" s="706">
        <v>123661</v>
      </c>
      <c r="B3310" s="706" t="s">
        <v>5010</v>
      </c>
      <c r="D3310" s="706" t="s">
        <v>1841</v>
      </c>
      <c r="H3310" s="1191"/>
      <c r="I3310" s="706" t="s">
        <v>4961</v>
      </c>
    </row>
    <row r="3311" spans="1:9">
      <c r="A3311" s="706">
        <v>123662</v>
      </c>
      <c r="B3311" s="706" t="s">
        <v>5011</v>
      </c>
      <c r="D3311" s="706" t="s">
        <v>1841</v>
      </c>
      <c r="H3311" s="1191"/>
      <c r="I3311" s="706" t="s">
        <v>4961</v>
      </c>
    </row>
    <row r="3312" spans="1:9">
      <c r="A3312" s="706">
        <v>123663</v>
      </c>
      <c r="B3312" s="706" t="s">
        <v>5012</v>
      </c>
      <c r="D3312" s="706" t="s">
        <v>1841</v>
      </c>
      <c r="H3312" s="1191"/>
      <c r="I3312" s="706" t="s">
        <v>4961</v>
      </c>
    </row>
    <row r="3313" spans="1:9">
      <c r="A3313" s="706">
        <v>123664</v>
      </c>
      <c r="B3313" s="706" t="s">
        <v>5013</v>
      </c>
      <c r="D3313" s="706" t="s">
        <v>1841</v>
      </c>
      <c r="H3313" s="1191"/>
      <c r="I3313" s="706" t="s">
        <v>4961</v>
      </c>
    </row>
    <row r="3314" spans="1:9">
      <c r="A3314" s="706">
        <v>123665</v>
      </c>
      <c r="B3314" s="706" t="s">
        <v>5014</v>
      </c>
      <c r="D3314" s="706" t="s">
        <v>1841</v>
      </c>
      <c r="H3314" s="1191"/>
      <c r="I3314" s="706" t="s">
        <v>4961</v>
      </c>
    </row>
    <row r="3315" spans="1:9">
      <c r="A3315" s="706">
        <v>123666</v>
      </c>
      <c r="B3315" s="706" t="s">
        <v>5015</v>
      </c>
      <c r="D3315" s="706" t="s">
        <v>1841</v>
      </c>
      <c r="H3315" s="1191"/>
      <c r="I3315" s="706" t="s">
        <v>4961</v>
      </c>
    </row>
    <row r="3316" spans="1:9">
      <c r="A3316" s="706">
        <v>123667</v>
      </c>
      <c r="B3316" s="706" t="s">
        <v>5016</v>
      </c>
      <c r="D3316" s="706" t="s">
        <v>1841</v>
      </c>
      <c r="H3316" s="1191"/>
      <c r="I3316" s="706" t="s">
        <v>4961</v>
      </c>
    </row>
    <row r="3317" spans="1:9">
      <c r="A3317" s="706">
        <v>123668</v>
      </c>
      <c r="B3317" s="706" t="s">
        <v>5017</v>
      </c>
      <c r="D3317" s="706" t="s">
        <v>1841</v>
      </c>
      <c r="H3317" s="1191"/>
      <c r="I3317" s="706" t="s">
        <v>4961</v>
      </c>
    </row>
    <row r="3318" spans="1:9">
      <c r="A3318" s="706">
        <v>123669</v>
      </c>
      <c r="B3318" s="706" t="s">
        <v>5018</v>
      </c>
      <c r="D3318" s="706" t="s">
        <v>1841</v>
      </c>
      <c r="H3318" s="1191"/>
      <c r="I3318" s="706" t="s">
        <v>4961</v>
      </c>
    </row>
    <row r="3319" spans="1:9">
      <c r="A3319" s="706">
        <v>123670</v>
      </c>
      <c r="B3319" s="706" t="s">
        <v>5019</v>
      </c>
      <c r="D3319" s="706" t="s">
        <v>1841</v>
      </c>
      <c r="H3319" s="1191"/>
      <c r="I3319" s="706" t="s">
        <v>4961</v>
      </c>
    </row>
    <row r="3320" spans="1:9">
      <c r="A3320" s="706">
        <v>123671</v>
      </c>
      <c r="B3320" s="706" t="s">
        <v>5020</v>
      </c>
      <c r="D3320" s="706" t="s">
        <v>1841</v>
      </c>
      <c r="H3320" s="1191"/>
      <c r="I3320" s="706" t="s">
        <v>4961</v>
      </c>
    </row>
    <row r="3321" spans="1:9">
      <c r="A3321" s="706">
        <v>123672</v>
      </c>
      <c r="B3321" s="706" t="s">
        <v>5021</v>
      </c>
      <c r="D3321" s="706" t="s">
        <v>1841</v>
      </c>
      <c r="H3321" s="1191"/>
      <c r="I3321" s="706" t="s">
        <v>4961</v>
      </c>
    </row>
    <row r="3322" spans="1:9">
      <c r="A3322" s="706">
        <v>123673</v>
      </c>
      <c r="B3322" s="706" t="s">
        <v>5022</v>
      </c>
      <c r="D3322" s="706" t="s">
        <v>1841</v>
      </c>
      <c r="H3322" s="1191"/>
      <c r="I3322" s="706" t="s">
        <v>4961</v>
      </c>
    </row>
    <row r="3323" spans="1:9">
      <c r="A3323" s="706">
        <v>123674</v>
      </c>
      <c r="B3323" s="706" t="s">
        <v>5023</v>
      </c>
      <c r="D3323" s="706" t="s">
        <v>1841</v>
      </c>
      <c r="H3323" s="1191"/>
      <c r="I3323" s="706" t="s">
        <v>4961</v>
      </c>
    </row>
    <row r="3324" spans="1:9">
      <c r="A3324" s="706">
        <v>123675</v>
      </c>
      <c r="B3324" s="706" t="s">
        <v>5024</v>
      </c>
      <c r="D3324" s="706" t="s">
        <v>1841</v>
      </c>
      <c r="H3324" s="1191"/>
      <c r="I3324" s="706" t="s">
        <v>4961</v>
      </c>
    </row>
    <row r="3325" spans="1:9">
      <c r="A3325" s="706">
        <v>123676</v>
      </c>
      <c r="B3325" s="706" t="s">
        <v>5025</v>
      </c>
      <c r="D3325" s="706" t="s">
        <v>1841</v>
      </c>
      <c r="H3325" s="1191"/>
      <c r="I3325" s="706" t="s">
        <v>4961</v>
      </c>
    </row>
    <row r="3326" spans="1:9">
      <c r="A3326" s="706">
        <v>123677</v>
      </c>
      <c r="B3326" s="706" t="s">
        <v>5026</v>
      </c>
      <c r="D3326" s="706" t="s">
        <v>1841</v>
      </c>
      <c r="H3326" s="1191"/>
      <c r="I3326" s="706" t="s">
        <v>4961</v>
      </c>
    </row>
    <row r="3327" spans="1:9">
      <c r="A3327" s="706">
        <v>123678</v>
      </c>
      <c r="B3327" s="706" t="s">
        <v>5027</v>
      </c>
      <c r="D3327" s="706" t="s">
        <v>1841</v>
      </c>
      <c r="H3327" s="1191"/>
      <c r="I3327" s="706" t="s">
        <v>4961</v>
      </c>
    </row>
    <row r="3328" spans="1:9">
      <c r="A3328" s="706">
        <v>123679</v>
      </c>
      <c r="B3328" s="706" t="s">
        <v>5028</v>
      </c>
      <c r="D3328" s="706" t="s">
        <v>1841</v>
      </c>
      <c r="H3328" s="1191"/>
      <c r="I3328" s="706" t="s">
        <v>4961</v>
      </c>
    </row>
    <row r="3329" spans="1:9">
      <c r="A3329" s="706">
        <v>123680</v>
      </c>
      <c r="B3329" s="706" t="s">
        <v>5029</v>
      </c>
      <c r="D3329" s="706" t="s">
        <v>1841</v>
      </c>
      <c r="H3329" s="1191"/>
      <c r="I3329" s="706" t="s">
        <v>4961</v>
      </c>
    </row>
    <row r="3330" spans="1:9">
      <c r="A3330" s="706">
        <v>123681</v>
      </c>
      <c r="B3330" s="706" t="s">
        <v>5030</v>
      </c>
      <c r="C3330" s="706" t="s">
        <v>8188</v>
      </c>
      <c r="D3330" s="706" t="s">
        <v>1841</v>
      </c>
      <c r="E3330" s="706">
        <v>6.3532999999999999</v>
      </c>
      <c r="F3330" s="706" t="s">
        <v>28</v>
      </c>
      <c r="G3330" s="706">
        <v>411030</v>
      </c>
      <c r="H3330" s="1191">
        <v>45925</v>
      </c>
      <c r="I3330" s="706" t="s">
        <v>4961</v>
      </c>
    </row>
    <row r="3331" spans="1:9">
      <c r="A3331" s="706">
        <v>123765</v>
      </c>
      <c r="B3331" s="706" t="s">
        <v>5031</v>
      </c>
      <c r="D3331" s="706" t="s">
        <v>1841</v>
      </c>
      <c r="H3331" s="1191"/>
      <c r="I3331" s="706" t="s">
        <v>4961</v>
      </c>
    </row>
    <row r="3332" spans="1:9">
      <c r="A3332" s="706">
        <v>123766</v>
      </c>
      <c r="B3332" s="706" t="s">
        <v>5032</v>
      </c>
      <c r="D3332" s="706" t="s">
        <v>1841</v>
      </c>
      <c r="H3332" s="1191"/>
      <c r="I3332" s="706" t="s">
        <v>4961</v>
      </c>
    </row>
    <row r="3333" spans="1:9">
      <c r="A3333" s="706">
        <v>123767</v>
      </c>
      <c r="B3333" s="706" t="s">
        <v>5033</v>
      </c>
      <c r="D3333" s="706" t="s">
        <v>1841</v>
      </c>
      <c r="H3333" s="1191"/>
      <c r="I3333" s="706" t="s">
        <v>4961</v>
      </c>
    </row>
    <row r="3334" spans="1:9">
      <c r="A3334" s="706">
        <v>123768</v>
      </c>
      <c r="B3334" s="706" t="s">
        <v>5034</v>
      </c>
      <c r="D3334" s="706" t="s">
        <v>1841</v>
      </c>
      <c r="H3334" s="1191"/>
      <c r="I3334" s="706" t="s">
        <v>4961</v>
      </c>
    </row>
    <row r="3335" spans="1:9">
      <c r="A3335" s="706">
        <v>123769</v>
      </c>
      <c r="B3335" s="706" t="s">
        <v>5035</v>
      </c>
      <c r="D3335" s="706" t="s">
        <v>1841</v>
      </c>
      <c r="H3335" s="1191"/>
      <c r="I3335" s="706" t="s">
        <v>4961</v>
      </c>
    </row>
    <row r="3336" spans="1:9">
      <c r="A3336" s="706">
        <v>123770</v>
      </c>
      <c r="B3336" s="706" t="s">
        <v>5036</v>
      </c>
      <c r="D3336" s="706" t="s">
        <v>1841</v>
      </c>
      <c r="H3336" s="1191"/>
      <c r="I3336" s="706" t="s">
        <v>4961</v>
      </c>
    </row>
    <row r="3337" spans="1:9">
      <c r="A3337" s="706">
        <v>123771</v>
      </c>
      <c r="B3337" s="706" t="s">
        <v>5037</v>
      </c>
      <c r="D3337" s="706" t="s">
        <v>1841</v>
      </c>
      <c r="H3337" s="1191"/>
      <c r="I3337" s="706" t="s">
        <v>4961</v>
      </c>
    </row>
    <row r="3338" spans="1:9">
      <c r="A3338" s="706">
        <v>123772</v>
      </c>
      <c r="B3338" s="706" t="s">
        <v>5038</v>
      </c>
      <c r="D3338" s="706" t="s">
        <v>1841</v>
      </c>
      <c r="H3338" s="1191"/>
      <c r="I3338" s="706" t="s">
        <v>4961</v>
      </c>
    </row>
    <row r="3339" spans="1:9">
      <c r="A3339" s="706">
        <v>123773</v>
      </c>
      <c r="B3339" s="706" t="s">
        <v>5039</v>
      </c>
      <c r="D3339" s="706" t="s">
        <v>1841</v>
      </c>
      <c r="H3339" s="1191"/>
      <c r="I3339" s="706" t="s">
        <v>4961</v>
      </c>
    </row>
    <row r="3340" spans="1:9">
      <c r="A3340" s="706">
        <v>123774</v>
      </c>
      <c r="B3340" s="706" t="s">
        <v>5040</v>
      </c>
      <c r="D3340" s="706" t="s">
        <v>1841</v>
      </c>
      <c r="H3340" s="1191"/>
      <c r="I3340" s="706" t="s">
        <v>4961</v>
      </c>
    </row>
    <row r="3341" spans="1:9">
      <c r="A3341" s="706">
        <v>123775</v>
      </c>
      <c r="B3341" s="706" t="s">
        <v>5041</v>
      </c>
      <c r="D3341" s="706" t="s">
        <v>1841</v>
      </c>
      <c r="H3341" s="1191"/>
      <c r="I3341" s="706" t="s">
        <v>4961</v>
      </c>
    </row>
    <row r="3342" spans="1:9">
      <c r="A3342" s="706">
        <v>123776</v>
      </c>
      <c r="B3342" s="706" t="s">
        <v>5042</v>
      </c>
      <c r="D3342" s="706" t="s">
        <v>1841</v>
      </c>
      <c r="H3342" s="1191"/>
      <c r="I3342" s="706" t="s">
        <v>4961</v>
      </c>
    </row>
    <row r="3343" spans="1:9">
      <c r="A3343" s="706">
        <v>123777</v>
      </c>
      <c r="B3343" s="706" t="s">
        <v>5043</v>
      </c>
      <c r="D3343" s="706" t="s">
        <v>1841</v>
      </c>
      <c r="H3343" s="1191"/>
      <c r="I3343" s="706" t="s">
        <v>4961</v>
      </c>
    </row>
    <row r="3344" spans="1:9">
      <c r="A3344" s="706">
        <v>123778</v>
      </c>
      <c r="B3344" s="706" t="s">
        <v>5044</v>
      </c>
      <c r="D3344" s="706" t="s">
        <v>1841</v>
      </c>
      <c r="H3344" s="1191"/>
      <c r="I3344" s="706" t="s">
        <v>4961</v>
      </c>
    </row>
    <row r="3345" spans="1:9">
      <c r="A3345" s="706">
        <v>123779</v>
      </c>
      <c r="B3345" s="706" t="s">
        <v>5045</v>
      </c>
      <c r="D3345" s="706" t="s">
        <v>1841</v>
      </c>
      <c r="H3345" s="1191"/>
      <c r="I3345" s="706" t="s">
        <v>4961</v>
      </c>
    </row>
    <row r="3346" spans="1:9">
      <c r="A3346" s="706">
        <v>123780</v>
      </c>
      <c r="B3346" s="706" t="s">
        <v>5046</v>
      </c>
      <c r="D3346" s="706" t="s">
        <v>1841</v>
      </c>
      <c r="H3346" s="1191"/>
      <c r="I3346" s="706" t="s">
        <v>4961</v>
      </c>
    </row>
    <row r="3347" spans="1:9">
      <c r="A3347" s="706">
        <v>123781</v>
      </c>
      <c r="B3347" s="706" t="s">
        <v>5047</v>
      </c>
      <c r="D3347" s="706" t="s">
        <v>1841</v>
      </c>
      <c r="H3347" s="1191"/>
      <c r="I3347" s="706" t="s">
        <v>4961</v>
      </c>
    </row>
    <row r="3348" spans="1:9">
      <c r="A3348" s="706">
        <v>123782</v>
      </c>
      <c r="B3348" s="706" t="s">
        <v>5048</v>
      </c>
      <c r="D3348" s="706" t="s">
        <v>1841</v>
      </c>
      <c r="H3348" s="1191"/>
      <c r="I3348" s="706" t="s">
        <v>4961</v>
      </c>
    </row>
    <row r="3349" spans="1:9">
      <c r="A3349" s="706">
        <v>123783</v>
      </c>
      <c r="B3349" s="706" t="s">
        <v>5049</v>
      </c>
      <c r="D3349" s="706" t="s">
        <v>1841</v>
      </c>
      <c r="H3349" s="1191"/>
      <c r="I3349" s="706" t="s">
        <v>4961</v>
      </c>
    </row>
    <row r="3350" spans="1:9">
      <c r="A3350" s="706">
        <v>123784</v>
      </c>
      <c r="B3350" s="706" t="s">
        <v>5050</v>
      </c>
      <c r="D3350" s="706" t="s">
        <v>1841</v>
      </c>
      <c r="H3350" s="1191"/>
      <c r="I3350" s="706" t="s">
        <v>4961</v>
      </c>
    </row>
    <row r="3351" spans="1:9">
      <c r="A3351" s="706">
        <v>123785</v>
      </c>
      <c r="B3351" s="706" t="s">
        <v>5051</v>
      </c>
      <c r="D3351" s="706" t="s">
        <v>1841</v>
      </c>
      <c r="H3351" s="1191"/>
      <c r="I3351" s="706" t="s">
        <v>4961</v>
      </c>
    </row>
    <row r="3352" spans="1:9">
      <c r="A3352" s="706">
        <v>123786</v>
      </c>
      <c r="B3352" s="706" t="s">
        <v>5052</v>
      </c>
      <c r="D3352" s="706" t="s">
        <v>1841</v>
      </c>
      <c r="H3352" s="1191"/>
      <c r="I3352" s="706" t="s">
        <v>4961</v>
      </c>
    </row>
    <row r="3353" spans="1:9">
      <c r="A3353" s="706">
        <v>123787</v>
      </c>
      <c r="B3353" s="706" t="s">
        <v>5053</v>
      </c>
      <c r="D3353" s="706" t="s">
        <v>1841</v>
      </c>
      <c r="H3353" s="1191"/>
      <c r="I3353" s="706" t="s">
        <v>4961</v>
      </c>
    </row>
    <row r="3354" spans="1:9">
      <c r="A3354" s="706">
        <v>123788</v>
      </c>
      <c r="B3354" s="706" t="s">
        <v>5054</v>
      </c>
      <c r="D3354" s="706" t="s">
        <v>1841</v>
      </c>
      <c r="H3354" s="1191"/>
      <c r="I3354" s="706" t="s">
        <v>4961</v>
      </c>
    </row>
    <row r="3355" spans="1:9">
      <c r="A3355" s="706">
        <v>123789</v>
      </c>
      <c r="B3355" s="706" t="s">
        <v>5055</v>
      </c>
      <c r="C3355" s="706" t="s">
        <v>8188</v>
      </c>
      <c r="D3355" s="706" t="s">
        <v>1841</v>
      </c>
      <c r="E3355" s="706">
        <v>23.096599999999999</v>
      </c>
      <c r="F3355" s="706" t="s">
        <v>28</v>
      </c>
      <c r="G3355" s="706">
        <v>411030</v>
      </c>
      <c r="H3355" s="1191">
        <v>45925</v>
      </c>
      <c r="I3355" s="706" t="s">
        <v>4961</v>
      </c>
    </row>
    <row r="3356" spans="1:9">
      <c r="A3356" s="706">
        <v>123790</v>
      </c>
      <c r="B3356" s="706" t="s">
        <v>5056</v>
      </c>
      <c r="D3356" s="706" t="s">
        <v>1841</v>
      </c>
      <c r="H3356" s="1191"/>
      <c r="I3356" s="706" t="s">
        <v>4961</v>
      </c>
    </row>
    <row r="3357" spans="1:9">
      <c r="A3357" s="706">
        <v>123791</v>
      </c>
      <c r="B3357" s="706" t="s">
        <v>5057</v>
      </c>
      <c r="D3357" s="706" t="s">
        <v>1841</v>
      </c>
      <c r="H3357" s="1191"/>
      <c r="I3357" s="706" t="s">
        <v>4961</v>
      </c>
    </row>
    <row r="3358" spans="1:9">
      <c r="A3358" s="706">
        <v>123792</v>
      </c>
      <c r="B3358" s="706" t="s">
        <v>5058</v>
      </c>
      <c r="D3358" s="706" t="s">
        <v>1841</v>
      </c>
      <c r="H3358" s="1191"/>
      <c r="I3358" s="706" t="s">
        <v>4961</v>
      </c>
    </row>
    <row r="3359" spans="1:9">
      <c r="A3359" s="706">
        <v>123793</v>
      </c>
      <c r="B3359" s="706" t="s">
        <v>5059</v>
      </c>
      <c r="D3359" s="706" t="s">
        <v>1841</v>
      </c>
      <c r="H3359" s="1191"/>
      <c r="I3359" s="706" t="s">
        <v>4961</v>
      </c>
    </row>
    <row r="3360" spans="1:9">
      <c r="A3360" s="706">
        <v>123794</v>
      </c>
      <c r="B3360" s="706" t="s">
        <v>5060</v>
      </c>
      <c r="D3360" s="706" t="s">
        <v>1841</v>
      </c>
      <c r="H3360" s="1191"/>
      <c r="I3360" s="706" t="s">
        <v>4961</v>
      </c>
    </row>
    <row r="3361" spans="1:9">
      <c r="A3361" s="706">
        <v>123795</v>
      </c>
      <c r="B3361" s="706" t="s">
        <v>5061</v>
      </c>
      <c r="D3361" s="706" t="s">
        <v>1841</v>
      </c>
      <c r="H3361" s="1191"/>
      <c r="I3361" s="706" t="s">
        <v>4961</v>
      </c>
    </row>
    <row r="3362" spans="1:9">
      <c r="A3362" s="706">
        <v>123796</v>
      </c>
      <c r="B3362" s="706" t="s">
        <v>5062</v>
      </c>
      <c r="D3362" s="706" t="s">
        <v>1841</v>
      </c>
      <c r="H3362" s="1191"/>
      <c r="I3362" s="706" t="s">
        <v>4961</v>
      </c>
    </row>
    <row r="3363" spans="1:9">
      <c r="A3363" s="706">
        <v>123797</v>
      </c>
      <c r="B3363" s="706" t="s">
        <v>5063</v>
      </c>
      <c r="D3363" s="706" t="s">
        <v>1841</v>
      </c>
      <c r="H3363" s="1191"/>
      <c r="I3363" s="706" t="s">
        <v>4961</v>
      </c>
    </row>
    <row r="3364" spans="1:9">
      <c r="A3364" s="706">
        <v>123798</v>
      </c>
      <c r="B3364" s="706" t="s">
        <v>5064</v>
      </c>
      <c r="D3364" s="706" t="s">
        <v>1841</v>
      </c>
      <c r="H3364" s="1191"/>
      <c r="I3364" s="706" t="s">
        <v>4961</v>
      </c>
    </row>
    <row r="3365" spans="1:9">
      <c r="A3365" s="706">
        <v>123799</v>
      </c>
      <c r="B3365" s="706" t="s">
        <v>5065</v>
      </c>
      <c r="D3365" s="706" t="s">
        <v>1841</v>
      </c>
      <c r="H3365" s="1191"/>
      <c r="I3365" s="706" t="s">
        <v>4961</v>
      </c>
    </row>
    <row r="3366" spans="1:9">
      <c r="A3366" s="706">
        <v>123800</v>
      </c>
      <c r="B3366" s="706" t="s">
        <v>5066</v>
      </c>
      <c r="D3366" s="706" t="s">
        <v>1841</v>
      </c>
      <c r="H3366" s="1191"/>
      <c r="I3366" s="706" t="s">
        <v>4961</v>
      </c>
    </row>
    <row r="3367" spans="1:9">
      <c r="A3367" s="706">
        <v>123801</v>
      </c>
      <c r="B3367" s="706" t="s">
        <v>8200</v>
      </c>
      <c r="C3367" s="706" t="s">
        <v>8188</v>
      </c>
      <c r="D3367" s="706" t="s">
        <v>1841</v>
      </c>
      <c r="E3367" s="706">
        <v>36.054099999999998</v>
      </c>
      <c r="F3367" s="706" t="s">
        <v>28</v>
      </c>
      <c r="G3367" s="706">
        <v>411030</v>
      </c>
      <c r="H3367" s="1191">
        <v>45925</v>
      </c>
      <c r="I3367" s="706" t="s">
        <v>4961</v>
      </c>
    </row>
    <row r="3368" spans="1:9">
      <c r="A3368" s="706">
        <v>125753</v>
      </c>
      <c r="B3368" s="706" t="s">
        <v>5067</v>
      </c>
      <c r="D3368" s="706" t="s">
        <v>1841</v>
      </c>
      <c r="H3368" s="1191"/>
      <c r="I3368" s="706" t="s">
        <v>5068</v>
      </c>
    </row>
    <row r="3369" spans="1:9">
      <c r="A3369" s="706">
        <v>125754</v>
      </c>
      <c r="B3369" s="706" t="s">
        <v>5069</v>
      </c>
      <c r="D3369" s="706" t="s">
        <v>1841</v>
      </c>
      <c r="H3369" s="1191"/>
      <c r="I3369" s="706" t="s">
        <v>5068</v>
      </c>
    </row>
    <row r="3370" spans="1:9">
      <c r="A3370" s="706">
        <v>125755</v>
      </c>
      <c r="B3370" s="706" t="s">
        <v>5070</v>
      </c>
      <c r="D3370" s="706" t="s">
        <v>1841</v>
      </c>
      <c r="H3370" s="1191"/>
      <c r="I3370" s="706" t="s">
        <v>5068</v>
      </c>
    </row>
    <row r="3371" spans="1:9">
      <c r="A3371" s="706">
        <v>125756</v>
      </c>
      <c r="B3371" s="706" t="s">
        <v>5071</v>
      </c>
      <c r="D3371" s="706" t="s">
        <v>1841</v>
      </c>
      <c r="H3371" s="1191"/>
      <c r="I3371" s="706" t="s">
        <v>5068</v>
      </c>
    </row>
    <row r="3372" spans="1:9">
      <c r="A3372" s="706">
        <v>125757</v>
      </c>
      <c r="B3372" s="706" t="s">
        <v>5072</v>
      </c>
      <c r="D3372" s="706" t="s">
        <v>1841</v>
      </c>
      <c r="H3372" s="1191"/>
      <c r="I3372" s="706" t="s">
        <v>5068</v>
      </c>
    </row>
    <row r="3373" spans="1:9">
      <c r="A3373" s="706">
        <v>125758</v>
      </c>
      <c r="B3373" s="706" t="s">
        <v>5073</v>
      </c>
      <c r="D3373" s="706" t="s">
        <v>1841</v>
      </c>
      <c r="H3373" s="1191"/>
      <c r="I3373" s="706" t="s">
        <v>5068</v>
      </c>
    </row>
    <row r="3374" spans="1:9">
      <c r="A3374" s="706">
        <v>125759</v>
      </c>
      <c r="B3374" s="706" t="s">
        <v>5074</v>
      </c>
      <c r="D3374" s="706" t="s">
        <v>1841</v>
      </c>
      <c r="H3374" s="1191"/>
      <c r="I3374" s="706" t="s">
        <v>5068</v>
      </c>
    </row>
    <row r="3375" spans="1:9">
      <c r="A3375" s="706">
        <v>125760</v>
      </c>
      <c r="B3375" s="706" t="s">
        <v>5075</v>
      </c>
      <c r="D3375" s="706" t="s">
        <v>1841</v>
      </c>
      <c r="H3375" s="1191"/>
      <c r="I3375" s="706" t="s">
        <v>5068</v>
      </c>
    </row>
    <row r="3376" spans="1:9">
      <c r="A3376" s="706">
        <v>125761</v>
      </c>
      <c r="B3376" s="706" t="s">
        <v>5076</v>
      </c>
      <c r="D3376" s="706" t="s">
        <v>1841</v>
      </c>
      <c r="H3376" s="1191"/>
      <c r="I3376" s="706" t="s">
        <v>5068</v>
      </c>
    </row>
    <row r="3377" spans="1:9">
      <c r="A3377" s="706">
        <v>125762</v>
      </c>
      <c r="B3377" s="706" t="s">
        <v>5077</v>
      </c>
      <c r="D3377" s="706" t="s">
        <v>1841</v>
      </c>
      <c r="H3377" s="1191"/>
      <c r="I3377" s="706" t="s">
        <v>5068</v>
      </c>
    </row>
    <row r="3378" spans="1:9">
      <c r="A3378" s="706">
        <v>125763</v>
      </c>
      <c r="B3378" s="706" t="s">
        <v>5078</v>
      </c>
      <c r="D3378" s="706" t="s">
        <v>1841</v>
      </c>
      <c r="H3378" s="1191"/>
      <c r="I3378" s="706" t="s">
        <v>5068</v>
      </c>
    </row>
    <row r="3379" spans="1:9">
      <c r="A3379" s="706">
        <v>125764</v>
      </c>
      <c r="B3379" s="706" t="s">
        <v>5079</v>
      </c>
      <c r="D3379" s="706" t="s">
        <v>1841</v>
      </c>
      <c r="H3379" s="1191"/>
      <c r="I3379" s="706" t="s">
        <v>5068</v>
      </c>
    </row>
    <row r="3380" spans="1:9">
      <c r="A3380" s="706">
        <v>125765</v>
      </c>
      <c r="B3380" s="706" t="s">
        <v>5080</v>
      </c>
      <c r="D3380" s="706" t="s">
        <v>1841</v>
      </c>
      <c r="H3380" s="1191"/>
      <c r="I3380" s="706" t="s">
        <v>5068</v>
      </c>
    </row>
    <row r="3381" spans="1:9">
      <c r="A3381" s="706">
        <v>125766</v>
      </c>
      <c r="B3381" s="706" t="s">
        <v>5081</v>
      </c>
      <c r="D3381" s="706" t="s">
        <v>1841</v>
      </c>
      <c r="H3381" s="1191"/>
      <c r="I3381" s="706" t="s">
        <v>5068</v>
      </c>
    </row>
    <row r="3382" spans="1:9">
      <c r="A3382" s="706">
        <v>125767</v>
      </c>
      <c r="B3382" s="706" t="s">
        <v>5082</v>
      </c>
      <c r="D3382" s="706" t="s">
        <v>1841</v>
      </c>
      <c r="H3382" s="1191"/>
      <c r="I3382" s="706" t="s">
        <v>5068</v>
      </c>
    </row>
    <row r="3383" spans="1:9">
      <c r="A3383" s="706">
        <v>125768</v>
      </c>
      <c r="B3383" s="706" t="s">
        <v>5083</v>
      </c>
      <c r="D3383" s="706" t="s">
        <v>1841</v>
      </c>
      <c r="H3383" s="1191"/>
      <c r="I3383" s="706" t="s">
        <v>5068</v>
      </c>
    </row>
    <row r="3384" spans="1:9">
      <c r="A3384" s="706">
        <v>125769</v>
      </c>
      <c r="B3384" s="706" t="s">
        <v>5084</v>
      </c>
      <c r="C3384" s="706" t="s">
        <v>5085</v>
      </c>
      <c r="D3384" s="706" t="s">
        <v>1841</v>
      </c>
      <c r="E3384" s="706">
        <v>3.7949999999999999</v>
      </c>
      <c r="F3384" s="706" t="s">
        <v>28</v>
      </c>
      <c r="G3384" s="706">
        <v>400915</v>
      </c>
      <c r="H3384" s="1191">
        <v>44019</v>
      </c>
      <c r="I3384" s="706" t="s">
        <v>5068</v>
      </c>
    </row>
    <row r="3385" spans="1:9">
      <c r="A3385" s="706">
        <v>125770</v>
      </c>
      <c r="B3385" s="706" t="s">
        <v>5086</v>
      </c>
      <c r="D3385" s="706" t="s">
        <v>1841</v>
      </c>
      <c r="H3385" s="1191"/>
      <c r="I3385" s="706" t="s">
        <v>5068</v>
      </c>
    </row>
    <row r="3386" spans="1:9">
      <c r="A3386" s="706">
        <v>125771</v>
      </c>
      <c r="B3386" s="706" t="s">
        <v>5087</v>
      </c>
      <c r="D3386" s="706" t="s">
        <v>1841</v>
      </c>
      <c r="H3386" s="1191"/>
      <c r="I3386" s="706" t="s">
        <v>5068</v>
      </c>
    </row>
    <row r="3387" spans="1:9">
      <c r="A3387" s="706">
        <v>125772</v>
      </c>
      <c r="B3387" s="706" t="s">
        <v>5088</v>
      </c>
      <c r="C3387" s="706" t="s">
        <v>8188</v>
      </c>
      <c r="D3387" s="706" t="s">
        <v>1841</v>
      </c>
      <c r="E3387" s="706">
        <v>5.452</v>
      </c>
      <c r="F3387" s="706" t="s">
        <v>28</v>
      </c>
      <c r="G3387" s="706">
        <v>410666</v>
      </c>
      <c r="H3387" s="1191">
        <v>45867</v>
      </c>
      <c r="I3387" s="706" t="s">
        <v>5068</v>
      </c>
    </row>
    <row r="3388" spans="1:9">
      <c r="A3388" s="706">
        <v>125773</v>
      </c>
      <c r="B3388" s="706" t="s">
        <v>5089</v>
      </c>
      <c r="D3388" s="706" t="s">
        <v>1841</v>
      </c>
      <c r="H3388" s="1191"/>
      <c r="I3388" s="706" t="s">
        <v>5068</v>
      </c>
    </row>
    <row r="3389" spans="1:9">
      <c r="A3389" s="706">
        <v>125774</v>
      </c>
      <c r="B3389" s="706" t="s">
        <v>5090</v>
      </c>
      <c r="D3389" s="706" t="s">
        <v>1841</v>
      </c>
      <c r="H3389" s="1191"/>
      <c r="I3389" s="706" t="s">
        <v>5068</v>
      </c>
    </row>
    <row r="3390" spans="1:9">
      <c r="A3390" s="706">
        <v>125775</v>
      </c>
      <c r="B3390" s="706" t="s">
        <v>5091</v>
      </c>
      <c r="D3390" s="706" t="s">
        <v>1841</v>
      </c>
      <c r="H3390" s="1191"/>
      <c r="I3390" s="706" t="s">
        <v>5068</v>
      </c>
    </row>
    <row r="3391" spans="1:9">
      <c r="A3391" s="706">
        <v>125776</v>
      </c>
      <c r="B3391" s="706" t="s">
        <v>5092</v>
      </c>
      <c r="D3391" s="706" t="s">
        <v>1841</v>
      </c>
      <c r="H3391" s="1191"/>
      <c r="I3391" s="706" t="s">
        <v>5068</v>
      </c>
    </row>
    <row r="3392" spans="1:9">
      <c r="A3392" s="706">
        <v>125777</v>
      </c>
      <c r="B3392" s="706" t="s">
        <v>5093</v>
      </c>
      <c r="D3392" s="706" t="s">
        <v>1841</v>
      </c>
      <c r="H3392" s="1191"/>
      <c r="I3392" s="706" t="s">
        <v>5068</v>
      </c>
    </row>
    <row r="3393" spans="1:9">
      <c r="A3393" s="706">
        <v>125778</v>
      </c>
      <c r="B3393" s="706" t="s">
        <v>5094</v>
      </c>
      <c r="D3393" s="706" t="s">
        <v>1841</v>
      </c>
      <c r="H3393" s="1191"/>
      <c r="I3393" s="706" t="s">
        <v>5068</v>
      </c>
    </row>
    <row r="3394" spans="1:9">
      <c r="A3394" s="706">
        <v>125779</v>
      </c>
      <c r="B3394" s="706" t="s">
        <v>5095</v>
      </c>
      <c r="D3394" s="706" t="s">
        <v>1841</v>
      </c>
      <c r="H3394" s="1191"/>
      <c r="I3394" s="706" t="s">
        <v>5068</v>
      </c>
    </row>
    <row r="3395" spans="1:9">
      <c r="A3395" s="706">
        <v>125780</v>
      </c>
      <c r="B3395" s="706" t="s">
        <v>5096</v>
      </c>
      <c r="D3395" s="706" t="s">
        <v>1841</v>
      </c>
      <c r="H3395" s="1191"/>
      <c r="I3395" s="706" t="s">
        <v>5068</v>
      </c>
    </row>
    <row r="3396" spans="1:9">
      <c r="A3396" s="706">
        <v>125781</v>
      </c>
      <c r="B3396" s="706" t="s">
        <v>5097</v>
      </c>
      <c r="D3396" s="706" t="s">
        <v>1841</v>
      </c>
      <c r="H3396" s="1191"/>
      <c r="I3396" s="706" t="s">
        <v>5068</v>
      </c>
    </row>
    <row r="3397" spans="1:9">
      <c r="A3397" s="706">
        <v>125782</v>
      </c>
      <c r="B3397" s="706" t="s">
        <v>5098</v>
      </c>
      <c r="D3397" s="706" t="s">
        <v>1841</v>
      </c>
      <c r="H3397" s="1191"/>
      <c r="I3397" s="706" t="s">
        <v>5068</v>
      </c>
    </row>
    <row r="3398" spans="1:9">
      <c r="A3398" s="706">
        <v>125783</v>
      </c>
      <c r="B3398" s="706" t="s">
        <v>5099</v>
      </c>
      <c r="D3398" s="706" t="s">
        <v>1841</v>
      </c>
      <c r="H3398" s="1191"/>
      <c r="I3398" s="706" t="s">
        <v>5068</v>
      </c>
    </row>
    <row r="3399" spans="1:9">
      <c r="A3399" s="706">
        <v>125784</v>
      </c>
      <c r="B3399" s="706" t="s">
        <v>5100</v>
      </c>
      <c r="D3399" s="706" t="s">
        <v>1841</v>
      </c>
      <c r="H3399" s="1191"/>
      <c r="I3399" s="706" t="s">
        <v>5068</v>
      </c>
    </row>
    <row r="3400" spans="1:9">
      <c r="A3400" s="706">
        <v>125785</v>
      </c>
      <c r="B3400" s="706" t="s">
        <v>5101</v>
      </c>
      <c r="D3400" s="706" t="s">
        <v>1841</v>
      </c>
      <c r="H3400" s="1191"/>
      <c r="I3400" s="706" t="s">
        <v>5068</v>
      </c>
    </row>
    <row r="3401" spans="1:9">
      <c r="A3401" s="706">
        <v>125786</v>
      </c>
      <c r="B3401" s="706" t="s">
        <v>5102</v>
      </c>
      <c r="D3401" s="706" t="s">
        <v>1841</v>
      </c>
      <c r="H3401" s="1191"/>
      <c r="I3401" s="706" t="s">
        <v>5068</v>
      </c>
    </row>
    <row r="3402" spans="1:9">
      <c r="A3402" s="706">
        <v>125787</v>
      </c>
      <c r="B3402" s="706" t="s">
        <v>5103</v>
      </c>
      <c r="D3402" s="706" t="s">
        <v>1841</v>
      </c>
      <c r="H3402" s="1191"/>
      <c r="I3402" s="706" t="s">
        <v>5068</v>
      </c>
    </row>
    <row r="3403" spans="1:9">
      <c r="A3403" s="706">
        <v>125788</v>
      </c>
      <c r="B3403" s="706" t="s">
        <v>5104</v>
      </c>
      <c r="D3403" s="706" t="s">
        <v>1841</v>
      </c>
      <c r="H3403" s="1191"/>
      <c r="I3403" s="706" t="s">
        <v>5068</v>
      </c>
    </row>
    <row r="3404" spans="1:9">
      <c r="A3404" s="706">
        <v>125789</v>
      </c>
      <c r="B3404" s="706" t="s">
        <v>5105</v>
      </c>
      <c r="D3404" s="706" t="s">
        <v>1841</v>
      </c>
      <c r="H3404" s="1191"/>
      <c r="I3404" s="706" t="s">
        <v>5068</v>
      </c>
    </row>
    <row r="3405" spans="1:9">
      <c r="A3405" s="706">
        <v>125790</v>
      </c>
      <c r="B3405" s="706" t="s">
        <v>5106</v>
      </c>
      <c r="D3405" s="706" t="s">
        <v>1841</v>
      </c>
      <c r="H3405" s="1191"/>
      <c r="I3405" s="706" t="s">
        <v>5068</v>
      </c>
    </row>
    <row r="3406" spans="1:9">
      <c r="A3406" s="706">
        <v>125791</v>
      </c>
      <c r="B3406" s="706" t="s">
        <v>5107</v>
      </c>
      <c r="D3406" s="706" t="s">
        <v>1841</v>
      </c>
      <c r="H3406" s="1191"/>
      <c r="I3406" s="706" t="s">
        <v>5068</v>
      </c>
    </row>
    <row r="3407" spans="1:9">
      <c r="A3407" s="706">
        <v>125792</v>
      </c>
      <c r="B3407" s="706" t="s">
        <v>5108</v>
      </c>
      <c r="C3407" s="706" t="s">
        <v>8188</v>
      </c>
      <c r="D3407" s="706" t="s">
        <v>1841</v>
      </c>
      <c r="E3407" s="706">
        <v>14.9</v>
      </c>
      <c r="F3407" s="706" t="s">
        <v>28</v>
      </c>
      <c r="G3407" s="706">
        <v>403034</v>
      </c>
      <c r="H3407" s="1191">
        <v>44321</v>
      </c>
      <c r="I3407" s="706" t="s">
        <v>5068</v>
      </c>
    </row>
    <row r="3408" spans="1:9">
      <c r="A3408" s="706">
        <v>125793</v>
      </c>
      <c r="B3408" s="706" t="s">
        <v>5109</v>
      </c>
      <c r="D3408" s="706" t="s">
        <v>1841</v>
      </c>
      <c r="H3408" s="1191"/>
      <c r="I3408" s="706" t="s">
        <v>5068</v>
      </c>
    </row>
    <row r="3409" spans="1:9">
      <c r="A3409" s="706">
        <v>125794</v>
      </c>
      <c r="B3409" s="706" t="s">
        <v>5110</v>
      </c>
      <c r="D3409" s="706" t="s">
        <v>1841</v>
      </c>
      <c r="H3409" s="1191"/>
      <c r="I3409" s="706" t="s">
        <v>5068</v>
      </c>
    </row>
    <row r="3410" spans="1:9">
      <c r="A3410" s="706">
        <v>125795</v>
      </c>
      <c r="B3410" s="706" t="s">
        <v>5111</v>
      </c>
      <c r="D3410" s="706" t="s">
        <v>1841</v>
      </c>
      <c r="H3410" s="1191"/>
      <c r="I3410" s="706" t="s">
        <v>5068</v>
      </c>
    </row>
    <row r="3411" spans="1:9">
      <c r="A3411" s="706">
        <v>125796</v>
      </c>
      <c r="B3411" s="706" t="s">
        <v>5112</v>
      </c>
      <c r="C3411" s="706" t="s">
        <v>8188</v>
      </c>
      <c r="D3411" s="706" t="s">
        <v>1841</v>
      </c>
      <c r="E3411" s="706">
        <v>4.22</v>
      </c>
      <c r="F3411" s="706" t="s">
        <v>28</v>
      </c>
      <c r="G3411" s="706">
        <v>411315</v>
      </c>
      <c r="H3411" s="1191">
        <v>45985</v>
      </c>
      <c r="I3411" s="706" t="s">
        <v>5068</v>
      </c>
    </row>
    <row r="3412" spans="1:9">
      <c r="A3412" s="706">
        <v>125797</v>
      </c>
      <c r="B3412" s="706" t="s">
        <v>5113</v>
      </c>
      <c r="D3412" s="706" t="s">
        <v>1841</v>
      </c>
      <c r="H3412" s="1191"/>
      <c r="I3412" s="706" t="s">
        <v>5068</v>
      </c>
    </row>
    <row r="3413" spans="1:9">
      <c r="A3413" s="706">
        <v>125798</v>
      </c>
      <c r="B3413" s="706" t="s">
        <v>5114</v>
      </c>
      <c r="D3413" s="706" t="s">
        <v>1841</v>
      </c>
      <c r="H3413" s="1191"/>
      <c r="I3413" s="706" t="s">
        <v>5068</v>
      </c>
    </row>
    <row r="3414" spans="1:9">
      <c r="A3414" s="706">
        <v>125799</v>
      </c>
      <c r="B3414" s="706" t="s">
        <v>5115</v>
      </c>
      <c r="D3414" s="706" t="s">
        <v>1841</v>
      </c>
      <c r="H3414" s="1191"/>
      <c r="I3414" s="706" t="s">
        <v>5068</v>
      </c>
    </row>
    <row r="3415" spans="1:9">
      <c r="A3415" s="706">
        <v>125800</v>
      </c>
      <c r="B3415" s="706" t="s">
        <v>5116</v>
      </c>
      <c r="D3415" s="706" t="s">
        <v>1841</v>
      </c>
      <c r="H3415" s="1191"/>
      <c r="I3415" s="706" t="s">
        <v>5068</v>
      </c>
    </row>
    <row r="3416" spans="1:9">
      <c r="A3416" s="706">
        <v>128600</v>
      </c>
      <c r="B3416" s="706" t="s">
        <v>5117</v>
      </c>
      <c r="D3416" s="706" t="s">
        <v>1841</v>
      </c>
      <c r="H3416" s="1191"/>
      <c r="I3416" s="706" t="s">
        <v>4961</v>
      </c>
    </row>
    <row r="3417" spans="1:9">
      <c r="A3417" s="706">
        <v>128601</v>
      </c>
      <c r="B3417" s="706" t="s">
        <v>5118</v>
      </c>
      <c r="C3417" s="706" t="s">
        <v>8188</v>
      </c>
      <c r="D3417" s="706" t="s">
        <v>1841</v>
      </c>
      <c r="E3417" s="706">
        <v>32</v>
      </c>
      <c r="F3417" s="706" t="s">
        <v>28</v>
      </c>
      <c r="G3417" s="706">
        <v>404053</v>
      </c>
      <c r="H3417" s="1191">
        <v>44501</v>
      </c>
      <c r="I3417" s="706" t="s">
        <v>4961</v>
      </c>
    </row>
    <row r="3418" spans="1:9">
      <c r="A3418" s="706">
        <v>128778</v>
      </c>
      <c r="B3418" s="706" t="s">
        <v>5119</v>
      </c>
      <c r="D3418" s="706" t="s">
        <v>1841</v>
      </c>
      <c r="H3418" s="1191"/>
      <c r="I3418" s="706" t="s">
        <v>4961</v>
      </c>
    </row>
    <row r="3419" spans="1:9">
      <c r="A3419" s="706">
        <v>128779</v>
      </c>
      <c r="B3419" s="706" t="s">
        <v>5120</v>
      </c>
      <c r="D3419" s="706" t="s">
        <v>1841</v>
      </c>
      <c r="H3419" s="1191"/>
      <c r="I3419" s="706" t="s">
        <v>4961</v>
      </c>
    </row>
    <row r="3420" spans="1:9">
      <c r="A3420" s="706">
        <v>128780</v>
      </c>
      <c r="B3420" s="706" t="s">
        <v>5121</v>
      </c>
      <c r="D3420" s="706" t="s">
        <v>1841</v>
      </c>
      <c r="H3420" s="1191"/>
      <c r="I3420" s="706" t="s">
        <v>4961</v>
      </c>
    </row>
    <row r="3421" spans="1:9">
      <c r="A3421" s="706">
        <v>128781</v>
      </c>
      <c r="B3421" s="706" t="s">
        <v>5122</v>
      </c>
      <c r="D3421" s="706" t="s">
        <v>1841</v>
      </c>
      <c r="H3421" s="1191"/>
      <c r="I3421" s="706" t="s">
        <v>4961</v>
      </c>
    </row>
    <row r="3422" spans="1:9">
      <c r="A3422" s="706">
        <v>128782</v>
      </c>
      <c r="B3422" s="706" t="s">
        <v>5123</v>
      </c>
      <c r="D3422" s="706" t="s">
        <v>1841</v>
      </c>
      <c r="H3422" s="1191"/>
      <c r="I3422" s="706" t="s">
        <v>4961</v>
      </c>
    </row>
    <row r="3423" spans="1:9">
      <c r="A3423" s="706">
        <v>128783</v>
      </c>
      <c r="B3423" s="706" t="s">
        <v>5124</v>
      </c>
      <c r="D3423" s="706" t="s">
        <v>1841</v>
      </c>
      <c r="H3423" s="1191"/>
      <c r="I3423" s="706" t="s">
        <v>4961</v>
      </c>
    </row>
    <row r="3424" spans="1:9">
      <c r="A3424" s="706">
        <v>128784</v>
      </c>
      <c r="B3424" s="706" t="s">
        <v>5125</v>
      </c>
      <c r="C3424" s="706" t="s">
        <v>8188</v>
      </c>
      <c r="D3424" s="706" t="s">
        <v>1841</v>
      </c>
      <c r="E3424" s="706">
        <v>6.8570000000000002</v>
      </c>
      <c r="F3424" s="706" t="s">
        <v>28</v>
      </c>
      <c r="G3424" s="706">
        <v>405156</v>
      </c>
      <c r="H3424" s="1191">
        <v>44727</v>
      </c>
      <c r="I3424" s="706" t="s">
        <v>4961</v>
      </c>
    </row>
    <row r="3425" spans="1:9">
      <c r="A3425" s="706">
        <v>128785</v>
      </c>
      <c r="B3425" s="706" t="s">
        <v>5126</v>
      </c>
      <c r="D3425" s="706" t="s">
        <v>1841</v>
      </c>
      <c r="H3425" s="1191"/>
      <c r="I3425" s="706" t="s">
        <v>4961</v>
      </c>
    </row>
    <row r="3426" spans="1:9">
      <c r="A3426" s="706">
        <v>128786</v>
      </c>
      <c r="B3426" s="706" t="s">
        <v>5127</v>
      </c>
      <c r="D3426" s="706" t="s">
        <v>1841</v>
      </c>
      <c r="H3426" s="1191"/>
      <c r="I3426" s="706" t="s">
        <v>4961</v>
      </c>
    </row>
    <row r="3427" spans="1:9">
      <c r="A3427" s="706">
        <v>128787</v>
      </c>
      <c r="B3427" s="706" t="s">
        <v>5128</v>
      </c>
      <c r="D3427" s="706" t="s">
        <v>1841</v>
      </c>
      <c r="H3427" s="1191"/>
      <c r="I3427" s="706" t="s">
        <v>4961</v>
      </c>
    </row>
    <row r="3428" spans="1:9">
      <c r="A3428" s="706">
        <v>128788</v>
      </c>
      <c r="B3428" s="706" t="s">
        <v>5129</v>
      </c>
      <c r="D3428" s="706" t="s">
        <v>1841</v>
      </c>
      <c r="H3428" s="1191"/>
      <c r="I3428" s="706" t="s">
        <v>4961</v>
      </c>
    </row>
    <row r="3429" spans="1:9">
      <c r="A3429" s="706">
        <v>128789</v>
      </c>
      <c r="B3429" s="706" t="s">
        <v>5130</v>
      </c>
      <c r="D3429" s="706" t="s">
        <v>1841</v>
      </c>
      <c r="H3429" s="1191"/>
      <c r="I3429" s="706" t="s">
        <v>4961</v>
      </c>
    </row>
    <row r="3430" spans="1:9">
      <c r="A3430" s="706">
        <v>128790</v>
      </c>
      <c r="B3430" s="706" t="s">
        <v>5131</v>
      </c>
      <c r="C3430" s="706" t="s">
        <v>8188</v>
      </c>
      <c r="D3430" s="706" t="s">
        <v>1841</v>
      </c>
      <c r="E3430" s="706">
        <v>30.185500000000001</v>
      </c>
      <c r="F3430" s="706" t="s">
        <v>28</v>
      </c>
      <c r="G3430" s="706">
        <v>405063</v>
      </c>
      <c r="H3430" s="1191">
        <v>44705</v>
      </c>
      <c r="I3430" s="706" t="s">
        <v>4961</v>
      </c>
    </row>
    <row r="3431" spans="1:9">
      <c r="A3431" s="706">
        <v>128791</v>
      </c>
      <c r="B3431" s="706" t="s">
        <v>5132</v>
      </c>
      <c r="C3431" s="706" t="s">
        <v>8188</v>
      </c>
      <c r="D3431" s="706" t="s">
        <v>1841</v>
      </c>
      <c r="E3431" s="706">
        <v>27.253599999999999</v>
      </c>
      <c r="F3431" s="706" t="s">
        <v>28</v>
      </c>
      <c r="G3431" s="706">
        <v>405063</v>
      </c>
      <c r="H3431" s="1191">
        <v>44705</v>
      </c>
      <c r="I3431" s="706" t="s">
        <v>4961</v>
      </c>
    </row>
    <row r="3432" spans="1:9">
      <c r="A3432" s="706">
        <v>128792</v>
      </c>
      <c r="B3432" s="706" t="s">
        <v>5133</v>
      </c>
      <c r="C3432" s="706" t="s">
        <v>8188</v>
      </c>
      <c r="D3432" s="706" t="s">
        <v>1841</v>
      </c>
      <c r="E3432" s="706">
        <v>13.6</v>
      </c>
      <c r="F3432" s="706" t="s">
        <v>28</v>
      </c>
      <c r="G3432" s="706">
        <v>40297</v>
      </c>
      <c r="H3432" s="1191">
        <v>43907</v>
      </c>
      <c r="I3432" s="706" t="s">
        <v>4961</v>
      </c>
    </row>
    <row r="3433" spans="1:9">
      <c r="A3433" s="706">
        <v>128793</v>
      </c>
      <c r="B3433" s="706" t="s">
        <v>5134</v>
      </c>
      <c r="D3433" s="706" t="s">
        <v>1841</v>
      </c>
      <c r="H3433" s="1191"/>
      <c r="I3433" s="706" t="s">
        <v>4961</v>
      </c>
    </row>
    <row r="3434" spans="1:9">
      <c r="A3434" s="706">
        <v>128794</v>
      </c>
      <c r="B3434" s="706" t="s">
        <v>5135</v>
      </c>
      <c r="D3434" s="706" t="s">
        <v>1841</v>
      </c>
      <c r="H3434" s="1191"/>
      <c r="I3434" s="706" t="s">
        <v>4961</v>
      </c>
    </row>
    <row r="3435" spans="1:9">
      <c r="A3435" s="706">
        <v>128795</v>
      </c>
      <c r="B3435" s="706" t="s">
        <v>5136</v>
      </c>
      <c r="D3435" s="706" t="s">
        <v>1841</v>
      </c>
      <c r="H3435" s="1191"/>
      <c r="I3435" s="706" t="s">
        <v>4961</v>
      </c>
    </row>
    <row r="3436" spans="1:9">
      <c r="A3436" s="706">
        <v>128796</v>
      </c>
      <c r="B3436" s="706" t="s">
        <v>5137</v>
      </c>
      <c r="C3436" s="706" t="s">
        <v>8188</v>
      </c>
      <c r="D3436" s="706" t="s">
        <v>1841</v>
      </c>
      <c r="E3436" s="706">
        <v>16.3568</v>
      </c>
      <c r="F3436" s="706" t="s">
        <v>28</v>
      </c>
      <c r="G3436" s="706">
        <v>405327</v>
      </c>
      <c r="H3436" s="1191">
        <v>44763</v>
      </c>
      <c r="I3436" s="706" t="s">
        <v>4961</v>
      </c>
    </row>
    <row r="3437" spans="1:9">
      <c r="A3437" s="706">
        <v>128797</v>
      </c>
      <c r="B3437" s="706" t="s">
        <v>5138</v>
      </c>
      <c r="D3437" s="706" t="s">
        <v>1841</v>
      </c>
      <c r="H3437" s="1191"/>
      <c r="I3437" s="706" t="s">
        <v>4961</v>
      </c>
    </row>
    <row r="3438" spans="1:9">
      <c r="A3438" s="706">
        <v>128798</v>
      </c>
      <c r="B3438" s="706" t="s">
        <v>5139</v>
      </c>
      <c r="D3438" s="706" t="s">
        <v>1841</v>
      </c>
      <c r="H3438" s="1191"/>
      <c r="I3438" s="706" t="s">
        <v>4961</v>
      </c>
    </row>
    <row r="3439" spans="1:9">
      <c r="A3439" s="706">
        <v>128799</v>
      </c>
      <c r="B3439" s="706" t="s">
        <v>5140</v>
      </c>
      <c r="D3439" s="706" t="s">
        <v>1841</v>
      </c>
      <c r="H3439" s="1191"/>
      <c r="I3439" s="706" t="s">
        <v>4961</v>
      </c>
    </row>
    <row r="3440" spans="1:9">
      <c r="A3440" s="706">
        <v>128800</v>
      </c>
      <c r="B3440" s="706" t="s">
        <v>5141</v>
      </c>
      <c r="D3440" s="706" t="s">
        <v>1841</v>
      </c>
      <c r="H3440" s="1191"/>
      <c r="I3440" s="706" t="s">
        <v>4961</v>
      </c>
    </row>
    <row r="3441" spans="1:9">
      <c r="A3441" s="706">
        <v>129641</v>
      </c>
      <c r="B3441" s="706" t="s">
        <v>5142</v>
      </c>
      <c r="D3441" s="706" t="s">
        <v>1841</v>
      </c>
      <c r="H3441" s="1191"/>
      <c r="I3441" s="706" t="s">
        <v>4961</v>
      </c>
    </row>
    <row r="3442" spans="1:9">
      <c r="A3442" s="706">
        <v>129642</v>
      </c>
      <c r="B3442" s="706" t="s">
        <v>5143</v>
      </c>
      <c r="D3442" s="706" t="s">
        <v>1841</v>
      </c>
      <c r="H3442" s="1191"/>
      <c r="I3442" s="706" t="s">
        <v>4961</v>
      </c>
    </row>
    <row r="3443" spans="1:9">
      <c r="A3443" s="706">
        <v>129643</v>
      </c>
      <c r="B3443" s="706" t="s">
        <v>5144</v>
      </c>
      <c r="D3443" s="706" t="s">
        <v>1841</v>
      </c>
      <c r="H3443" s="1191"/>
      <c r="I3443" s="706" t="s">
        <v>4961</v>
      </c>
    </row>
    <row r="3444" spans="1:9">
      <c r="A3444" s="706">
        <v>129644</v>
      </c>
      <c r="B3444" s="706" t="s">
        <v>5145</v>
      </c>
      <c r="D3444" s="706" t="s">
        <v>1841</v>
      </c>
      <c r="H3444" s="1191"/>
      <c r="I3444" s="706" t="s">
        <v>4961</v>
      </c>
    </row>
    <row r="3445" spans="1:9">
      <c r="A3445" s="706">
        <v>129645</v>
      </c>
      <c r="B3445" s="706" t="s">
        <v>5146</v>
      </c>
      <c r="D3445" s="706" t="s">
        <v>1841</v>
      </c>
      <c r="H3445" s="1191"/>
      <c r="I3445" s="706" t="s">
        <v>4961</v>
      </c>
    </row>
    <row r="3446" spans="1:9">
      <c r="A3446" s="706">
        <v>129646</v>
      </c>
      <c r="B3446" s="706" t="s">
        <v>5147</v>
      </c>
      <c r="D3446" s="706" t="s">
        <v>1841</v>
      </c>
      <c r="H3446" s="1191"/>
      <c r="I3446" s="706" t="s">
        <v>4961</v>
      </c>
    </row>
    <row r="3447" spans="1:9">
      <c r="A3447" s="706">
        <v>129647</v>
      </c>
      <c r="B3447" s="706" t="s">
        <v>5148</v>
      </c>
      <c r="D3447" s="706" t="s">
        <v>1841</v>
      </c>
      <c r="H3447" s="1191"/>
      <c r="I3447" s="706" t="s">
        <v>4961</v>
      </c>
    </row>
    <row r="3448" spans="1:9">
      <c r="A3448" s="706">
        <v>129648</v>
      </c>
      <c r="B3448" s="706" t="s">
        <v>5149</v>
      </c>
      <c r="D3448" s="706" t="s">
        <v>1841</v>
      </c>
      <c r="H3448" s="1191"/>
      <c r="I3448" s="706" t="s">
        <v>4961</v>
      </c>
    </row>
    <row r="3449" spans="1:9">
      <c r="A3449" s="706">
        <v>129649</v>
      </c>
      <c r="B3449" s="706" t="s">
        <v>5150</v>
      </c>
      <c r="D3449" s="706" t="s">
        <v>1841</v>
      </c>
      <c r="H3449" s="1191"/>
      <c r="I3449" s="706" t="s">
        <v>4961</v>
      </c>
    </row>
    <row r="3450" spans="1:9">
      <c r="A3450" s="706">
        <v>129650</v>
      </c>
      <c r="B3450" s="706" t="s">
        <v>5151</v>
      </c>
      <c r="D3450" s="706" t="s">
        <v>1841</v>
      </c>
      <c r="H3450" s="1191"/>
      <c r="I3450" s="706" t="s">
        <v>4961</v>
      </c>
    </row>
    <row r="3451" spans="1:9">
      <c r="A3451" s="706">
        <v>129651</v>
      </c>
      <c r="B3451" s="706" t="s">
        <v>5152</v>
      </c>
      <c r="D3451" s="706" t="s">
        <v>1841</v>
      </c>
      <c r="H3451" s="1191"/>
      <c r="I3451" s="706" t="s">
        <v>4961</v>
      </c>
    </row>
    <row r="3452" spans="1:9">
      <c r="A3452" s="706">
        <v>129652</v>
      </c>
      <c r="B3452" s="706" t="s">
        <v>5153</v>
      </c>
      <c r="D3452" s="706" t="s">
        <v>1841</v>
      </c>
      <c r="H3452" s="1191"/>
      <c r="I3452" s="706" t="s">
        <v>4961</v>
      </c>
    </row>
    <row r="3453" spans="1:9">
      <c r="A3453" s="706">
        <v>129653</v>
      </c>
      <c r="B3453" s="706" t="s">
        <v>5154</v>
      </c>
      <c r="D3453" s="706" t="s">
        <v>1841</v>
      </c>
      <c r="H3453" s="1191"/>
      <c r="I3453" s="706" t="s">
        <v>4961</v>
      </c>
    </row>
    <row r="3454" spans="1:9">
      <c r="A3454" s="706">
        <v>129654</v>
      </c>
      <c r="B3454" s="706" t="s">
        <v>5155</v>
      </c>
      <c r="D3454" s="706" t="s">
        <v>1841</v>
      </c>
      <c r="H3454" s="1191"/>
      <c r="I3454" s="706" t="s">
        <v>4961</v>
      </c>
    </row>
    <row r="3455" spans="1:9">
      <c r="A3455" s="706">
        <v>129655</v>
      </c>
      <c r="B3455" s="706" t="s">
        <v>5156</v>
      </c>
      <c r="D3455" s="706" t="s">
        <v>1841</v>
      </c>
      <c r="H3455" s="1191"/>
      <c r="I3455" s="706" t="s">
        <v>4961</v>
      </c>
    </row>
    <row r="3456" spans="1:9">
      <c r="A3456" s="706">
        <v>129656</v>
      </c>
      <c r="B3456" s="706" t="s">
        <v>5157</v>
      </c>
      <c r="D3456" s="706" t="s">
        <v>1841</v>
      </c>
      <c r="H3456" s="1191"/>
      <c r="I3456" s="706" t="s">
        <v>4961</v>
      </c>
    </row>
    <row r="3457" spans="1:9">
      <c r="A3457" s="706">
        <v>129657</v>
      </c>
      <c r="B3457" s="706" t="s">
        <v>5158</v>
      </c>
      <c r="D3457" s="706" t="s">
        <v>1841</v>
      </c>
      <c r="H3457" s="1191"/>
      <c r="I3457" s="706" t="s">
        <v>4961</v>
      </c>
    </row>
    <row r="3458" spans="1:9">
      <c r="A3458" s="706">
        <v>129658</v>
      </c>
      <c r="B3458" s="706" t="s">
        <v>5159</v>
      </c>
      <c r="D3458" s="706" t="s">
        <v>1841</v>
      </c>
      <c r="H3458" s="1191"/>
      <c r="I3458" s="706" t="s">
        <v>4961</v>
      </c>
    </row>
    <row r="3459" spans="1:9">
      <c r="A3459" s="706">
        <v>129659</v>
      </c>
      <c r="B3459" s="706" t="s">
        <v>5160</v>
      </c>
      <c r="D3459" s="706" t="s">
        <v>1841</v>
      </c>
      <c r="H3459" s="1191"/>
      <c r="I3459" s="706" t="s">
        <v>4961</v>
      </c>
    </row>
    <row r="3460" spans="1:9">
      <c r="A3460" s="706">
        <v>129660</v>
      </c>
      <c r="B3460" s="706" t="s">
        <v>5161</v>
      </c>
      <c r="D3460" s="706" t="s">
        <v>1841</v>
      </c>
      <c r="H3460" s="1191"/>
      <c r="I3460" s="706" t="s">
        <v>4961</v>
      </c>
    </row>
    <row r="3461" spans="1:9">
      <c r="A3461" s="706">
        <v>129661</v>
      </c>
      <c r="B3461" s="706" t="s">
        <v>5162</v>
      </c>
      <c r="D3461" s="706" t="s">
        <v>1841</v>
      </c>
      <c r="H3461" s="1191"/>
      <c r="I3461" s="706" t="s">
        <v>4961</v>
      </c>
    </row>
    <row r="3462" spans="1:9">
      <c r="A3462" s="706">
        <v>129662</v>
      </c>
      <c r="B3462" s="706" t="s">
        <v>5163</v>
      </c>
      <c r="D3462" s="706" t="s">
        <v>1841</v>
      </c>
      <c r="H3462" s="1191"/>
      <c r="I3462" s="706" t="s">
        <v>4961</v>
      </c>
    </row>
    <row r="3463" spans="1:9">
      <c r="A3463" s="706">
        <v>129663</v>
      </c>
      <c r="B3463" s="706" t="s">
        <v>5164</v>
      </c>
      <c r="D3463" s="706" t="s">
        <v>1841</v>
      </c>
      <c r="H3463" s="1191"/>
      <c r="I3463" s="706" t="s">
        <v>4961</v>
      </c>
    </row>
    <row r="3464" spans="1:9">
      <c r="A3464" s="706">
        <v>129664</v>
      </c>
      <c r="B3464" s="706" t="s">
        <v>5165</v>
      </c>
      <c r="D3464" s="706" t="s">
        <v>1841</v>
      </c>
      <c r="H3464" s="1191"/>
      <c r="I3464" s="706" t="s">
        <v>4961</v>
      </c>
    </row>
    <row r="3465" spans="1:9">
      <c r="A3465" s="706">
        <v>129665</v>
      </c>
      <c r="B3465" s="706" t="s">
        <v>5166</v>
      </c>
      <c r="D3465" s="706" t="s">
        <v>1841</v>
      </c>
      <c r="H3465" s="1191"/>
      <c r="I3465" s="706" t="s">
        <v>4961</v>
      </c>
    </row>
    <row r="3466" spans="1:9">
      <c r="A3466" s="706">
        <v>129666</v>
      </c>
      <c r="B3466" s="706" t="s">
        <v>5167</v>
      </c>
      <c r="D3466" s="706" t="s">
        <v>1841</v>
      </c>
      <c r="H3466" s="1191"/>
      <c r="I3466" s="706" t="s">
        <v>4961</v>
      </c>
    </row>
    <row r="3467" spans="1:9">
      <c r="A3467" s="706">
        <v>129667</v>
      </c>
      <c r="B3467" s="706" t="s">
        <v>5168</v>
      </c>
      <c r="D3467" s="706" t="s">
        <v>1841</v>
      </c>
      <c r="H3467" s="1191"/>
      <c r="I3467" s="706" t="s">
        <v>4961</v>
      </c>
    </row>
    <row r="3468" spans="1:9">
      <c r="A3468" s="706">
        <v>129668</v>
      </c>
      <c r="B3468" s="706" t="s">
        <v>5169</v>
      </c>
      <c r="D3468" s="706" t="s">
        <v>1841</v>
      </c>
      <c r="H3468" s="1191"/>
      <c r="I3468" s="706" t="s">
        <v>4961</v>
      </c>
    </row>
    <row r="3469" spans="1:9">
      <c r="A3469" s="706">
        <v>129669</v>
      </c>
      <c r="B3469" s="706" t="s">
        <v>5170</v>
      </c>
      <c r="D3469" s="706" t="s">
        <v>1841</v>
      </c>
      <c r="H3469" s="1191"/>
      <c r="I3469" s="706" t="s">
        <v>4961</v>
      </c>
    </row>
    <row r="3470" spans="1:9">
      <c r="A3470" s="706">
        <v>129670</v>
      </c>
      <c r="B3470" s="706" t="s">
        <v>5171</v>
      </c>
      <c r="D3470" s="706" t="s">
        <v>1841</v>
      </c>
      <c r="H3470" s="1191"/>
      <c r="I3470" s="706" t="s">
        <v>4961</v>
      </c>
    </row>
    <row r="3471" spans="1:9">
      <c r="A3471" s="706">
        <v>129671</v>
      </c>
      <c r="B3471" s="706" t="s">
        <v>5172</v>
      </c>
      <c r="D3471" s="706" t="s">
        <v>1841</v>
      </c>
      <c r="H3471" s="1191"/>
      <c r="I3471" s="706" t="s">
        <v>4961</v>
      </c>
    </row>
    <row r="3472" spans="1:9">
      <c r="A3472" s="706">
        <v>129672</v>
      </c>
      <c r="B3472" s="706" t="s">
        <v>5173</v>
      </c>
      <c r="D3472" s="706" t="s">
        <v>1841</v>
      </c>
      <c r="H3472" s="1191"/>
      <c r="I3472" s="706" t="s">
        <v>4961</v>
      </c>
    </row>
    <row r="3473" spans="1:9">
      <c r="A3473" s="706">
        <v>129673</v>
      </c>
      <c r="B3473" s="706" t="s">
        <v>5174</v>
      </c>
      <c r="D3473" s="706" t="s">
        <v>1841</v>
      </c>
      <c r="H3473" s="1191"/>
      <c r="I3473" s="706" t="s">
        <v>4961</v>
      </c>
    </row>
    <row r="3474" spans="1:9">
      <c r="A3474" s="706">
        <v>129674</v>
      </c>
      <c r="B3474" s="706" t="s">
        <v>5175</v>
      </c>
      <c r="D3474" s="706" t="s">
        <v>1841</v>
      </c>
      <c r="H3474" s="1191"/>
      <c r="I3474" s="706" t="s">
        <v>4961</v>
      </c>
    </row>
    <row r="3475" spans="1:9">
      <c r="A3475" s="706">
        <v>129675</v>
      </c>
      <c r="B3475" s="706" t="s">
        <v>5176</v>
      </c>
      <c r="D3475" s="706" t="s">
        <v>1841</v>
      </c>
      <c r="H3475" s="1191"/>
      <c r="I3475" s="706" t="s">
        <v>4961</v>
      </c>
    </row>
    <row r="3476" spans="1:9">
      <c r="A3476" s="706">
        <v>129676</v>
      </c>
      <c r="B3476" s="706" t="s">
        <v>5177</v>
      </c>
      <c r="D3476" s="706" t="s">
        <v>1841</v>
      </c>
      <c r="H3476" s="1191"/>
      <c r="I3476" s="706" t="s">
        <v>4961</v>
      </c>
    </row>
    <row r="3477" spans="1:9">
      <c r="A3477" s="706">
        <v>129677</v>
      </c>
      <c r="B3477" s="706" t="s">
        <v>5178</v>
      </c>
      <c r="D3477" s="706" t="s">
        <v>1841</v>
      </c>
      <c r="H3477" s="1191"/>
      <c r="I3477" s="706" t="s">
        <v>4961</v>
      </c>
    </row>
    <row r="3478" spans="1:9">
      <c r="A3478" s="706">
        <v>129678</v>
      </c>
      <c r="B3478" s="706" t="s">
        <v>5179</v>
      </c>
      <c r="D3478" s="706" t="s">
        <v>1841</v>
      </c>
      <c r="H3478" s="1191"/>
      <c r="I3478" s="706" t="s">
        <v>4961</v>
      </c>
    </row>
    <row r="3479" spans="1:9">
      <c r="A3479" s="706">
        <v>129679</v>
      </c>
      <c r="B3479" s="706" t="s">
        <v>5180</v>
      </c>
      <c r="D3479" s="706" t="s">
        <v>1841</v>
      </c>
      <c r="H3479" s="1191"/>
      <c r="I3479" s="706" t="s">
        <v>4961</v>
      </c>
    </row>
    <row r="3480" spans="1:9">
      <c r="A3480" s="706">
        <v>129680</v>
      </c>
      <c r="B3480" s="706" t="s">
        <v>5181</v>
      </c>
      <c r="D3480" s="706" t="s">
        <v>1841</v>
      </c>
      <c r="H3480" s="1191"/>
      <c r="I3480" s="706" t="s">
        <v>4961</v>
      </c>
    </row>
    <row r="3481" spans="1:9">
      <c r="A3481" s="706">
        <v>129681</v>
      </c>
      <c r="B3481" s="706" t="s">
        <v>5182</v>
      </c>
      <c r="D3481" s="706" t="s">
        <v>1841</v>
      </c>
      <c r="H3481" s="1191"/>
      <c r="I3481" s="706" t="s">
        <v>4961</v>
      </c>
    </row>
    <row r="3482" spans="1:9">
      <c r="A3482" s="706">
        <v>129682</v>
      </c>
      <c r="B3482" s="706" t="s">
        <v>5183</v>
      </c>
      <c r="D3482" s="706" t="s">
        <v>1841</v>
      </c>
      <c r="H3482" s="1191"/>
      <c r="I3482" s="706" t="s">
        <v>4961</v>
      </c>
    </row>
    <row r="3483" spans="1:9">
      <c r="A3483" s="706">
        <v>129683</v>
      </c>
      <c r="B3483" s="706" t="s">
        <v>5184</v>
      </c>
      <c r="D3483" s="706" t="s">
        <v>1841</v>
      </c>
      <c r="H3483" s="1191"/>
      <c r="I3483" s="706" t="s">
        <v>4961</v>
      </c>
    </row>
    <row r="3484" spans="1:9">
      <c r="A3484" s="706">
        <v>129684</v>
      </c>
      <c r="B3484" s="706" t="s">
        <v>5185</v>
      </c>
      <c r="D3484" s="706" t="s">
        <v>1841</v>
      </c>
      <c r="H3484" s="1191"/>
      <c r="I3484" s="706" t="s">
        <v>4961</v>
      </c>
    </row>
    <row r="3485" spans="1:9">
      <c r="A3485" s="706">
        <v>129685</v>
      </c>
      <c r="B3485" s="706" t="s">
        <v>5186</v>
      </c>
      <c r="D3485" s="706" t="s">
        <v>1841</v>
      </c>
      <c r="H3485" s="1191"/>
      <c r="I3485" s="706" t="s">
        <v>4961</v>
      </c>
    </row>
    <row r="3486" spans="1:9">
      <c r="A3486" s="706">
        <v>129686</v>
      </c>
      <c r="B3486" s="706" t="s">
        <v>5187</v>
      </c>
      <c r="D3486" s="706" t="s">
        <v>1841</v>
      </c>
      <c r="H3486" s="1191"/>
      <c r="I3486" s="706" t="s">
        <v>4961</v>
      </c>
    </row>
    <row r="3487" spans="1:9">
      <c r="A3487" s="706">
        <v>129687</v>
      </c>
      <c r="B3487" s="706" t="s">
        <v>5188</v>
      </c>
      <c r="D3487" s="706" t="s">
        <v>1841</v>
      </c>
      <c r="H3487" s="1191"/>
      <c r="I3487" s="706" t="s">
        <v>4961</v>
      </c>
    </row>
    <row r="3488" spans="1:9">
      <c r="A3488" s="706">
        <v>129688</v>
      </c>
      <c r="B3488" s="706" t="s">
        <v>5189</v>
      </c>
      <c r="D3488" s="706" t="s">
        <v>1841</v>
      </c>
      <c r="H3488" s="1191"/>
      <c r="I3488" s="706" t="s">
        <v>4961</v>
      </c>
    </row>
    <row r="3489" spans="1:9">
      <c r="A3489" s="706">
        <v>129689</v>
      </c>
      <c r="B3489" s="706" t="s">
        <v>5190</v>
      </c>
      <c r="D3489" s="706" t="s">
        <v>1841</v>
      </c>
      <c r="H3489" s="1191"/>
      <c r="I3489" s="706" t="s">
        <v>4961</v>
      </c>
    </row>
    <row r="3490" spans="1:9">
      <c r="A3490" s="706">
        <v>129690</v>
      </c>
      <c r="B3490" s="706" t="s">
        <v>5191</v>
      </c>
      <c r="D3490" s="706" t="s">
        <v>1841</v>
      </c>
      <c r="H3490" s="1191"/>
      <c r="I3490" s="706" t="s">
        <v>4961</v>
      </c>
    </row>
    <row r="3491" spans="1:9">
      <c r="A3491" s="706">
        <v>129691</v>
      </c>
      <c r="B3491" s="706" t="s">
        <v>5192</v>
      </c>
      <c r="D3491" s="706" t="s">
        <v>1841</v>
      </c>
      <c r="H3491" s="1191"/>
      <c r="I3491" s="706" t="s">
        <v>4961</v>
      </c>
    </row>
    <row r="3492" spans="1:9">
      <c r="A3492" s="706">
        <v>129692</v>
      </c>
      <c r="B3492" s="706" t="s">
        <v>5193</v>
      </c>
      <c r="D3492" s="706" t="s">
        <v>1841</v>
      </c>
      <c r="H3492" s="1191"/>
      <c r="I3492" s="706" t="s">
        <v>4961</v>
      </c>
    </row>
    <row r="3493" spans="1:9">
      <c r="A3493" s="706">
        <v>129693</v>
      </c>
      <c r="B3493" s="706" t="s">
        <v>5194</v>
      </c>
      <c r="D3493" s="706" t="s">
        <v>1841</v>
      </c>
      <c r="H3493" s="1191"/>
      <c r="I3493" s="706" t="s">
        <v>4961</v>
      </c>
    </row>
    <row r="3494" spans="1:9">
      <c r="A3494" s="706">
        <v>129694</v>
      </c>
      <c r="B3494" s="706" t="s">
        <v>5195</v>
      </c>
      <c r="D3494" s="706" t="s">
        <v>1841</v>
      </c>
      <c r="H3494" s="1191"/>
      <c r="I3494" s="706" t="s">
        <v>4961</v>
      </c>
    </row>
    <row r="3495" spans="1:9">
      <c r="A3495" s="706">
        <v>129695</v>
      </c>
      <c r="B3495" s="706" t="s">
        <v>5196</v>
      </c>
      <c r="D3495" s="706" t="s">
        <v>1841</v>
      </c>
      <c r="H3495" s="1191"/>
      <c r="I3495" s="706" t="s">
        <v>4961</v>
      </c>
    </row>
    <row r="3496" spans="1:9">
      <c r="A3496" s="706">
        <v>129696</v>
      </c>
      <c r="B3496" s="706" t="s">
        <v>5197</v>
      </c>
      <c r="D3496" s="706" t="s">
        <v>1841</v>
      </c>
      <c r="H3496" s="1191"/>
      <c r="I3496" s="706" t="s">
        <v>4961</v>
      </c>
    </row>
    <row r="3497" spans="1:9">
      <c r="A3497" s="706">
        <v>129697</v>
      </c>
      <c r="B3497" s="706" t="s">
        <v>5198</v>
      </c>
      <c r="D3497" s="706" t="s">
        <v>1841</v>
      </c>
      <c r="H3497" s="1191"/>
      <c r="I3497" s="706" t="s">
        <v>4961</v>
      </c>
    </row>
    <row r="3498" spans="1:9">
      <c r="A3498" s="706">
        <v>129698</v>
      </c>
      <c r="B3498" s="706" t="s">
        <v>5199</v>
      </c>
      <c r="D3498" s="706" t="s">
        <v>1841</v>
      </c>
      <c r="H3498" s="1191"/>
      <c r="I3498" s="706" t="s">
        <v>4961</v>
      </c>
    </row>
    <row r="3499" spans="1:9">
      <c r="A3499" s="706">
        <v>129699</v>
      </c>
      <c r="B3499" s="706" t="s">
        <v>5200</v>
      </c>
      <c r="D3499" s="706" t="s">
        <v>1841</v>
      </c>
      <c r="H3499" s="1191"/>
      <c r="I3499" s="706" t="s">
        <v>4961</v>
      </c>
    </row>
    <row r="3500" spans="1:9">
      <c r="A3500" s="706">
        <v>129700</v>
      </c>
      <c r="B3500" s="706" t="s">
        <v>5201</v>
      </c>
      <c r="D3500" s="706" t="s">
        <v>1841</v>
      </c>
      <c r="H3500" s="1191"/>
      <c r="I3500" s="706" t="s">
        <v>4961</v>
      </c>
    </row>
    <row r="3501" spans="1:9">
      <c r="A3501" s="706">
        <v>129701</v>
      </c>
      <c r="B3501" s="706" t="s">
        <v>5202</v>
      </c>
      <c r="D3501" s="706" t="s">
        <v>1841</v>
      </c>
      <c r="H3501" s="1191"/>
      <c r="I3501" s="706" t="s">
        <v>4961</v>
      </c>
    </row>
    <row r="3502" spans="1:9">
      <c r="A3502" s="706">
        <v>129702</v>
      </c>
      <c r="B3502" s="706" t="s">
        <v>5203</v>
      </c>
      <c r="D3502" s="706" t="s">
        <v>1841</v>
      </c>
      <c r="H3502" s="1191"/>
      <c r="I3502" s="706" t="s">
        <v>4961</v>
      </c>
    </row>
    <row r="3503" spans="1:9">
      <c r="A3503" s="706">
        <v>129703</v>
      </c>
      <c r="B3503" s="706" t="s">
        <v>5204</v>
      </c>
      <c r="D3503" s="706" t="s">
        <v>1841</v>
      </c>
      <c r="H3503" s="1191"/>
      <c r="I3503" s="706" t="s">
        <v>4961</v>
      </c>
    </row>
    <row r="3504" spans="1:9">
      <c r="A3504" s="706">
        <v>129704</v>
      </c>
      <c r="B3504" s="706" t="s">
        <v>5205</v>
      </c>
      <c r="D3504" s="706" t="s">
        <v>1841</v>
      </c>
      <c r="H3504" s="1191"/>
      <c r="I3504" s="706" t="s">
        <v>4961</v>
      </c>
    </row>
    <row r="3505" spans="1:9">
      <c r="A3505" s="706">
        <v>129705</v>
      </c>
      <c r="B3505" s="706" t="s">
        <v>5206</v>
      </c>
      <c r="D3505" s="706" t="s">
        <v>1841</v>
      </c>
      <c r="H3505" s="1191"/>
      <c r="I3505" s="706" t="s">
        <v>4961</v>
      </c>
    </row>
    <row r="3506" spans="1:9">
      <c r="A3506" s="706">
        <v>129706</v>
      </c>
      <c r="B3506" s="706" t="s">
        <v>5207</v>
      </c>
      <c r="D3506" s="706" t="s">
        <v>1841</v>
      </c>
      <c r="H3506" s="1191"/>
      <c r="I3506" s="706" t="s">
        <v>4961</v>
      </c>
    </row>
    <row r="3507" spans="1:9">
      <c r="A3507" s="706">
        <v>129707</v>
      </c>
      <c r="B3507" s="706" t="s">
        <v>5208</v>
      </c>
      <c r="D3507" s="706" t="s">
        <v>1841</v>
      </c>
      <c r="H3507" s="1191"/>
      <c r="I3507" s="706" t="s">
        <v>4961</v>
      </c>
    </row>
    <row r="3508" spans="1:9">
      <c r="A3508" s="706">
        <v>129708</v>
      </c>
      <c r="B3508" s="706" t="s">
        <v>5209</v>
      </c>
      <c r="D3508" s="706" t="s">
        <v>1841</v>
      </c>
      <c r="H3508" s="1191"/>
      <c r="I3508" s="706" t="s">
        <v>4961</v>
      </c>
    </row>
    <row r="3509" spans="1:9">
      <c r="A3509" s="706">
        <v>129709</v>
      </c>
      <c r="B3509" s="706" t="s">
        <v>5210</v>
      </c>
      <c r="D3509" s="706" t="s">
        <v>1841</v>
      </c>
      <c r="H3509" s="1191"/>
      <c r="I3509" s="706" t="s">
        <v>4961</v>
      </c>
    </row>
    <row r="3510" spans="1:9">
      <c r="A3510" s="706">
        <v>129710</v>
      </c>
      <c r="B3510" s="706" t="s">
        <v>5211</v>
      </c>
      <c r="D3510" s="706" t="s">
        <v>1841</v>
      </c>
      <c r="H3510" s="1191"/>
      <c r="I3510" s="706" t="s">
        <v>4961</v>
      </c>
    </row>
    <row r="3511" spans="1:9">
      <c r="A3511" s="706">
        <v>129711</v>
      </c>
      <c r="B3511" s="706" t="s">
        <v>5212</v>
      </c>
      <c r="D3511" s="706" t="s">
        <v>1841</v>
      </c>
      <c r="H3511" s="1191"/>
      <c r="I3511" s="706" t="s">
        <v>4961</v>
      </c>
    </row>
    <row r="3512" spans="1:9">
      <c r="A3512" s="706">
        <v>129712</v>
      </c>
      <c r="B3512" s="706" t="s">
        <v>5213</v>
      </c>
      <c r="D3512" s="706" t="s">
        <v>1841</v>
      </c>
      <c r="H3512" s="1191"/>
      <c r="I3512" s="706" t="s">
        <v>4961</v>
      </c>
    </row>
    <row r="3513" spans="1:9">
      <c r="A3513" s="706">
        <v>129713</v>
      </c>
      <c r="B3513" s="706" t="s">
        <v>5214</v>
      </c>
      <c r="D3513" s="706" t="s">
        <v>1841</v>
      </c>
      <c r="H3513" s="1191"/>
      <c r="I3513" s="706" t="s">
        <v>4961</v>
      </c>
    </row>
    <row r="3514" spans="1:9">
      <c r="A3514" s="706">
        <v>129714</v>
      </c>
      <c r="B3514" s="706" t="s">
        <v>5215</v>
      </c>
      <c r="D3514" s="706" t="s">
        <v>1841</v>
      </c>
      <c r="H3514" s="1191"/>
      <c r="I3514" s="706" t="s">
        <v>4961</v>
      </c>
    </row>
    <row r="3515" spans="1:9">
      <c r="A3515" s="706">
        <v>129715</v>
      </c>
      <c r="B3515" s="706" t="s">
        <v>5216</v>
      </c>
      <c r="D3515" s="706" t="s">
        <v>1841</v>
      </c>
      <c r="H3515" s="1191"/>
      <c r="I3515" s="706" t="s">
        <v>4961</v>
      </c>
    </row>
    <row r="3516" spans="1:9">
      <c r="A3516" s="706">
        <v>129716</v>
      </c>
      <c r="B3516" s="706" t="s">
        <v>5217</v>
      </c>
      <c r="D3516" s="706" t="s">
        <v>1841</v>
      </c>
      <c r="H3516" s="1191"/>
      <c r="I3516" s="706" t="s">
        <v>4961</v>
      </c>
    </row>
    <row r="3517" spans="1:9">
      <c r="A3517" s="706">
        <v>129717</v>
      </c>
      <c r="B3517" s="706" t="s">
        <v>5218</v>
      </c>
      <c r="D3517" s="706" t="s">
        <v>1841</v>
      </c>
      <c r="H3517" s="1191"/>
      <c r="I3517" s="706" t="s">
        <v>4961</v>
      </c>
    </row>
    <row r="3518" spans="1:9">
      <c r="A3518" s="706">
        <v>129718</v>
      </c>
      <c r="B3518" s="706" t="s">
        <v>5219</v>
      </c>
      <c r="D3518" s="706" t="s">
        <v>1841</v>
      </c>
      <c r="H3518" s="1191"/>
      <c r="I3518" s="706" t="s">
        <v>4961</v>
      </c>
    </row>
    <row r="3519" spans="1:9">
      <c r="A3519" s="706">
        <v>129719</v>
      </c>
      <c r="B3519" s="706" t="s">
        <v>5220</v>
      </c>
      <c r="D3519" s="706" t="s">
        <v>1841</v>
      </c>
      <c r="H3519" s="1191"/>
      <c r="I3519" s="706" t="s">
        <v>4961</v>
      </c>
    </row>
    <row r="3520" spans="1:9">
      <c r="A3520" s="706">
        <v>129720</v>
      </c>
      <c r="B3520" s="706" t="s">
        <v>5221</v>
      </c>
      <c r="D3520" s="706" t="s">
        <v>1841</v>
      </c>
      <c r="H3520" s="1191"/>
      <c r="I3520" s="706" t="s">
        <v>4961</v>
      </c>
    </row>
    <row r="3521" spans="1:9">
      <c r="A3521" s="706">
        <v>129721</v>
      </c>
      <c r="B3521" s="706" t="s">
        <v>5222</v>
      </c>
      <c r="D3521" s="706" t="s">
        <v>1841</v>
      </c>
      <c r="H3521" s="1191"/>
      <c r="I3521" s="706" t="s">
        <v>4961</v>
      </c>
    </row>
    <row r="3522" spans="1:9">
      <c r="A3522" s="706">
        <v>129722</v>
      </c>
      <c r="B3522" s="706" t="s">
        <v>5223</v>
      </c>
      <c r="D3522" s="706" t="s">
        <v>1841</v>
      </c>
      <c r="H3522" s="1191"/>
      <c r="I3522" s="706" t="s">
        <v>4961</v>
      </c>
    </row>
    <row r="3523" spans="1:9">
      <c r="A3523" s="706">
        <v>129723</v>
      </c>
      <c r="B3523" s="706" t="s">
        <v>5224</v>
      </c>
      <c r="D3523" s="706" t="s">
        <v>1841</v>
      </c>
      <c r="H3523" s="1191"/>
      <c r="I3523" s="706" t="s">
        <v>4961</v>
      </c>
    </row>
    <row r="3524" spans="1:9">
      <c r="A3524" s="706">
        <v>129724</v>
      </c>
      <c r="B3524" s="706" t="s">
        <v>5225</v>
      </c>
      <c r="D3524" s="706" t="s">
        <v>1841</v>
      </c>
      <c r="H3524" s="1191"/>
      <c r="I3524" s="706" t="s">
        <v>4961</v>
      </c>
    </row>
    <row r="3525" spans="1:9">
      <c r="A3525" s="706">
        <v>129725</v>
      </c>
      <c r="B3525" s="706" t="s">
        <v>5226</v>
      </c>
      <c r="D3525" s="706" t="s">
        <v>1841</v>
      </c>
      <c r="H3525" s="1191"/>
      <c r="I3525" s="706" t="s">
        <v>4961</v>
      </c>
    </row>
    <row r="3526" spans="1:9">
      <c r="A3526" s="706">
        <v>129726</v>
      </c>
      <c r="B3526" s="706" t="s">
        <v>5227</v>
      </c>
      <c r="D3526" s="706" t="s">
        <v>1841</v>
      </c>
      <c r="H3526" s="1191"/>
      <c r="I3526" s="706" t="s">
        <v>4961</v>
      </c>
    </row>
    <row r="3527" spans="1:9">
      <c r="A3527" s="706">
        <v>129727</v>
      </c>
      <c r="B3527" s="706" t="s">
        <v>5228</v>
      </c>
      <c r="D3527" s="706" t="s">
        <v>1841</v>
      </c>
      <c r="H3527" s="1191"/>
      <c r="I3527" s="706" t="s">
        <v>4961</v>
      </c>
    </row>
    <row r="3528" spans="1:9">
      <c r="A3528" s="706">
        <v>129728</v>
      </c>
      <c r="B3528" s="706" t="s">
        <v>5229</v>
      </c>
      <c r="D3528" s="706" t="s">
        <v>1841</v>
      </c>
      <c r="H3528" s="1191"/>
      <c r="I3528" s="706" t="s">
        <v>4961</v>
      </c>
    </row>
    <row r="3529" spans="1:9">
      <c r="A3529" s="706">
        <v>129729</v>
      </c>
      <c r="B3529" s="706" t="s">
        <v>5230</v>
      </c>
      <c r="D3529" s="706" t="s">
        <v>1841</v>
      </c>
      <c r="H3529" s="1191"/>
      <c r="I3529" s="706" t="s">
        <v>4961</v>
      </c>
    </row>
    <row r="3530" spans="1:9">
      <c r="A3530" s="706">
        <v>129730</v>
      </c>
      <c r="B3530" s="706" t="s">
        <v>5231</v>
      </c>
      <c r="D3530" s="706" t="s">
        <v>1841</v>
      </c>
      <c r="H3530" s="1191"/>
      <c r="I3530" s="706" t="s">
        <v>4961</v>
      </c>
    </row>
    <row r="3531" spans="1:9">
      <c r="A3531" s="706">
        <v>129731</v>
      </c>
      <c r="B3531" s="706" t="s">
        <v>5232</v>
      </c>
      <c r="D3531" s="706" t="s">
        <v>1841</v>
      </c>
      <c r="H3531" s="1191"/>
      <c r="I3531" s="706" t="s">
        <v>4961</v>
      </c>
    </row>
    <row r="3532" spans="1:9">
      <c r="A3532" s="706">
        <v>129732</v>
      </c>
      <c r="B3532" s="706" t="s">
        <v>5233</v>
      </c>
      <c r="D3532" s="706" t="s">
        <v>1841</v>
      </c>
      <c r="H3532" s="1191"/>
      <c r="I3532" s="706" t="s">
        <v>4961</v>
      </c>
    </row>
    <row r="3533" spans="1:9">
      <c r="A3533" s="706">
        <v>129733</v>
      </c>
      <c r="B3533" s="706" t="s">
        <v>5234</v>
      </c>
      <c r="D3533" s="706" t="s">
        <v>1841</v>
      </c>
      <c r="H3533" s="1191"/>
      <c r="I3533" s="706" t="s">
        <v>4961</v>
      </c>
    </row>
    <row r="3534" spans="1:9">
      <c r="A3534" s="706">
        <v>129734</v>
      </c>
      <c r="B3534" s="706" t="s">
        <v>5235</v>
      </c>
      <c r="D3534" s="706" t="s">
        <v>1841</v>
      </c>
      <c r="H3534" s="1191"/>
      <c r="I3534" s="706" t="s">
        <v>4961</v>
      </c>
    </row>
    <row r="3535" spans="1:9">
      <c r="A3535" s="706">
        <v>129735</v>
      </c>
      <c r="B3535" s="706" t="s">
        <v>5236</v>
      </c>
      <c r="D3535" s="706" t="s">
        <v>1841</v>
      </c>
      <c r="H3535" s="1191"/>
      <c r="I3535" s="706" t="s">
        <v>4961</v>
      </c>
    </row>
    <row r="3536" spans="1:9">
      <c r="A3536" s="706">
        <v>129736</v>
      </c>
      <c r="B3536" s="706" t="s">
        <v>5237</v>
      </c>
      <c r="D3536" s="706" t="s">
        <v>1841</v>
      </c>
      <c r="H3536" s="1191"/>
      <c r="I3536" s="706" t="s">
        <v>4961</v>
      </c>
    </row>
    <row r="3537" spans="1:9">
      <c r="A3537" s="706">
        <v>129737</v>
      </c>
      <c r="B3537" s="706" t="s">
        <v>5238</v>
      </c>
      <c r="D3537" s="706" t="s">
        <v>1841</v>
      </c>
      <c r="H3537" s="1191"/>
      <c r="I3537" s="706" t="s">
        <v>4961</v>
      </c>
    </row>
    <row r="3538" spans="1:9">
      <c r="A3538" s="706">
        <v>129738</v>
      </c>
      <c r="B3538" s="706" t="s">
        <v>5239</v>
      </c>
      <c r="D3538" s="706" t="s">
        <v>1841</v>
      </c>
      <c r="H3538" s="1191"/>
      <c r="I3538" s="706" t="s">
        <v>4961</v>
      </c>
    </row>
    <row r="3539" spans="1:9">
      <c r="A3539" s="706">
        <v>129739</v>
      </c>
      <c r="B3539" s="706" t="s">
        <v>5240</v>
      </c>
      <c r="D3539" s="706" t="s">
        <v>1841</v>
      </c>
      <c r="H3539" s="1191"/>
      <c r="I3539" s="706" t="s">
        <v>4961</v>
      </c>
    </row>
    <row r="3540" spans="1:9">
      <c r="A3540" s="706">
        <v>129740</v>
      </c>
      <c r="B3540" s="706" t="s">
        <v>5241</v>
      </c>
      <c r="D3540" s="706" t="s">
        <v>1841</v>
      </c>
      <c r="H3540" s="1191"/>
      <c r="I3540" s="706" t="s">
        <v>4961</v>
      </c>
    </row>
    <row r="3541" spans="1:9">
      <c r="A3541" s="706">
        <v>129741</v>
      </c>
      <c r="B3541" s="706" t="s">
        <v>5242</v>
      </c>
      <c r="D3541" s="706" t="s">
        <v>1841</v>
      </c>
      <c r="H3541" s="1191"/>
      <c r="I3541" s="706" t="s">
        <v>4961</v>
      </c>
    </row>
    <row r="3542" spans="1:9">
      <c r="A3542" s="706">
        <v>129742</v>
      </c>
      <c r="B3542" s="706" t="s">
        <v>5243</v>
      </c>
      <c r="D3542" s="706" t="s">
        <v>1841</v>
      </c>
      <c r="H3542" s="1191"/>
      <c r="I3542" s="706" t="s">
        <v>4961</v>
      </c>
    </row>
    <row r="3543" spans="1:9">
      <c r="A3543" s="706">
        <v>129743</v>
      </c>
      <c r="B3543" s="706" t="s">
        <v>5244</v>
      </c>
      <c r="D3543" s="706" t="s">
        <v>1841</v>
      </c>
      <c r="H3543" s="1191"/>
      <c r="I3543" s="706" t="s">
        <v>4961</v>
      </c>
    </row>
    <row r="3544" spans="1:9">
      <c r="A3544" s="706">
        <v>129744</v>
      </c>
      <c r="B3544" s="706" t="s">
        <v>5245</v>
      </c>
      <c r="D3544" s="706" t="s">
        <v>1841</v>
      </c>
      <c r="H3544" s="1191"/>
      <c r="I3544" s="706" t="s">
        <v>4961</v>
      </c>
    </row>
    <row r="3545" spans="1:9">
      <c r="A3545" s="706">
        <v>129745</v>
      </c>
      <c r="B3545" s="706" t="s">
        <v>5246</v>
      </c>
      <c r="D3545" s="706" t="s">
        <v>1841</v>
      </c>
      <c r="H3545" s="1191"/>
      <c r="I3545" s="706" t="s">
        <v>4961</v>
      </c>
    </row>
    <row r="3546" spans="1:9">
      <c r="A3546" s="706">
        <v>129746</v>
      </c>
      <c r="B3546" s="706" t="s">
        <v>5247</v>
      </c>
      <c r="D3546" s="706" t="s">
        <v>1841</v>
      </c>
      <c r="H3546" s="1191"/>
      <c r="I3546" s="706" t="s">
        <v>4961</v>
      </c>
    </row>
    <row r="3547" spans="1:9">
      <c r="A3547" s="706">
        <v>129747</v>
      </c>
      <c r="B3547" s="706" t="s">
        <v>5248</v>
      </c>
      <c r="D3547" s="706" t="s">
        <v>1841</v>
      </c>
      <c r="H3547" s="1191"/>
      <c r="I3547" s="706" t="s">
        <v>4961</v>
      </c>
    </row>
    <row r="3548" spans="1:9">
      <c r="A3548" s="706">
        <v>129748</v>
      </c>
      <c r="B3548" s="706" t="s">
        <v>5249</v>
      </c>
      <c r="C3548" s="706" t="s">
        <v>8188</v>
      </c>
      <c r="D3548" s="706" t="s">
        <v>1841</v>
      </c>
      <c r="E3548" s="706">
        <v>10.4346</v>
      </c>
      <c r="F3548" s="706" t="s">
        <v>28</v>
      </c>
      <c r="G3548" s="706">
        <v>405156</v>
      </c>
      <c r="H3548" s="1191">
        <v>44727</v>
      </c>
      <c r="I3548" s="706" t="s">
        <v>4961</v>
      </c>
    </row>
    <row r="3549" spans="1:9">
      <c r="A3549" s="706">
        <v>129749</v>
      </c>
      <c r="B3549" s="706" t="s">
        <v>5250</v>
      </c>
      <c r="D3549" s="706" t="s">
        <v>1841</v>
      </c>
      <c r="H3549" s="1191"/>
      <c r="I3549" s="706" t="s">
        <v>4961</v>
      </c>
    </row>
    <row r="3550" spans="1:9">
      <c r="A3550" s="706">
        <v>129750</v>
      </c>
      <c r="B3550" s="706" t="s">
        <v>5251</v>
      </c>
      <c r="D3550" s="706" t="s">
        <v>1841</v>
      </c>
      <c r="H3550" s="1191"/>
      <c r="I3550" s="706" t="s">
        <v>4961</v>
      </c>
    </row>
    <row r="3551" spans="1:9">
      <c r="A3551" s="706">
        <v>129751</v>
      </c>
      <c r="B3551" s="706" t="s">
        <v>5252</v>
      </c>
      <c r="D3551" s="706" t="s">
        <v>1841</v>
      </c>
      <c r="H3551" s="1191"/>
      <c r="I3551" s="706" t="s">
        <v>4961</v>
      </c>
    </row>
    <row r="3552" spans="1:9">
      <c r="A3552" s="706">
        <v>129752</v>
      </c>
      <c r="B3552" s="706" t="s">
        <v>5253</v>
      </c>
      <c r="D3552" s="706" t="s">
        <v>1841</v>
      </c>
      <c r="H3552" s="1191"/>
      <c r="I3552" s="706" t="s">
        <v>4961</v>
      </c>
    </row>
    <row r="3553" spans="1:9">
      <c r="A3553" s="706">
        <v>129753</v>
      </c>
      <c r="B3553" s="706" t="s">
        <v>5254</v>
      </c>
      <c r="D3553" s="706" t="s">
        <v>1841</v>
      </c>
      <c r="H3553" s="1191"/>
      <c r="I3553" s="706" t="s">
        <v>4961</v>
      </c>
    </row>
    <row r="3554" spans="1:9">
      <c r="A3554" s="706">
        <v>129754</v>
      </c>
      <c r="B3554" s="706" t="s">
        <v>5255</v>
      </c>
      <c r="D3554" s="706" t="s">
        <v>1841</v>
      </c>
      <c r="H3554" s="1191"/>
      <c r="I3554" s="706" t="s">
        <v>4961</v>
      </c>
    </row>
    <row r="3555" spans="1:9">
      <c r="A3555" s="706">
        <v>129755</v>
      </c>
      <c r="B3555" s="706" t="s">
        <v>5256</v>
      </c>
      <c r="D3555" s="706" t="s">
        <v>1841</v>
      </c>
      <c r="H3555" s="1191"/>
      <c r="I3555" s="706" t="s">
        <v>4961</v>
      </c>
    </row>
    <row r="3556" spans="1:9">
      <c r="A3556" s="706">
        <v>129756</v>
      </c>
      <c r="B3556" s="706" t="s">
        <v>5257</v>
      </c>
      <c r="D3556" s="706" t="s">
        <v>1841</v>
      </c>
      <c r="H3556" s="1191"/>
      <c r="I3556" s="706" t="s">
        <v>4961</v>
      </c>
    </row>
    <row r="3557" spans="1:9">
      <c r="A3557" s="706">
        <v>129757</v>
      </c>
      <c r="B3557" s="706" t="s">
        <v>5258</v>
      </c>
      <c r="D3557" s="706" t="s">
        <v>1841</v>
      </c>
      <c r="H3557" s="1191"/>
      <c r="I3557" s="706" t="s">
        <v>4961</v>
      </c>
    </row>
    <row r="3558" spans="1:9">
      <c r="A3558" s="706">
        <v>129758</v>
      </c>
      <c r="B3558" s="706" t="s">
        <v>5259</v>
      </c>
      <c r="D3558" s="706" t="s">
        <v>1841</v>
      </c>
      <c r="H3558" s="1191"/>
      <c r="I3558" s="706" t="s">
        <v>4961</v>
      </c>
    </row>
    <row r="3559" spans="1:9">
      <c r="A3559" s="706">
        <v>129759</v>
      </c>
      <c r="B3559" s="706" t="s">
        <v>5260</v>
      </c>
      <c r="D3559" s="706" t="s">
        <v>1841</v>
      </c>
      <c r="H3559" s="1191"/>
      <c r="I3559" s="706" t="s">
        <v>4961</v>
      </c>
    </row>
    <row r="3560" spans="1:9">
      <c r="A3560" s="706">
        <v>129760</v>
      </c>
      <c r="B3560" s="706" t="s">
        <v>5261</v>
      </c>
      <c r="D3560" s="706" t="s">
        <v>1841</v>
      </c>
      <c r="H3560" s="1191"/>
      <c r="I3560" s="706" t="s">
        <v>4961</v>
      </c>
    </row>
    <row r="3561" spans="1:9">
      <c r="A3561" s="706">
        <v>129761</v>
      </c>
      <c r="B3561" s="706" t="s">
        <v>5262</v>
      </c>
      <c r="D3561" s="706" t="s">
        <v>1841</v>
      </c>
      <c r="H3561" s="1191"/>
      <c r="I3561" s="706" t="s">
        <v>4961</v>
      </c>
    </row>
    <row r="3562" spans="1:9">
      <c r="A3562" s="706">
        <v>129762</v>
      </c>
      <c r="B3562" s="706" t="s">
        <v>5263</v>
      </c>
      <c r="D3562" s="706" t="s">
        <v>1841</v>
      </c>
      <c r="H3562" s="1191"/>
      <c r="I3562" s="706" t="s">
        <v>4961</v>
      </c>
    </row>
    <row r="3563" spans="1:9">
      <c r="A3563" s="706">
        <v>129763</v>
      </c>
      <c r="B3563" s="706" t="s">
        <v>5264</v>
      </c>
      <c r="D3563" s="706" t="s">
        <v>1841</v>
      </c>
      <c r="H3563" s="1191"/>
      <c r="I3563" s="706" t="s">
        <v>4961</v>
      </c>
    </row>
    <row r="3564" spans="1:9">
      <c r="A3564" s="706">
        <v>129764</v>
      </c>
      <c r="B3564" s="706" t="s">
        <v>5265</v>
      </c>
      <c r="D3564" s="706" t="s">
        <v>1841</v>
      </c>
      <c r="H3564" s="1191"/>
      <c r="I3564" s="706" t="s">
        <v>4961</v>
      </c>
    </row>
    <row r="3565" spans="1:9">
      <c r="A3565" s="706">
        <v>129765</v>
      </c>
      <c r="B3565" s="706" t="s">
        <v>5266</v>
      </c>
      <c r="D3565" s="706" t="s">
        <v>1841</v>
      </c>
      <c r="H3565" s="1191"/>
      <c r="I3565" s="706" t="s">
        <v>4961</v>
      </c>
    </row>
    <row r="3566" spans="1:9">
      <c r="A3566" s="706">
        <v>129766</v>
      </c>
      <c r="B3566" s="706" t="s">
        <v>5267</v>
      </c>
      <c r="D3566" s="706" t="s">
        <v>1841</v>
      </c>
      <c r="H3566" s="1191"/>
      <c r="I3566" s="706" t="s">
        <v>4961</v>
      </c>
    </row>
    <row r="3567" spans="1:9">
      <c r="A3567" s="706">
        <v>129767</v>
      </c>
      <c r="B3567" s="706" t="s">
        <v>5268</v>
      </c>
      <c r="D3567" s="706" t="s">
        <v>1841</v>
      </c>
      <c r="H3567" s="1191"/>
      <c r="I3567" s="706" t="s">
        <v>4961</v>
      </c>
    </row>
    <row r="3568" spans="1:9">
      <c r="A3568" s="706">
        <v>129768</v>
      </c>
      <c r="B3568" s="706" t="s">
        <v>5269</v>
      </c>
      <c r="C3568" s="706" t="s">
        <v>8188</v>
      </c>
      <c r="D3568" s="706" t="s">
        <v>1841</v>
      </c>
      <c r="E3568" s="706">
        <v>7.28</v>
      </c>
      <c r="F3568" s="706" t="s">
        <v>28</v>
      </c>
      <c r="G3568" s="706">
        <v>404053</v>
      </c>
      <c r="H3568" s="1191">
        <v>44501</v>
      </c>
      <c r="I3568" s="706" t="s">
        <v>4961</v>
      </c>
    </row>
    <row r="3569" spans="1:9">
      <c r="A3569" s="706">
        <v>129769</v>
      </c>
      <c r="B3569" s="706" t="s">
        <v>5270</v>
      </c>
      <c r="C3569" s="706" t="s">
        <v>8186</v>
      </c>
      <c r="D3569" s="706" t="s">
        <v>1841</v>
      </c>
      <c r="E3569" s="706">
        <v>6.4</v>
      </c>
      <c r="F3569" s="706" t="s">
        <v>28</v>
      </c>
      <c r="G3569" s="706">
        <v>406488</v>
      </c>
      <c r="H3569" s="1191">
        <v>45035</v>
      </c>
      <c r="I3569" s="706" t="s">
        <v>4961</v>
      </c>
    </row>
    <row r="3570" spans="1:9">
      <c r="A3570" s="706">
        <v>129770</v>
      </c>
      <c r="B3570" s="706" t="s">
        <v>5271</v>
      </c>
      <c r="D3570" s="706" t="s">
        <v>1841</v>
      </c>
      <c r="H3570" s="1191"/>
      <c r="I3570" s="706" t="s">
        <v>4961</v>
      </c>
    </row>
    <row r="3571" spans="1:9">
      <c r="A3571" s="706">
        <v>129771</v>
      </c>
      <c r="B3571" s="706" t="s">
        <v>5272</v>
      </c>
      <c r="D3571" s="706" t="s">
        <v>1841</v>
      </c>
      <c r="H3571" s="1191"/>
      <c r="I3571" s="706" t="s">
        <v>4961</v>
      </c>
    </row>
    <row r="3572" spans="1:9">
      <c r="A3572" s="706">
        <v>129772</v>
      </c>
      <c r="B3572" s="706" t="s">
        <v>5273</v>
      </c>
      <c r="D3572" s="706" t="s">
        <v>1841</v>
      </c>
      <c r="H3572" s="1191"/>
      <c r="I3572" s="706" t="s">
        <v>4961</v>
      </c>
    </row>
    <row r="3573" spans="1:9">
      <c r="A3573" s="706">
        <v>129773</v>
      </c>
      <c r="B3573" s="706" t="s">
        <v>5274</v>
      </c>
      <c r="C3573" s="706" t="s">
        <v>8188</v>
      </c>
      <c r="D3573" s="706" t="s">
        <v>1841</v>
      </c>
      <c r="E3573" s="706">
        <v>3.4409999999999998</v>
      </c>
      <c r="F3573" s="706" t="s">
        <v>28</v>
      </c>
      <c r="G3573" s="706">
        <v>405156</v>
      </c>
      <c r="H3573" s="1191">
        <v>44727</v>
      </c>
      <c r="I3573" s="706" t="s">
        <v>4961</v>
      </c>
    </row>
    <row r="3574" spans="1:9">
      <c r="A3574" s="706">
        <v>129774</v>
      </c>
      <c r="B3574" s="706" t="s">
        <v>5275</v>
      </c>
      <c r="D3574" s="706" t="s">
        <v>1841</v>
      </c>
      <c r="H3574" s="1191"/>
      <c r="I3574" s="706" t="s">
        <v>4961</v>
      </c>
    </row>
    <row r="3575" spans="1:9">
      <c r="A3575" s="706">
        <v>129775</v>
      </c>
      <c r="B3575" s="706" t="s">
        <v>5276</v>
      </c>
      <c r="D3575" s="706" t="s">
        <v>1841</v>
      </c>
      <c r="H3575" s="1191"/>
      <c r="I3575" s="706" t="s">
        <v>4961</v>
      </c>
    </row>
    <row r="3576" spans="1:9">
      <c r="A3576" s="706">
        <v>129776</v>
      </c>
      <c r="B3576" s="706" t="s">
        <v>5277</v>
      </c>
      <c r="C3576" s="706" t="s">
        <v>8188</v>
      </c>
      <c r="D3576" s="706" t="s">
        <v>1841</v>
      </c>
      <c r="E3576" s="706">
        <v>2.508</v>
      </c>
      <c r="F3576" s="706" t="s">
        <v>28</v>
      </c>
      <c r="G3576" s="706">
        <v>405156</v>
      </c>
      <c r="H3576" s="1191">
        <v>44727</v>
      </c>
      <c r="I3576" s="706" t="s">
        <v>4961</v>
      </c>
    </row>
    <row r="3577" spans="1:9">
      <c r="A3577" s="706">
        <v>129777</v>
      </c>
      <c r="B3577" s="706" t="s">
        <v>5278</v>
      </c>
      <c r="D3577" s="706" t="s">
        <v>1841</v>
      </c>
      <c r="H3577" s="1191"/>
      <c r="I3577" s="706" t="s">
        <v>4961</v>
      </c>
    </row>
    <row r="3578" spans="1:9">
      <c r="A3578" s="706">
        <v>129778</v>
      </c>
      <c r="B3578" s="706" t="s">
        <v>5279</v>
      </c>
      <c r="D3578" s="706" t="s">
        <v>1841</v>
      </c>
      <c r="H3578" s="1191"/>
      <c r="I3578" s="706" t="s">
        <v>4961</v>
      </c>
    </row>
    <row r="3579" spans="1:9">
      <c r="A3579" s="706">
        <v>129779</v>
      </c>
      <c r="B3579" s="706" t="s">
        <v>5280</v>
      </c>
      <c r="D3579" s="706" t="s">
        <v>1841</v>
      </c>
      <c r="H3579" s="1191"/>
      <c r="I3579" s="706" t="s">
        <v>4961</v>
      </c>
    </row>
    <row r="3580" spans="1:9">
      <c r="A3580" s="706">
        <v>129780</v>
      </c>
      <c r="B3580" s="706" t="s">
        <v>5281</v>
      </c>
      <c r="D3580" s="706" t="s">
        <v>1841</v>
      </c>
      <c r="H3580" s="1191"/>
      <c r="I3580" s="706" t="s">
        <v>4961</v>
      </c>
    </row>
    <row r="3581" spans="1:9">
      <c r="A3581" s="706">
        <v>129781</v>
      </c>
      <c r="B3581" s="706" t="s">
        <v>5282</v>
      </c>
      <c r="D3581" s="706" t="s">
        <v>1841</v>
      </c>
      <c r="H3581" s="1191"/>
      <c r="I3581" s="706" t="s">
        <v>4961</v>
      </c>
    </row>
    <row r="3582" spans="1:9">
      <c r="A3582" s="706">
        <v>129782</v>
      </c>
      <c r="B3582" s="706" t="s">
        <v>5283</v>
      </c>
      <c r="D3582" s="706" t="s">
        <v>1841</v>
      </c>
      <c r="H3582" s="1191"/>
      <c r="I3582" s="706" t="s">
        <v>4961</v>
      </c>
    </row>
    <row r="3583" spans="1:9">
      <c r="A3583" s="706">
        <v>129783</v>
      </c>
      <c r="B3583" s="706" t="s">
        <v>5284</v>
      </c>
      <c r="D3583" s="706" t="s">
        <v>1841</v>
      </c>
      <c r="H3583" s="1191"/>
      <c r="I3583" s="706" t="s">
        <v>4961</v>
      </c>
    </row>
    <row r="3584" spans="1:9">
      <c r="A3584" s="706">
        <v>129784</v>
      </c>
      <c r="B3584" s="706" t="s">
        <v>5285</v>
      </c>
      <c r="D3584" s="706" t="s">
        <v>1841</v>
      </c>
      <c r="H3584" s="1191"/>
      <c r="I3584" s="706" t="s">
        <v>4961</v>
      </c>
    </row>
    <row r="3585" spans="1:9">
      <c r="A3585" s="706">
        <v>129785</v>
      </c>
      <c r="B3585" s="706" t="s">
        <v>5286</v>
      </c>
      <c r="D3585" s="706" t="s">
        <v>1841</v>
      </c>
      <c r="H3585" s="1191"/>
      <c r="I3585" s="706" t="s">
        <v>4961</v>
      </c>
    </row>
    <row r="3586" spans="1:9">
      <c r="A3586" s="706">
        <v>129786</v>
      </c>
      <c r="B3586" s="706" t="s">
        <v>5287</v>
      </c>
      <c r="D3586" s="706" t="s">
        <v>1841</v>
      </c>
      <c r="H3586" s="1191"/>
      <c r="I3586" s="706" t="s">
        <v>4961</v>
      </c>
    </row>
    <row r="3587" spans="1:9">
      <c r="A3587" s="706">
        <v>129787</v>
      </c>
      <c r="B3587" s="706" t="s">
        <v>5288</v>
      </c>
      <c r="D3587" s="706" t="s">
        <v>1841</v>
      </c>
      <c r="H3587" s="1191"/>
      <c r="I3587" s="706" t="s">
        <v>4961</v>
      </c>
    </row>
    <row r="3588" spans="1:9">
      <c r="A3588" s="706">
        <v>129788</v>
      </c>
      <c r="B3588" s="706" t="s">
        <v>5289</v>
      </c>
      <c r="D3588" s="706" t="s">
        <v>1841</v>
      </c>
      <c r="H3588" s="1191"/>
      <c r="I3588" s="706" t="s">
        <v>4961</v>
      </c>
    </row>
    <row r="3589" spans="1:9">
      <c r="A3589" s="706">
        <v>129789</v>
      </c>
      <c r="B3589" s="706" t="s">
        <v>5290</v>
      </c>
      <c r="D3589" s="706" t="s">
        <v>1841</v>
      </c>
      <c r="H3589" s="1191"/>
      <c r="I3589" s="706" t="s">
        <v>4961</v>
      </c>
    </row>
    <row r="3590" spans="1:9">
      <c r="A3590" s="706">
        <v>129790</v>
      </c>
      <c r="B3590" s="706" t="s">
        <v>5291</v>
      </c>
      <c r="D3590" s="706" t="s">
        <v>1841</v>
      </c>
      <c r="H3590" s="1191"/>
      <c r="I3590" s="706" t="s">
        <v>4961</v>
      </c>
    </row>
    <row r="3591" spans="1:9">
      <c r="A3591" s="706">
        <v>129791</v>
      </c>
      <c r="B3591" s="706" t="s">
        <v>5292</v>
      </c>
      <c r="D3591" s="706" t="s">
        <v>1841</v>
      </c>
      <c r="H3591" s="1191"/>
      <c r="I3591" s="706" t="s">
        <v>4961</v>
      </c>
    </row>
    <row r="3592" spans="1:9">
      <c r="A3592" s="706">
        <v>129792</v>
      </c>
      <c r="B3592" s="706" t="s">
        <v>5293</v>
      </c>
      <c r="D3592" s="706" t="s">
        <v>1841</v>
      </c>
      <c r="H3592" s="1191"/>
      <c r="I3592" s="706" t="s">
        <v>4961</v>
      </c>
    </row>
    <row r="3593" spans="1:9">
      <c r="A3593" s="706">
        <v>129793</v>
      </c>
      <c r="B3593" s="706" t="s">
        <v>5294</v>
      </c>
      <c r="D3593" s="706" t="s">
        <v>1841</v>
      </c>
      <c r="H3593" s="1191"/>
      <c r="I3593" s="706" t="s">
        <v>4961</v>
      </c>
    </row>
    <row r="3594" spans="1:9">
      <c r="A3594" s="706">
        <v>129794</v>
      </c>
      <c r="B3594" s="706" t="s">
        <v>5295</v>
      </c>
      <c r="D3594" s="706" t="s">
        <v>1841</v>
      </c>
      <c r="H3594" s="1191"/>
      <c r="I3594" s="706" t="s">
        <v>4961</v>
      </c>
    </row>
    <row r="3595" spans="1:9">
      <c r="A3595" s="706">
        <v>129795</v>
      </c>
      <c r="B3595" s="706" t="s">
        <v>5296</v>
      </c>
      <c r="D3595" s="706" t="s">
        <v>1841</v>
      </c>
      <c r="H3595" s="1191"/>
      <c r="I3595" s="706" t="s">
        <v>4961</v>
      </c>
    </row>
    <row r="3596" spans="1:9">
      <c r="A3596" s="706">
        <v>129796</v>
      </c>
      <c r="B3596" s="706" t="s">
        <v>5297</v>
      </c>
      <c r="D3596" s="706" t="s">
        <v>1841</v>
      </c>
      <c r="H3596" s="1191"/>
      <c r="I3596" s="706" t="s">
        <v>4961</v>
      </c>
    </row>
    <row r="3597" spans="1:9">
      <c r="A3597" s="706">
        <v>129797</v>
      </c>
      <c r="B3597" s="706" t="s">
        <v>5298</v>
      </c>
      <c r="D3597" s="706" t="s">
        <v>1841</v>
      </c>
      <c r="H3597" s="1191"/>
      <c r="I3597" s="706" t="s">
        <v>4961</v>
      </c>
    </row>
    <row r="3598" spans="1:9">
      <c r="A3598" s="706">
        <v>129798</v>
      </c>
      <c r="B3598" s="706" t="s">
        <v>5299</v>
      </c>
      <c r="D3598" s="706" t="s">
        <v>1841</v>
      </c>
      <c r="H3598" s="1191"/>
      <c r="I3598" s="706" t="s">
        <v>4961</v>
      </c>
    </row>
    <row r="3599" spans="1:9">
      <c r="A3599" s="706">
        <v>129799</v>
      </c>
      <c r="B3599" s="706" t="s">
        <v>5300</v>
      </c>
      <c r="D3599" s="706" t="s">
        <v>1841</v>
      </c>
      <c r="H3599" s="1191"/>
      <c r="I3599" s="706" t="s">
        <v>4961</v>
      </c>
    </row>
    <row r="3600" spans="1:9">
      <c r="A3600" s="706">
        <v>129800</v>
      </c>
      <c r="B3600" s="706" t="s">
        <v>5301</v>
      </c>
      <c r="D3600" s="706" t="s">
        <v>1841</v>
      </c>
      <c r="H3600" s="1191"/>
      <c r="I3600" s="706" t="s">
        <v>4961</v>
      </c>
    </row>
    <row r="3601" spans="1:9">
      <c r="A3601" s="706">
        <v>130942</v>
      </c>
      <c r="B3601" s="706" t="s">
        <v>5302</v>
      </c>
      <c r="D3601" s="706" t="s">
        <v>2814</v>
      </c>
      <c r="H3601" s="1191"/>
      <c r="I3601" s="706" t="s">
        <v>5303</v>
      </c>
    </row>
    <row r="3602" spans="1:9">
      <c r="A3602" s="706">
        <v>130943</v>
      </c>
      <c r="B3602" s="706" t="s">
        <v>5304</v>
      </c>
      <c r="D3602" s="706" t="s">
        <v>2814</v>
      </c>
      <c r="H3602" s="1191"/>
      <c r="I3602" s="706" t="s">
        <v>5305</v>
      </c>
    </row>
    <row r="3603" spans="1:9">
      <c r="A3603" s="706">
        <v>130944</v>
      </c>
      <c r="B3603" s="706" t="s">
        <v>5306</v>
      </c>
      <c r="D3603" s="706" t="s">
        <v>2814</v>
      </c>
      <c r="H3603" s="1191"/>
      <c r="I3603" s="706" t="s">
        <v>5307</v>
      </c>
    </row>
    <row r="3604" spans="1:9">
      <c r="A3604" s="706">
        <v>130945</v>
      </c>
      <c r="B3604" s="706" t="s">
        <v>5308</v>
      </c>
      <c r="D3604" s="706" t="s">
        <v>2814</v>
      </c>
      <c r="H3604" s="1191"/>
      <c r="I3604" s="706" t="s">
        <v>5307</v>
      </c>
    </row>
    <row r="3605" spans="1:9">
      <c r="A3605" s="706">
        <v>130946</v>
      </c>
      <c r="B3605" s="706" t="s">
        <v>5309</v>
      </c>
      <c r="D3605" s="706" t="s">
        <v>2814</v>
      </c>
      <c r="H3605" s="1191"/>
      <c r="I3605" s="706" t="s">
        <v>5310</v>
      </c>
    </row>
    <row r="3606" spans="1:9">
      <c r="A3606" s="706">
        <v>130947</v>
      </c>
      <c r="B3606" s="706" t="s">
        <v>5311</v>
      </c>
      <c r="D3606" s="706" t="s">
        <v>2814</v>
      </c>
      <c r="H3606" s="1191"/>
      <c r="I3606" s="706" t="s">
        <v>5310</v>
      </c>
    </row>
    <row r="3607" spans="1:9">
      <c r="A3607" s="706">
        <v>130948</v>
      </c>
      <c r="B3607" s="706" t="s">
        <v>5312</v>
      </c>
      <c r="D3607" s="706" t="s">
        <v>2814</v>
      </c>
      <c r="H3607" s="1191"/>
      <c r="I3607" s="706" t="s">
        <v>5310</v>
      </c>
    </row>
    <row r="3608" spans="1:9">
      <c r="A3608" s="706">
        <v>130949</v>
      </c>
      <c r="B3608" s="706" t="s">
        <v>5313</v>
      </c>
      <c r="D3608" s="706" t="s">
        <v>2814</v>
      </c>
      <c r="H3608" s="1191"/>
      <c r="I3608" s="706" t="s">
        <v>5310</v>
      </c>
    </row>
    <row r="3609" spans="1:9">
      <c r="A3609" s="706">
        <v>130950</v>
      </c>
      <c r="B3609" s="706" t="s">
        <v>5314</v>
      </c>
      <c r="D3609" s="706" t="s">
        <v>2814</v>
      </c>
      <c r="H3609" s="1191"/>
      <c r="I3609" s="706" t="s">
        <v>5310</v>
      </c>
    </row>
    <row r="3610" spans="1:9">
      <c r="A3610" s="706">
        <v>131793</v>
      </c>
      <c r="B3610" s="706" t="s">
        <v>5315</v>
      </c>
      <c r="D3610" s="706" t="s">
        <v>2814</v>
      </c>
      <c r="H3610" s="1191"/>
      <c r="I3610" s="706" t="s">
        <v>5316</v>
      </c>
    </row>
    <row r="3611" spans="1:9">
      <c r="A3611" s="706">
        <v>131794</v>
      </c>
      <c r="B3611" s="706" t="s">
        <v>5317</v>
      </c>
      <c r="D3611" s="706" t="s">
        <v>2814</v>
      </c>
      <c r="H3611" s="1191"/>
      <c r="I3611" s="706" t="s">
        <v>5318</v>
      </c>
    </row>
    <row r="3612" spans="1:9">
      <c r="A3612" s="706">
        <v>131795</v>
      </c>
      <c r="B3612" s="706" t="s">
        <v>5319</v>
      </c>
      <c r="D3612" s="706" t="s">
        <v>2814</v>
      </c>
      <c r="H3612" s="1191"/>
      <c r="I3612" s="706" t="s">
        <v>5318</v>
      </c>
    </row>
    <row r="3613" spans="1:9">
      <c r="A3613" s="706">
        <v>131796</v>
      </c>
      <c r="B3613" s="706" t="s">
        <v>5320</v>
      </c>
      <c r="D3613" s="706" t="s">
        <v>2814</v>
      </c>
      <c r="H3613" s="1191"/>
      <c r="I3613" s="706" t="s">
        <v>5318</v>
      </c>
    </row>
    <row r="3614" spans="1:9">
      <c r="A3614" s="706">
        <v>131797</v>
      </c>
      <c r="B3614" s="706" t="s">
        <v>5321</v>
      </c>
      <c r="D3614" s="706" t="s">
        <v>2814</v>
      </c>
      <c r="H3614" s="1191"/>
      <c r="I3614" s="706" t="s">
        <v>5318</v>
      </c>
    </row>
    <row r="3615" spans="1:9">
      <c r="A3615" s="706">
        <v>131798</v>
      </c>
      <c r="B3615" s="706" t="s">
        <v>5322</v>
      </c>
      <c r="D3615" s="706" t="s">
        <v>2814</v>
      </c>
      <c r="H3615" s="1191"/>
      <c r="I3615" s="706" t="s">
        <v>5318</v>
      </c>
    </row>
    <row r="3616" spans="1:9">
      <c r="A3616" s="706">
        <v>131799</v>
      </c>
      <c r="B3616" s="706" t="s">
        <v>5323</v>
      </c>
      <c r="D3616" s="706" t="s">
        <v>2814</v>
      </c>
      <c r="H3616" s="1191"/>
      <c r="I3616" s="706" t="s">
        <v>5318</v>
      </c>
    </row>
    <row r="3617" spans="1:9">
      <c r="A3617" s="706">
        <v>131800</v>
      </c>
      <c r="B3617" s="706" t="s">
        <v>5324</v>
      </c>
      <c r="D3617" s="706" t="s">
        <v>2814</v>
      </c>
      <c r="H3617" s="1191"/>
      <c r="I3617" s="706" t="s">
        <v>5318</v>
      </c>
    </row>
    <row r="3618" spans="1:9">
      <c r="A3618" s="706">
        <v>131801</v>
      </c>
      <c r="B3618" s="706" t="s">
        <v>5325</v>
      </c>
      <c r="D3618" s="706" t="s">
        <v>2814</v>
      </c>
      <c r="H3618" s="1191"/>
      <c r="I3618" s="706" t="s">
        <v>5318</v>
      </c>
    </row>
    <row r="3619" spans="1:9">
      <c r="A3619" s="706">
        <v>131802</v>
      </c>
      <c r="B3619" s="706" t="s">
        <v>5326</v>
      </c>
      <c r="D3619" s="706" t="s">
        <v>2814</v>
      </c>
      <c r="H3619" s="1191"/>
      <c r="I3619" s="706" t="s">
        <v>5318</v>
      </c>
    </row>
    <row r="3620" spans="1:9">
      <c r="A3620" s="706">
        <v>131803</v>
      </c>
      <c r="B3620" s="706" t="s">
        <v>5327</v>
      </c>
      <c r="D3620" s="706" t="s">
        <v>2814</v>
      </c>
      <c r="H3620" s="1191"/>
      <c r="I3620" s="706" t="s">
        <v>5318</v>
      </c>
    </row>
    <row r="3621" spans="1:9">
      <c r="A3621" s="706">
        <v>131804</v>
      </c>
      <c r="B3621" s="706" t="s">
        <v>5328</v>
      </c>
      <c r="D3621" s="706" t="s">
        <v>2814</v>
      </c>
      <c r="H3621" s="1191"/>
      <c r="I3621" s="706" t="s">
        <v>5318</v>
      </c>
    </row>
    <row r="3622" spans="1:9">
      <c r="A3622" s="706">
        <v>131805</v>
      </c>
      <c r="B3622" s="706" t="s">
        <v>5329</v>
      </c>
      <c r="D3622" s="706" t="s">
        <v>2814</v>
      </c>
      <c r="H3622" s="1191"/>
      <c r="I3622" s="706" t="s">
        <v>5316</v>
      </c>
    </row>
    <row r="3623" spans="1:9">
      <c r="A3623" s="706">
        <v>131806</v>
      </c>
      <c r="B3623" s="706" t="s">
        <v>5330</v>
      </c>
      <c r="D3623" s="706" t="s">
        <v>2814</v>
      </c>
      <c r="H3623" s="1191"/>
      <c r="I3623" s="706" t="s">
        <v>5316</v>
      </c>
    </row>
    <row r="3624" spans="1:9">
      <c r="A3624" s="706">
        <v>131807</v>
      </c>
      <c r="B3624" s="706" t="s">
        <v>5331</v>
      </c>
      <c r="D3624" s="706" t="s">
        <v>2814</v>
      </c>
      <c r="H3624" s="1191"/>
      <c r="I3624" s="706" t="s">
        <v>5316</v>
      </c>
    </row>
    <row r="3625" spans="1:9">
      <c r="A3625" s="706">
        <v>131808</v>
      </c>
      <c r="B3625" s="706" t="s">
        <v>5332</v>
      </c>
      <c r="D3625" s="706" t="s">
        <v>2814</v>
      </c>
      <c r="H3625" s="1191"/>
      <c r="I3625" s="706" t="s">
        <v>5316</v>
      </c>
    </row>
    <row r="3626" spans="1:9">
      <c r="A3626" s="706">
        <v>131809</v>
      </c>
      <c r="B3626" s="706" t="s">
        <v>5333</v>
      </c>
      <c r="D3626" s="706" t="s">
        <v>2814</v>
      </c>
      <c r="H3626" s="1191"/>
      <c r="I3626" s="706" t="s">
        <v>5316</v>
      </c>
    </row>
    <row r="3627" spans="1:9">
      <c r="A3627" s="706">
        <v>131810</v>
      </c>
      <c r="B3627" s="706" t="s">
        <v>5334</v>
      </c>
      <c r="D3627" s="706" t="s">
        <v>2814</v>
      </c>
      <c r="H3627" s="1191"/>
      <c r="I3627" s="706" t="s">
        <v>5316</v>
      </c>
    </row>
    <row r="3628" spans="1:9">
      <c r="A3628" s="706">
        <v>131811</v>
      </c>
      <c r="B3628" s="706" t="s">
        <v>5335</v>
      </c>
      <c r="D3628" s="706" t="s">
        <v>2814</v>
      </c>
      <c r="H3628" s="1191"/>
      <c r="I3628" s="706" t="s">
        <v>5316</v>
      </c>
    </row>
    <row r="3629" spans="1:9">
      <c r="A3629" s="706">
        <v>131812</v>
      </c>
      <c r="B3629" s="706" t="s">
        <v>5336</v>
      </c>
      <c r="D3629" s="706" t="s">
        <v>2814</v>
      </c>
      <c r="H3629" s="1191"/>
      <c r="I3629" s="706" t="s">
        <v>5316</v>
      </c>
    </row>
    <row r="3630" spans="1:9">
      <c r="A3630" s="706">
        <v>131813</v>
      </c>
      <c r="B3630" s="706" t="s">
        <v>5337</v>
      </c>
      <c r="D3630" s="706" t="s">
        <v>2814</v>
      </c>
      <c r="H3630" s="1191"/>
      <c r="I3630" s="706" t="s">
        <v>5316</v>
      </c>
    </row>
    <row r="3631" spans="1:9">
      <c r="A3631" s="706">
        <v>131814</v>
      </c>
      <c r="B3631" s="706" t="s">
        <v>5338</v>
      </c>
      <c r="D3631" s="706" t="s">
        <v>2814</v>
      </c>
      <c r="H3631" s="1191"/>
      <c r="I3631" s="706" t="s">
        <v>5316</v>
      </c>
    </row>
    <row r="3632" spans="1:9">
      <c r="A3632" s="706">
        <v>131815</v>
      </c>
      <c r="B3632" s="706" t="s">
        <v>5339</v>
      </c>
      <c r="D3632" s="706" t="s">
        <v>2814</v>
      </c>
      <c r="H3632" s="1191"/>
      <c r="I3632" s="706" t="s">
        <v>5316</v>
      </c>
    </row>
    <row r="3633" spans="1:9">
      <c r="A3633" s="706">
        <v>131816</v>
      </c>
      <c r="B3633" s="706" t="s">
        <v>5340</v>
      </c>
      <c r="D3633" s="706" t="s">
        <v>2814</v>
      </c>
      <c r="H3633" s="1191"/>
      <c r="I3633" s="706" t="s">
        <v>5341</v>
      </c>
    </row>
    <row r="3634" spans="1:9">
      <c r="A3634" s="706">
        <v>131817</v>
      </c>
      <c r="B3634" s="706" t="s">
        <v>5342</v>
      </c>
      <c r="D3634" s="706" t="s">
        <v>2814</v>
      </c>
      <c r="H3634" s="1191"/>
      <c r="I3634" s="706" t="s">
        <v>5341</v>
      </c>
    </row>
    <row r="3635" spans="1:9">
      <c r="A3635" s="706">
        <v>131818</v>
      </c>
      <c r="B3635" s="706" t="s">
        <v>5331</v>
      </c>
      <c r="D3635" s="706" t="s">
        <v>2814</v>
      </c>
      <c r="H3635" s="1191"/>
      <c r="I3635" s="706" t="s">
        <v>5341</v>
      </c>
    </row>
    <row r="3636" spans="1:9">
      <c r="A3636" s="706">
        <v>131819</v>
      </c>
      <c r="B3636" s="706" t="s">
        <v>5332</v>
      </c>
      <c r="D3636" s="706" t="s">
        <v>2814</v>
      </c>
      <c r="H3636" s="1191"/>
      <c r="I3636" s="706" t="s">
        <v>5341</v>
      </c>
    </row>
    <row r="3637" spans="1:9">
      <c r="A3637" s="706">
        <v>131820</v>
      </c>
      <c r="B3637" s="706" t="s">
        <v>5333</v>
      </c>
      <c r="D3637" s="706" t="s">
        <v>2814</v>
      </c>
      <c r="H3637" s="1191"/>
      <c r="I3637" s="706" t="s">
        <v>5341</v>
      </c>
    </row>
    <row r="3638" spans="1:9">
      <c r="A3638" s="706">
        <v>131821</v>
      </c>
      <c r="B3638" s="706" t="s">
        <v>5334</v>
      </c>
      <c r="D3638" s="706" t="s">
        <v>2814</v>
      </c>
      <c r="H3638" s="1191"/>
      <c r="I3638" s="706" t="s">
        <v>5341</v>
      </c>
    </row>
    <row r="3639" spans="1:9">
      <c r="A3639" s="706">
        <v>131822</v>
      </c>
      <c r="B3639" s="706" t="s">
        <v>5335</v>
      </c>
      <c r="D3639" s="706" t="s">
        <v>2814</v>
      </c>
      <c r="H3639" s="1191"/>
      <c r="I3639" s="706" t="s">
        <v>5341</v>
      </c>
    </row>
    <row r="3640" spans="1:9">
      <c r="A3640" s="706">
        <v>131823</v>
      </c>
      <c r="B3640" s="706" t="s">
        <v>5336</v>
      </c>
      <c r="D3640" s="706" t="s">
        <v>2814</v>
      </c>
      <c r="H3640" s="1191"/>
      <c r="I3640" s="706" t="s">
        <v>5341</v>
      </c>
    </row>
    <row r="3641" spans="1:9">
      <c r="A3641" s="706">
        <v>131824</v>
      </c>
      <c r="B3641" s="706" t="s">
        <v>5343</v>
      </c>
      <c r="C3641" s="706" t="s">
        <v>5344</v>
      </c>
      <c r="D3641" s="706" t="s">
        <v>2814</v>
      </c>
      <c r="E3641" s="706">
        <v>24.432500000000001</v>
      </c>
      <c r="F3641" s="706" t="s">
        <v>1210</v>
      </c>
      <c r="G3641" s="706">
        <v>400674</v>
      </c>
      <c r="H3641" s="1191">
        <v>43989</v>
      </c>
      <c r="I3641" s="706" t="s">
        <v>5341</v>
      </c>
    </row>
    <row r="3642" spans="1:9">
      <c r="A3642" s="706">
        <v>131825</v>
      </c>
      <c r="B3642" s="706" t="s">
        <v>5338</v>
      </c>
      <c r="D3642" s="706" t="s">
        <v>2814</v>
      </c>
      <c r="H3642" s="1191"/>
      <c r="I3642" s="706" t="s">
        <v>5341</v>
      </c>
    </row>
    <row r="3643" spans="1:9">
      <c r="A3643" s="706">
        <v>131826</v>
      </c>
      <c r="B3643" s="706" t="s">
        <v>5345</v>
      </c>
      <c r="D3643" s="706" t="s">
        <v>2814</v>
      </c>
      <c r="H3643" s="1191"/>
      <c r="I3643" s="706" t="s">
        <v>5341</v>
      </c>
    </row>
    <row r="3644" spans="1:9">
      <c r="A3644" s="706">
        <v>131827</v>
      </c>
      <c r="B3644" s="706" t="s">
        <v>5346</v>
      </c>
      <c r="D3644" s="706" t="s">
        <v>2814</v>
      </c>
      <c r="H3644" s="1191"/>
      <c r="I3644" s="706" t="s">
        <v>5347</v>
      </c>
    </row>
    <row r="3645" spans="1:9">
      <c r="A3645" s="706">
        <v>131828</v>
      </c>
      <c r="B3645" s="706" t="s">
        <v>5348</v>
      </c>
      <c r="D3645" s="706" t="s">
        <v>2814</v>
      </c>
      <c r="H3645" s="1191"/>
      <c r="I3645" s="706" t="s">
        <v>5347</v>
      </c>
    </row>
    <row r="3646" spans="1:9">
      <c r="A3646" s="706">
        <v>131829</v>
      </c>
      <c r="B3646" s="706" t="s">
        <v>5349</v>
      </c>
      <c r="C3646" s="706" t="s">
        <v>5350</v>
      </c>
      <c r="D3646" s="706" t="s">
        <v>2814</v>
      </c>
      <c r="E3646" s="706">
        <v>30.859500000000001</v>
      </c>
      <c r="F3646" s="706" t="s">
        <v>1210</v>
      </c>
      <c r="G3646" s="706">
        <v>406921</v>
      </c>
      <c r="H3646" s="1191">
        <v>45134</v>
      </c>
      <c r="I3646" s="706" t="s">
        <v>5347</v>
      </c>
    </row>
    <row r="3647" spans="1:9">
      <c r="A3647" s="706">
        <v>131830</v>
      </c>
      <c r="B3647" s="706" t="s">
        <v>5351</v>
      </c>
      <c r="C3647" s="706" t="s">
        <v>5350</v>
      </c>
      <c r="D3647" s="706" t="s">
        <v>2814</v>
      </c>
      <c r="E3647" s="706">
        <v>25.3125</v>
      </c>
      <c r="F3647" s="706" t="s">
        <v>1210</v>
      </c>
      <c r="G3647" s="706">
        <v>405232</v>
      </c>
      <c r="H3647" s="1191">
        <v>44748</v>
      </c>
      <c r="I3647" s="706" t="s">
        <v>5347</v>
      </c>
    </row>
    <row r="3648" spans="1:9">
      <c r="A3648" s="706">
        <v>131831</v>
      </c>
      <c r="B3648" s="706" t="s">
        <v>5352</v>
      </c>
      <c r="D3648" s="706" t="s">
        <v>2814</v>
      </c>
      <c r="H3648" s="1191"/>
      <c r="I3648" s="706" t="s">
        <v>5353</v>
      </c>
    </row>
    <row r="3649" spans="1:9">
      <c r="A3649" s="706">
        <v>131832</v>
      </c>
      <c r="B3649" s="706" t="s">
        <v>5354</v>
      </c>
      <c r="D3649" s="706" t="s">
        <v>2814</v>
      </c>
      <c r="H3649" s="1191"/>
      <c r="I3649" s="706" t="s">
        <v>5353</v>
      </c>
    </row>
    <row r="3650" spans="1:9">
      <c r="A3650" s="706">
        <v>131833</v>
      </c>
      <c r="B3650" s="706" t="s">
        <v>5355</v>
      </c>
      <c r="D3650" s="706" t="s">
        <v>2814</v>
      </c>
      <c r="H3650" s="1191"/>
      <c r="I3650" s="706" t="s">
        <v>5353</v>
      </c>
    </row>
    <row r="3651" spans="1:9">
      <c r="A3651" s="706">
        <v>131834</v>
      </c>
      <c r="B3651" s="706" t="s">
        <v>5356</v>
      </c>
      <c r="D3651" s="706" t="s">
        <v>2814</v>
      </c>
      <c r="H3651" s="1191"/>
      <c r="I3651" s="706" t="s">
        <v>5353</v>
      </c>
    </row>
    <row r="3652" spans="1:9">
      <c r="A3652" s="706">
        <v>131835</v>
      </c>
      <c r="B3652" s="706" t="s">
        <v>5357</v>
      </c>
      <c r="D3652" s="706" t="s">
        <v>2814</v>
      </c>
      <c r="H3652" s="1191"/>
      <c r="I3652" s="706" t="s">
        <v>5353</v>
      </c>
    </row>
    <row r="3653" spans="1:9">
      <c r="A3653" s="706">
        <v>131836</v>
      </c>
      <c r="B3653" s="706" t="s">
        <v>5358</v>
      </c>
      <c r="D3653" s="706" t="s">
        <v>2814</v>
      </c>
      <c r="H3653" s="1191"/>
      <c r="I3653" s="706" t="s">
        <v>5353</v>
      </c>
    </row>
    <row r="3654" spans="1:9">
      <c r="A3654" s="706">
        <v>131837</v>
      </c>
      <c r="B3654" s="706" t="s">
        <v>5359</v>
      </c>
      <c r="C3654" s="706" t="s">
        <v>5350</v>
      </c>
      <c r="D3654" s="706" t="s">
        <v>2814</v>
      </c>
      <c r="E3654" s="706">
        <v>1.0311999999999999</v>
      </c>
      <c r="F3654" s="706" t="s">
        <v>1210</v>
      </c>
      <c r="G3654" s="706">
        <v>408999</v>
      </c>
      <c r="H3654" s="1191">
        <v>45524</v>
      </c>
      <c r="I3654" s="706" t="s">
        <v>5353</v>
      </c>
    </row>
    <row r="3655" spans="1:9">
      <c r="A3655" s="706">
        <v>131838</v>
      </c>
      <c r="B3655" s="706" t="s">
        <v>5360</v>
      </c>
      <c r="D3655" s="706" t="s">
        <v>2814</v>
      </c>
      <c r="H3655" s="1191"/>
      <c r="I3655" s="706" t="s">
        <v>5353</v>
      </c>
    </row>
    <row r="3656" spans="1:9">
      <c r="A3656" s="706">
        <v>131839</v>
      </c>
      <c r="B3656" s="706" t="s">
        <v>5361</v>
      </c>
      <c r="D3656" s="706" t="s">
        <v>2814</v>
      </c>
      <c r="H3656" s="1191"/>
      <c r="I3656" s="706" t="s">
        <v>5353</v>
      </c>
    </row>
    <row r="3657" spans="1:9">
      <c r="A3657" s="706">
        <v>131840</v>
      </c>
      <c r="B3657" s="706" t="s">
        <v>5362</v>
      </c>
      <c r="D3657" s="706" t="s">
        <v>2814</v>
      </c>
      <c r="H3657" s="1191"/>
      <c r="I3657" s="706" t="s">
        <v>5353</v>
      </c>
    </row>
    <row r="3658" spans="1:9">
      <c r="A3658" s="706">
        <v>131841</v>
      </c>
      <c r="B3658" s="706" t="s">
        <v>5363</v>
      </c>
      <c r="D3658" s="706" t="s">
        <v>2814</v>
      </c>
      <c r="H3658" s="1191"/>
      <c r="I3658" s="706" t="s">
        <v>5353</v>
      </c>
    </row>
    <row r="3659" spans="1:9">
      <c r="A3659" s="706">
        <v>131842</v>
      </c>
      <c r="B3659" s="706" t="s">
        <v>5364</v>
      </c>
      <c r="C3659" s="706" t="s">
        <v>8187</v>
      </c>
      <c r="D3659" s="706" t="s">
        <v>2814</v>
      </c>
      <c r="E3659" s="706">
        <v>20.478999999999999</v>
      </c>
      <c r="F3659" s="706" t="s">
        <v>1210</v>
      </c>
      <c r="G3659" s="706">
        <v>408056</v>
      </c>
      <c r="H3659" s="1191">
        <v>45350</v>
      </c>
      <c r="I3659" s="706" t="s">
        <v>5353</v>
      </c>
    </row>
    <row r="3660" spans="1:9">
      <c r="A3660" s="706">
        <v>131843</v>
      </c>
      <c r="B3660" s="706" t="s">
        <v>5365</v>
      </c>
      <c r="D3660" s="706" t="s">
        <v>2814</v>
      </c>
      <c r="H3660" s="1191"/>
      <c r="I3660" s="706" t="s">
        <v>5366</v>
      </c>
    </row>
    <row r="3661" spans="1:9">
      <c r="A3661" s="706">
        <v>131844</v>
      </c>
      <c r="B3661" s="706" t="s">
        <v>5367</v>
      </c>
      <c r="D3661" s="706" t="s">
        <v>2814</v>
      </c>
      <c r="H3661" s="1191"/>
      <c r="I3661" s="706" t="s">
        <v>5366</v>
      </c>
    </row>
    <row r="3662" spans="1:9">
      <c r="A3662" s="706">
        <v>131845</v>
      </c>
      <c r="B3662" s="706" t="s">
        <v>5368</v>
      </c>
      <c r="D3662" s="706" t="s">
        <v>2814</v>
      </c>
      <c r="H3662" s="1191"/>
      <c r="I3662" s="706" t="s">
        <v>5366</v>
      </c>
    </row>
    <row r="3663" spans="1:9">
      <c r="A3663" s="706">
        <v>131846</v>
      </c>
      <c r="B3663" s="706" t="s">
        <v>5369</v>
      </c>
      <c r="D3663" s="706" t="s">
        <v>2814</v>
      </c>
      <c r="H3663" s="1191"/>
      <c r="I3663" s="706" t="s">
        <v>5366</v>
      </c>
    </row>
    <row r="3664" spans="1:9">
      <c r="A3664" s="706">
        <v>131847</v>
      </c>
      <c r="B3664" s="706" t="s">
        <v>5370</v>
      </c>
      <c r="D3664" s="706" t="s">
        <v>2814</v>
      </c>
      <c r="H3664" s="1191"/>
      <c r="I3664" s="706" t="s">
        <v>5366</v>
      </c>
    </row>
    <row r="3665" spans="1:9">
      <c r="A3665" s="706">
        <v>131848</v>
      </c>
      <c r="B3665" s="706" t="s">
        <v>5371</v>
      </c>
      <c r="D3665" s="706" t="s">
        <v>2814</v>
      </c>
      <c r="H3665" s="1191"/>
      <c r="I3665" s="706" t="s">
        <v>5366</v>
      </c>
    </row>
    <row r="3666" spans="1:9">
      <c r="A3666" s="706">
        <v>131849</v>
      </c>
      <c r="B3666" s="706" t="s">
        <v>5372</v>
      </c>
      <c r="D3666" s="706" t="s">
        <v>2814</v>
      </c>
      <c r="H3666" s="1191"/>
      <c r="I3666" s="706" t="s">
        <v>5366</v>
      </c>
    </row>
    <row r="3667" spans="1:9">
      <c r="A3667" s="706">
        <v>131850</v>
      </c>
      <c r="B3667" s="706" t="s">
        <v>5373</v>
      </c>
      <c r="D3667" s="706" t="s">
        <v>2814</v>
      </c>
      <c r="H3667" s="1191"/>
      <c r="I3667" s="706" t="s">
        <v>5366</v>
      </c>
    </row>
    <row r="3668" spans="1:9">
      <c r="A3668" s="706">
        <v>131851</v>
      </c>
      <c r="B3668" s="706" t="s">
        <v>5374</v>
      </c>
      <c r="D3668" s="706" t="s">
        <v>2814</v>
      </c>
      <c r="H3668" s="1191"/>
      <c r="I3668" s="706" t="s">
        <v>5366</v>
      </c>
    </row>
    <row r="3669" spans="1:9">
      <c r="A3669" s="706">
        <v>131852</v>
      </c>
      <c r="B3669" s="706" t="s">
        <v>5375</v>
      </c>
      <c r="C3669" s="706" t="s">
        <v>5350</v>
      </c>
      <c r="D3669" s="706" t="s">
        <v>2814</v>
      </c>
      <c r="E3669" s="706">
        <v>5.1281999999999996</v>
      </c>
      <c r="F3669" s="706" t="s">
        <v>1210</v>
      </c>
      <c r="G3669" s="706">
        <v>411238</v>
      </c>
      <c r="H3669" s="1191">
        <v>45967</v>
      </c>
      <c r="I3669" s="706" t="s">
        <v>5366</v>
      </c>
    </row>
    <row r="3670" spans="1:9">
      <c r="A3670" s="706">
        <v>131853</v>
      </c>
      <c r="B3670" s="706" t="s">
        <v>5376</v>
      </c>
      <c r="D3670" s="706" t="s">
        <v>2814</v>
      </c>
      <c r="H3670" s="1191"/>
      <c r="I3670" s="706" t="s">
        <v>5366</v>
      </c>
    </row>
    <row r="3671" spans="1:9">
      <c r="A3671" s="706">
        <v>131854</v>
      </c>
      <c r="B3671" s="706" t="s">
        <v>5377</v>
      </c>
      <c r="D3671" s="706" t="s">
        <v>2814</v>
      </c>
      <c r="H3671" s="1191"/>
      <c r="I3671" s="706" t="s">
        <v>5366</v>
      </c>
    </row>
    <row r="3672" spans="1:9">
      <c r="A3672" s="706">
        <v>131855</v>
      </c>
      <c r="B3672" s="706" t="s">
        <v>5378</v>
      </c>
      <c r="C3672" s="706" t="s">
        <v>8201</v>
      </c>
      <c r="D3672" s="706" t="s">
        <v>2814</v>
      </c>
      <c r="E3672" s="706">
        <v>21.775600000000001</v>
      </c>
      <c r="F3672" s="706" t="s">
        <v>1210</v>
      </c>
      <c r="G3672" s="706">
        <v>401166</v>
      </c>
      <c r="H3672" s="1191">
        <v>44047</v>
      </c>
      <c r="I3672" s="706" t="s">
        <v>5366</v>
      </c>
    </row>
    <row r="3673" spans="1:9">
      <c r="A3673" s="706">
        <v>131856</v>
      </c>
      <c r="B3673" s="706" t="s">
        <v>5379</v>
      </c>
      <c r="C3673" s="706" t="s">
        <v>8201</v>
      </c>
      <c r="D3673" s="706" t="s">
        <v>2814</v>
      </c>
      <c r="E3673" s="706">
        <v>47.255600000000001</v>
      </c>
      <c r="F3673" s="706" t="s">
        <v>1210</v>
      </c>
      <c r="G3673" s="706">
        <v>403237</v>
      </c>
      <c r="H3673" s="1191">
        <v>44355</v>
      </c>
      <c r="I3673" s="706" t="s">
        <v>5366</v>
      </c>
    </row>
    <row r="3674" spans="1:9">
      <c r="A3674" s="706">
        <v>131857</v>
      </c>
      <c r="B3674" s="706" t="s">
        <v>5380</v>
      </c>
      <c r="D3674" s="706" t="s">
        <v>2814</v>
      </c>
      <c r="H3674" s="1191"/>
      <c r="I3674" s="706" t="s">
        <v>5366</v>
      </c>
    </row>
    <row r="3675" spans="1:9">
      <c r="A3675" s="706">
        <v>131858</v>
      </c>
      <c r="B3675" s="706" t="s">
        <v>772</v>
      </c>
      <c r="C3675" s="706" t="s">
        <v>5350</v>
      </c>
      <c r="D3675" s="706" t="s">
        <v>2814</v>
      </c>
      <c r="E3675" s="706">
        <v>16.7347</v>
      </c>
      <c r="F3675" s="706" t="s">
        <v>1210</v>
      </c>
      <c r="G3675" s="706">
        <v>405012</v>
      </c>
      <c r="H3675" s="1191">
        <v>44697</v>
      </c>
      <c r="I3675" s="706" t="s">
        <v>5366</v>
      </c>
    </row>
    <row r="3676" spans="1:9">
      <c r="A3676" s="706">
        <v>131859</v>
      </c>
      <c r="B3676" s="706" t="s">
        <v>5381</v>
      </c>
      <c r="C3676" s="706" t="s">
        <v>8201</v>
      </c>
      <c r="D3676" s="706" t="s">
        <v>2814</v>
      </c>
      <c r="E3676" s="706">
        <v>19.05</v>
      </c>
      <c r="F3676" s="706" t="s">
        <v>1210</v>
      </c>
      <c r="G3676" s="706">
        <v>403297</v>
      </c>
      <c r="H3676" s="1191">
        <v>44362</v>
      </c>
      <c r="I3676" s="706" t="s">
        <v>5366</v>
      </c>
    </row>
    <row r="3677" spans="1:9">
      <c r="A3677" s="706">
        <v>131860</v>
      </c>
      <c r="B3677" s="706" t="s">
        <v>5382</v>
      </c>
      <c r="C3677" s="706" t="s">
        <v>5350</v>
      </c>
      <c r="D3677" s="706" t="s">
        <v>2814</v>
      </c>
      <c r="E3677" s="706">
        <v>13.875</v>
      </c>
      <c r="F3677" s="706" t="s">
        <v>1210</v>
      </c>
      <c r="G3677" s="706">
        <v>405937</v>
      </c>
      <c r="H3677" s="1191">
        <v>44901</v>
      </c>
      <c r="I3677" s="706" t="s">
        <v>5366</v>
      </c>
    </row>
    <row r="3678" spans="1:9">
      <c r="A3678" s="706">
        <v>131861</v>
      </c>
      <c r="B3678" s="706" t="s">
        <v>774</v>
      </c>
      <c r="C3678" s="706" t="s">
        <v>5350</v>
      </c>
      <c r="D3678" s="706" t="s">
        <v>2814</v>
      </c>
      <c r="E3678" s="706">
        <v>8.5350000000000001</v>
      </c>
      <c r="F3678" s="706" t="s">
        <v>1210</v>
      </c>
      <c r="G3678" s="706">
        <v>407927</v>
      </c>
      <c r="H3678" s="1191">
        <v>45327</v>
      </c>
      <c r="I3678" s="706" t="s">
        <v>5366</v>
      </c>
    </row>
    <row r="3679" spans="1:9">
      <c r="A3679" s="706">
        <v>131862</v>
      </c>
      <c r="B3679" s="706" t="s">
        <v>775</v>
      </c>
      <c r="C3679" s="706" t="s">
        <v>5350</v>
      </c>
      <c r="D3679" s="706" t="s">
        <v>2814</v>
      </c>
      <c r="E3679" s="706">
        <v>6.9522000000000004</v>
      </c>
      <c r="F3679" s="706" t="s">
        <v>1210</v>
      </c>
      <c r="G3679" s="706">
        <v>410571</v>
      </c>
      <c r="H3679" s="1191">
        <v>45845</v>
      </c>
      <c r="I3679" s="706" t="s">
        <v>5366</v>
      </c>
    </row>
    <row r="3680" spans="1:9">
      <c r="A3680" s="706">
        <v>131863</v>
      </c>
      <c r="B3680" s="706" t="s">
        <v>5383</v>
      </c>
      <c r="D3680" s="706" t="s">
        <v>2814</v>
      </c>
      <c r="H3680" s="1191"/>
      <c r="I3680" s="706" t="s">
        <v>5366</v>
      </c>
    </row>
    <row r="3681" spans="1:9">
      <c r="A3681" s="706">
        <v>131864</v>
      </c>
      <c r="B3681" s="706" t="s">
        <v>776</v>
      </c>
      <c r="C3681" s="706" t="s">
        <v>8201</v>
      </c>
      <c r="D3681" s="706" t="s">
        <v>2814</v>
      </c>
      <c r="E3681" s="706">
        <v>4</v>
      </c>
      <c r="F3681" s="706" t="s">
        <v>1210</v>
      </c>
      <c r="G3681" s="706">
        <v>401420</v>
      </c>
      <c r="H3681" s="1191">
        <v>44069</v>
      </c>
      <c r="I3681" s="706" t="s">
        <v>5366</v>
      </c>
    </row>
    <row r="3682" spans="1:9">
      <c r="A3682" s="706">
        <v>131865</v>
      </c>
      <c r="B3682" s="706" t="s">
        <v>5384</v>
      </c>
      <c r="C3682" s="706" t="s">
        <v>8187</v>
      </c>
      <c r="D3682" s="706" t="s">
        <v>2814</v>
      </c>
      <c r="E3682" s="706">
        <v>11.925000000000001</v>
      </c>
      <c r="F3682" s="706" t="s">
        <v>1210</v>
      </c>
      <c r="G3682" s="706">
        <v>403311</v>
      </c>
      <c r="H3682" s="1191">
        <v>44363</v>
      </c>
      <c r="I3682" s="706" t="s">
        <v>5385</v>
      </c>
    </row>
    <row r="3683" spans="1:9">
      <c r="A3683" s="706">
        <v>131866</v>
      </c>
      <c r="B3683" s="706" t="s">
        <v>5386</v>
      </c>
      <c r="C3683" s="706" t="s">
        <v>5350</v>
      </c>
      <c r="D3683" s="706" t="s">
        <v>2814</v>
      </c>
      <c r="E3683" s="706">
        <v>2.3119999999999998</v>
      </c>
      <c r="F3683" s="706" t="s">
        <v>1210</v>
      </c>
      <c r="G3683" s="706">
        <v>411118</v>
      </c>
      <c r="H3683" s="1191">
        <v>45944</v>
      </c>
      <c r="I3683" s="706" t="s">
        <v>5366</v>
      </c>
    </row>
    <row r="3684" spans="1:9">
      <c r="A3684" s="706">
        <v>131867</v>
      </c>
      <c r="B3684" s="706" t="s">
        <v>5387</v>
      </c>
      <c r="D3684" s="706" t="s">
        <v>2814</v>
      </c>
      <c r="H3684" s="1191"/>
      <c r="I3684" s="706" t="s">
        <v>5318</v>
      </c>
    </row>
    <row r="3685" spans="1:9">
      <c r="A3685" s="706">
        <v>131868</v>
      </c>
      <c r="B3685" s="706" t="s">
        <v>5388</v>
      </c>
      <c r="D3685" s="706" t="s">
        <v>2814</v>
      </c>
      <c r="H3685" s="1191"/>
      <c r="I3685" s="706" t="s">
        <v>5318</v>
      </c>
    </row>
    <row r="3686" spans="1:9">
      <c r="A3686" s="706">
        <v>131869</v>
      </c>
      <c r="B3686" s="706" t="s">
        <v>5389</v>
      </c>
      <c r="D3686" s="706" t="s">
        <v>2814</v>
      </c>
      <c r="H3686" s="1191"/>
      <c r="I3686" s="706" t="s">
        <v>5318</v>
      </c>
    </row>
    <row r="3687" spans="1:9">
      <c r="A3687" s="706">
        <v>131870</v>
      </c>
      <c r="B3687" s="706" t="s">
        <v>5390</v>
      </c>
      <c r="D3687" s="706" t="s">
        <v>2814</v>
      </c>
      <c r="H3687" s="1191"/>
      <c r="I3687" s="706" t="s">
        <v>5318</v>
      </c>
    </row>
    <row r="3688" spans="1:9">
      <c r="A3688" s="706">
        <v>131871</v>
      </c>
      <c r="B3688" s="706" t="s">
        <v>5391</v>
      </c>
      <c r="D3688" s="706" t="s">
        <v>2814</v>
      </c>
      <c r="H3688" s="1191"/>
      <c r="I3688" s="706" t="s">
        <v>5318</v>
      </c>
    </row>
    <row r="3689" spans="1:9">
      <c r="A3689" s="706">
        <v>131872</v>
      </c>
      <c r="B3689" s="706" t="s">
        <v>5392</v>
      </c>
      <c r="D3689" s="706" t="s">
        <v>2814</v>
      </c>
      <c r="H3689" s="1191"/>
      <c r="I3689" s="706" t="s">
        <v>5318</v>
      </c>
    </row>
    <row r="3690" spans="1:9">
      <c r="A3690" s="706">
        <v>131873</v>
      </c>
      <c r="B3690" s="706" t="s">
        <v>5393</v>
      </c>
      <c r="D3690" s="706" t="s">
        <v>2814</v>
      </c>
      <c r="H3690" s="1191"/>
      <c r="I3690" s="706" t="s">
        <v>5318</v>
      </c>
    </row>
    <row r="3691" spans="1:9">
      <c r="A3691" s="706">
        <v>131874</v>
      </c>
      <c r="B3691" s="706" t="s">
        <v>5394</v>
      </c>
      <c r="D3691" s="706" t="s">
        <v>2814</v>
      </c>
      <c r="H3691" s="1191"/>
      <c r="I3691" s="706" t="s">
        <v>5318</v>
      </c>
    </row>
    <row r="3692" spans="1:9">
      <c r="A3692" s="706">
        <v>131875</v>
      </c>
      <c r="B3692" s="706" t="s">
        <v>5395</v>
      </c>
      <c r="D3692" s="706" t="s">
        <v>2814</v>
      </c>
      <c r="H3692" s="1191"/>
      <c r="I3692" s="706" t="s">
        <v>5318</v>
      </c>
    </row>
    <row r="3693" spans="1:9">
      <c r="A3693" s="706">
        <v>131876</v>
      </c>
      <c r="B3693" s="706" t="s">
        <v>5396</v>
      </c>
      <c r="D3693" s="706" t="s">
        <v>2814</v>
      </c>
      <c r="H3693" s="1191"/>
      <c r="I3693" s="706" t="s">
        <v>5318</v>
      </c>
    </row>
    <row r="3694" spans="1:9">
      <c r="A3694" s="706">
        <v>131877</v>
      </c>
      <c r="B3694" s="706" t="s">
        <v>5397</v>
      </c>
      <c r="D3694" s="706" t="s">
        <v>2814</v>
      </c>
      <c r="H3694" s="1191"/>
      <c r="I3694" s="706" t="s">
        <v>5318</v>
      </c>
    </row>
    <row r="3695" spans="1:9">
      <c r="A3695" s="706">
        <v>131878</v>
      </c>
      <c r="B3695" s="706" t="s">
        <v>5398</v>
      </c>
      <c r="D3695" s="706" t="s">
        <v>2814</v>
      </c>
      <c r="H3695" s="1191"/>
      <c r="I3695" s="706" t="s">
        <v>5318</v>
      </c>
    </row>
    <row r="3696" spans="1:9">
      <c r="A3696" s="706">
        <v>131879</v>
      </c>
      <c r="B3696" s="706" t="s">
        <v>5399</v>
      </c>
      <c r="D3696" s="706" t="s">
        <v>2814</v>
      </c>
      <c r="H3696" s="1191"/>
      <c r="I3696" s="706" t="s">
        <v>5318</v>
      </c>
    </row>
    <row r="3697" spans="1:9">
      <c r="A3697" s="706">
        <v>131880</v>
      </c>
      <c r="B3697" s="706" t="s">
        <v>5400</v>
      </c>
      <c r="D3697" s="706" t="s">
        <v>2814</v>
      </c>
      <c r="H3697" s="1191"/>
      <c r="I3697" s="706" t="s">
        <v>5318</v>
      </c>
    </row>
    <row r="3698" spans="1:9">
      <c r="A3698" s="706">
        <v>131881</v>
      </c>
      <c r="B3698" s="706" t="s">
        <v>5401</v>
      </c>
      <c r="D3698" s="706" t="s">
        <v>2814</v>
      </c>
      <c r="H3698" s="1191"/>
      <c r="I3698" s="706" t="s">
        <v>5318</v>
      </c>
    </row>
    <row r="3699" spans="1:9">
      <c r="A3699" s="706">
        <v>131882</v>
      </c>
      <c r="B3699" s="706" t="s">
        <v>5402</v>
      </c>
      <c r="D3699" s="706" t="s">
        <v>2814</v>
      </c>
      <c r="H3699" s="1191"/>
      <c r="I3699" s="706" t="s">
        <v>5318</v>
      </c>
    </row>
    <row r="3700" spans="1:9">
      <c r="A3700" s="706">
        <v>131883</v>
      </c>
      <c r="B3700" s="706" t="s">
        <v>5403</v>
      </c>
      <c r="D3700" s="706" t="s">
        <v>2814</v>
      </c>
      <c r="H3700" s="1191"/>
      <c r="I3700" s="706" t="s">
        <v>5318</v>
      </c>
    </row>
    <row r="3701" spans="1:9">
      <c r="A3701" s="706">
        <v>131884</v>
      </c>
      <c r="B3701" s="706" t="s">
        <v>5404</v>
      </c>
      <c r="D3701" s="706" t="s">
        <v>2814</v>
      </c>
      <c r="H3701" s="1191"/>
      <c r="I3701" s="706" t="s">
        <v>5318</v>
      </c>
    </row>
    <row r="3702" spans="1:9">
      <c r="A3702" s="706">
        <v>131885</v>
      </c>
      <c r="B3702" s="706" t="s">
        <v>5405</v>
      </c>
      <c r="D3702" s="706" t="s">
        <v>2814</v>
      </c>
      <c r="H3702" s="1191"/>
      <c r="I3702" s="706" t="s">
        <v>5318</v>
      </c>
    </row>
    <row r="3703" spans="1:9">
      <c r="A3703" s="706">
        <v>131886</v>
      </c>
      <c r="B3703" s="706" t="s">
        <v>5406</v>
      </c>
      <c r="D3703" s="706" t="s">
        <v>2814</v>
      </c>
      <c r="H3703" s="1191"/>
      <c r="I3703" s="706" t="s">
        <v>5318</v>
      </c>
    </row>
    <row r="3704" spans="1:9">
      <c r="A3704" s="706">
        <v>131887</v>
      </c>
      <c r="B3704" s="706" t="s">
        <v>5407</v>
      </c>
      <c r="D3704" s="706" t="s">
        <v>2814</v>
      </c>
      <c r="H3704" s="1191"/>
      <c r="I3704" s="706" t="s">
        <v>5318</v>
      </c>
    </row>
    <row r="3705" spans="1:9">
      <c r="A3705" s="706">
        <v>131888</v>
      </c>
      <c r="B3705" s="706" t="s">
        <v>5408</v>
      </c>
      <c r="D3705" s="706" t="s">
        <v>2814</v>
      </c>
      <c r="H3705" s="1191"/>
      <c r="I3705" s="706" t="s">
        <v>5318</v>
      </c>
    </row>
    <row r="3706" spans="1:9">
      <c r="A3706" s="706">
        <v>131889</v>
      </c>
      <c r="B3706" s="706" t="s">
        <v>5409</v>
      </c>
      <c r="D3706" s="706" t="s">
        <v>2814</v>
      </c>
      <c r="H3706" s="1191"/>
      <c r="I3706" s="706" t="s">
        <v>5318</v>
      </c>
    </row>
    <row r="3707" spans="1:9">
      <c r="A3707" s="706">
        <v>131890</v>
      </c>
      <c r="B3707" s="706" t="s">
        <v>5410</v>
      </c>
      <c r="D3707" s="706" t="s">
        <v>2814</v>
      </c>
      <c r="H3707" s="1191"/>
      <c r="I3707" s="706" t="s">
        <v>5318</v>
      </c>
    </row>
    <row r="3708" spans="1:9">
      <c r="A3708" s="706">
        <v>131891</v>
      </c>
      <c r="B3708" s="706" t="s">
        <v>5411</v>
      </c>
      <c r="C3708" s="706" t="s">
        <v>8202</v>
      </c>
      <c r="D3708" s="706" t="s">
        <v>2814</v>
      </c>
      <c r="E3708" s="706">
        <v>8.9976000000000003</v>
      </c>
      <c r="F3708" s="706" t="s">
        <v>1210</v>
      </c>
      <c r="G3708" s="706">
        <v>402067</v>
      </c>
      <c r="H3708" s="1191">
        <v>44167</v>
      </c>
      <c r="I3708" s="706" t="s">
        <v>5318</v>
      </c>
    </row>
    <row r="3709" spans="1:9">
      <c r="A3709" s="706">
        <v>131892</v>
      </c>
      <c r="B3709" s="706" t="s">
        <v>5413</v>
      </c>
      <c r="D3709" s="706" t="s">
        <v>2814</v>
      </c>
      <c r="H3709" s="1191"/>
      <c r="I3709" s="706" t="s">
        <v>5318</v>
      </c>
    </row>
    <row r="3710" spans="1:9">
      <c r="A3710" s="706">
        <v>131893</v>
      </c>
      <c r="B3710" s="706" t="s">
        <v>5414</v>
      </c>
      <c r="D3710" s="706" t="s">
        <v>2814</v>
      </c>
      <c r="H3710" s="1191"/>
      <c r="I3710" s="706" t="s">
        <v>5318</v>
      </c>
    </row>
    <row r="3711" spans="1:9">
      <c r="A3711" s="706">
        <v>131894</v>
      </c>
      <c r="B3711" s="706" t="s">
        <v>5415</v>
      </c>
      <c r="C3711" s="706" t="s">
        <v>8202</v>
      </c>
      <c r="D3711" s="706" t="s">
        <v>2814</v>
      </c>
      <c r="E3711" s="706">
        <v>3.7776999999999998</v>
      </c>
      <c r="F3711" s="706" t="s">
        <v>1210</v>
      </c>
      <c r="G3711" s="706">
        <v>401091</v>
      </c>
      <c r="H3711" s="1191">
        <v>44035</v>
      </c>
      <c r="I3711" s="706" t="s">
        <v>5318</v>
      </c>
    </row>
    <row r="3712" spans="1:9">
      <c r="A3712" s="706">
        <v>131895</v>
      </c>
      <c r="B3712" s="706" t="s">
        <v>5416</v>
      </c>
      <c r="D3712" s="706" t="s">
        <v>2814</v>
      </c>
      <c r="H3712" s="1191"/>
      <c r="I3712" s="706" t="s">
        <v>5318</v>
      </c>
    </row>
    <row r="3713" spans="1:9">
      <c r="A3713" s="706">
        <v>131896</v>
      </c>
      <c r="B3713" s="706" t="s">
        <v>5417</v>
      </c>
      <c r="D3713" s="706" t="s">
        <v>2814</v>
      </c>
      <c r="H3713" s="1191"/>
      <c r="I3713" s="706" t="s">
        <v>5318</v>
      </c>
    </row>
    <row r="3714" spans="1:9">
      <c r="A3714" s="706">
        <v>131897</v>
      </c>
      <c r="B3714" s="706" t="s">
        <v>5418</v>
      </c>
      <c r="D3714" s="706" t="s">
        <v>2814</v>
      </c>
      <c r="H3714" s="1191"/>
      <c r="I3714" s="706" t="s">
        <v>5318</v>
      </c>
    </row>
    <row r="3715" spans="1:9">
      <c r="A3715" s="706">
        <v>131898</v>
      </c>
      <c r="B3715" s="706" t="s">
        <v>5419</v>
      </c>
      <c r="D3715" s="706" t="s">
        <v>2814</v>
      </c>
      <c r="H3715" s="1191"/>
      <c r="I3715" s="706" t="s">
        <v>5318</v>
      </c>
    </row>
    <row r="3716" spans="1:9">
      <c r="A3716" s="706">
        <v>131899</v>
      </c>
      <c r="B3716" s="706" t="s">
        <v>5420</v>
      </c>
      <c r="D3716" s="706" t="s">
        <v>2814</v>
      </c>
      <c r="H3716" s="1191"/>
      <c r="I3716" s="706" t="s">
        <v>5318</v>
      </c>
    </row>
    <row r="3717" spans="1:9">
      <c r="A3717" s="706">
        <v>131900</v>
      </c>
      <c r="B3717" s="706" t="s">
        <v>5421</v>
      </c>
      <c r="D3717" s="706" t="s">
        <v>2814</v>
      </c>
      <c r="H3717" s="1191"/>
      <c r="I3717" s="706" t="s">
        <v>5318</v>
      </c>
    </row>
    <row r="3718" spans="1:9">
      <c r="A3718" s="706">
        <v>131901</v>
      </c>
      <c r="B3718" s="706" t="s">
        <v>5422</v>
      </c>
      <c r="D3718" s="706" t="s">
        <v>2814</v>
      </c>
      <c r="H3718" s="1191"/>
      <c r="I3718" s="706" t="s">
        <v>5318</v>
      </c>
    </row>
    <row r="3719" spans="1:9">
      <c r="A3719" s="706">
        <v>131902</v>
      </c>
      <c r="B3719" s="706" t="s">
        <v>5423</v>
      </c>
      <c r="D3719" s="706" t="s">
        <v>2814</v>
      </c>
      <c r="H3719" s="1191"/>
      <c r="I3719" s="706" t="s">
        <v>5318</v>
      </c>
    </row>
    <row r="3720" spans="1:9">
      <c r="A3720" s="706">
        <v>131903</v>
      </c>
      <c r="B3720" s="706" t="s">
        <v>5424</v>
      </c>
      <c r="D3720" s="706" t="s">
        <v>2814</v>
      </c>
      <c r="H3720" s="1191"/>
      <c r="I3720" s="706" t="s">
        <v>5318</v>
      </c>
    </row>
    <row r="3721" spans="1:9">
      <c r="A3721" s="706">
        <v>131904</v>
      </c>
      <c r="B3721" s="706" t="s">
        <v>5425</v>
      </c>
      <c r="D3721" s="706" t="s">
        <v>2814</v>
      </c>
      <c r="H3721" s="1191"/>
      <c r="I3721" s="706" t="s">
        <v>5318</v>
      </c>
    </row>
    <row r="3722" spans="1:9">
      <c r="A3722" s="706">
        <v>131905</v>
      </c>
      <c r="B3722" s="706" t="s">
        <v>777</v>
      </c>
      <c r="C3722" s="706" t="s">
        <v>8202</v>
      </c>
      <c r="D3722" s="706" t="s">
        <v>2814</v>
      </c>
      <c r="E3722" s="706">
        <v>13.92</v>
      </c>
      <c r="F3722" s="706" t="s">
        <v>1210</v>
      </c>
      <c r="G3722" s="706">
        <v>400227</v>
      </c>
      <c r="H3722" s="1191">
        <v>43942</v>
      </c>
      <c r="I3722" s="706" t="s">
        <v>5318</v>
      </c>
    </row>
    <row r="3723" spans="1:9">
      <c r="A3723" s="706">
        <v>131906</v>
      </c>
      <c r="B3723" s="706" t="s">
        <v>5426</v>
      </c>
      <c r="C3723" s="706" t="s">
        <v>8202</v>
      </c>
      <c r="D3723" s="706" t="s">
        <v>2814</v>
      </c>
      <c r="E3723" s="706">
        <v>9.843</v>
      </c>
      <c r="F3723" s="706" t="s">
        <v>1210</v>
      </c>
      <c r="G3723" s="706">
        <v>405145</v>
      </c>
      <c r="H3723" s="1191">
        <v>44722</v>
      </c>
      <c r="I3723" s="706" t="s">
        <v>5318</v>
      </c>
    </row>
    <row r="3724" spans="1:9">
      <c r="A3724" s="706">
        <v>131907</v>
      </c>
      <c r="B3724" s="706" t="s">
        <v>5427</v>
      </c>
      <c r="D3724" s="706" t="s">
        <v>2814</v>
      </c>
      <c r="H3724" s="1191"/>
      <c r="I3724" s="706" t="s">
        <v>5318</v>
      </c>
    </row>
    <row r="3725" spans="1:9">
      <c r="A3725" s="706">
        <v>131908</v>
      </c>
      <c r="B3725" s="706" t="s">
        <v>5428</v>
      </c>
      <c r="C3725" s="706" t="s">
        <v>8202</v>
      </c>
      <c r="D3725" s="706" t="s">
        <v>2814</v>
      </c>
      <c r="E3725" s="706">
        <v>7.1776999999999997</v>
      </c>
      <c r="F3725" s="706" t="s">
        <v>1210</v>
      </c>
      <c r="G3725" s="706">
        <v>404580</v>
      </c>
      <c r="H3725" s="1191">
        <v>44616</v>
      </c>
      <c r="I3725" s="706" t="s">
        <v>5318</v>
      </c>
    </row>
    <row r="3726" spans="1:9">
      <c r="A3726" s="706">
        <v>131909</v>
      </c>
      <c r="B3726" s="706" t="s">
        <v>5429</v>
      </c>
      <c r="D3726" s="706" t="s">
        <v>2814</v>
      </c>
      <c r="H3726" s="1191"/>
      <c r="I3726" s="706" t="s">
        <v>5318</v>
      </c>
    </row>
    <row r="3727" spans="1:9">
      <c r="A3727" s="706">
        <v>131910</v>
      </c>
      <c r="B3727" s="706" t="s">
        <v>5430</v>
      </c>
      <c r="C3727" s="706" t="s">
        <v>8202</v>
      </c>
      <c r="D3727" s="706" t="s">
        <v>2814</v>
      </c>
      <c r="E3727" s="706">
        <v>3.3795000000000002</v>
      </c>
      <c r="F3727" s="706" t="s">
        <v>1210</v>
      </c>
      <c r="G3727" s="706">
        <v>404580</v>
      </c>
      <c r="H3727" s="1191">
        <v>44616</v>
      </c>
      <c r="I3727" s="706" t="s">
        <v>5318</v>
      </c>
    </row>
    <row r="3728" spans="1:9">
      <c r="A3728" s="706">
        <v>131911</v>
      </c>
      <c r="B3728" s="706" t="s">
        <v>5431</v>
      </c>
      <c r="D3728" s="706" t="s">
        <v>2814</v>
      </c>
      <c r="H3728" s="1191"/>
      <c r="I3728" s="706" t="s">
        <v>5432</v>
      </c>
    </row>
    <row r="3729" spans="1:9">
      <c r="A3729" s="706">
        <v>131912</v>
      </c>
      <c r="B3729" s="706" t="s">
        <v>5433</v>
      </c>
      <c r="C3729" s="706" t="s">
        <v>8187</v>
      </c>
      <c r="D3729" s="706" t="s">
        <v>2814</v>
      </c>
      <c r="E3729" s="706">
        <v>6.1825000000000001</v>
      </c>
      <c r="F3729" s="706" t="s">
        <v>1210</v>
      </c>
      <c r="G3729" s="706">
        <v>404447</v>
      </c>
      <c r="H3729" s="1191">
        <v>44589</v>
      </c>
      <c r="I3729" s="706" t="s">
        <v>5353</v>
      </c>
    </row>
    <row r="3730" spans="1:9">
      <c r="A3730" s="706">
        <v>131950</v>
      </c>
      <c r="B3730" s="706" t="s">
        <v>5434</v>
      </c>
      <c r="D3730" s="706" t="s">
        <v>2814</v>
      </c>
      <c r="H3730" s="1191"/>
      <c r="I3730" s="706" t="s">
        <v>5435</v>
      </c>
    </row>
    <row r="3731" spans="1:9">
      <c r="A3731" s="706">
        <v>131951</v>
      </c>
      <c r="B3731" s="706" t="s">
        <v>5436</v>
      </c>
      <c r="D3731" s="706" t="s">
        <v>2814</v>
      </c>
      <c r="H3731" s="1191"/>
      <c r="I3731" s="706" t="s">
        <v>5435</v>
      </c>
    </row>
    <row r="3732" spans="1:9">
      <c r="A3732" s="706">
        <v>131952</v>
      </c>
      <c r="B3732" s="706" t="s">
        <v>5437</v>
      </c>
      <c r="D3732" s="706" t="s">
        <v>2814</v>
      </c>
      <c r="H3732" s="1191"/>
      <c r="I3732" s="706" t="s">
        <v>5435</v>
      </c>
    </row>
    <row r="3733" spans="1:9">
      <c r="A3733" s="706">
        <v>131953</v>
      </c>
      <c r="B3733" s="706" t="s">
        <v>5438</v>
      </c>
      <c r="D3733" s="706" t="s">
        <v>2814</v>
      </c>
      <c r="H3733" s="1191"/>
      <c r="I3733" s="706" t="s">
        <v>5435</v>
      </c>
    </row>
    <row r="3734" spans="1:9">
      <c r="A3734" s="706">
        <v>131954</v>
      </c>
      <c r="B3734" s="706" t="s">
        <v>5439</v>
      </c>
      <c r="D3734" s="706" t="s">
        <v>2814</v>
      </c>
      <c r="H3734" s="1191"/>
      <c r="I3734" s="706" t="s">
        <v>5435</v>
      </c>
    </row>
    <row r="3735" spans="1:9">
      <c r="A3735" s="706">
        <v>133358</v>
      </c>
      <c r="B3735" s="706" t="s">
        <v>5440</v>
      </c>
      <c r="D3735" s="706" t="s">
        <v>2814</v>
      </c>
      <c r="H3735" s="1191"/>
      <c r="I3735" s="706" t="s">
        <v>5366</v>
      </c>
    </row>
    <row r="3736" spans="1:9">
      <c r="A3736" s="706">
        <v>133359</v>
      </c>
      <c r="B3736" s="706" t="s">
        <v>5441</v>
      </c>
      <c r="C3736" s="706" t="s">
        <v>5442</v>
      </c>
      <c r="D3736" s="706" t="s">
        <v>2814</v>
      </c>
      <c r="E3736" s="706">
        <v>1.24</v>
      </c>
      <c r="F3736" s="706" t="s">
        <v>28</v>
      </c>
      <c r="G3736" s="706">
        <v>404305</v>
      </c>
      <c r="H3736" s="1191">
        <v>44567</v>
      </c>
      <c r="I3736" s="706" t="s">
        <v>5443</v>
      </c>
    </row>
    <row r="3737" spans="1:9">
      <c r="A3737" s="706">
        <v>133360</v>
      </c>
      <c r="B3737" s="706" t="s">
        <v>5444</v>
      </c>
      <c r="C3737" s="706" t="s">
        <v>8202</v>
      </c>
      <c r="D3737" s="706" t="s">
        <v>2814</v>
      </c>
      <c r="E3737" s="706">
        <v>4.2119</v>
      </c>
      <c r="F3737" s="706" t="s">
        <v>28</v>
      </c>
      <c r="G3737" s="706">
        <v>404328</v>
      </c>
      <c r="H3737" s="1191">
        <v>44573</v>
      </c>
      <c r="I3737" s="706" t="s">
        <v>5318</v>
      </c>
    </row>
    <row r="3738" spans="1:9">
      <c r="A3738" s="706">
        <v>133361</v>
      </c>
      <c r="B3738" s="706" t="s">
        <v>5445</v>
      </c>
      <c r="C3738" s="706" t="s">
        <v>8202</v>
      </c>
      <c r="D3738" s="706" t="s">
        <v>2814</v>
      </c>
      <c r="E3738" s="706">
        <v>8.07</v>
      </c>
      <c r="F3738" s="706" t="s">
        <v>28</v>
      </c>
      <c r="G3738" s="706">
        <v>405534</v>
      </c>
      <c r="H3738" s="1191">
        <v>44804</v>
      </c>
      <c r="I3738" s="706" t="s">
        <v>5318</v>
      </c>
    </row>
    <row r="3739" spans="1:9">
      <c r="A3739" s="706">
        <v>133362</v>
      </c>
      <c r="B3739" s="706" t="s">
        <v>5446</v>
      </c>
      <c r="C3739" s="706" t="s">
        <v>8202</v>
      </c>
      <c r="D3739" s="706" t="s">
        <v>2814</v>
      </c>
      <c r="E3739" s="706">
        <v>5.47</v>
      </c>
      <c r="F3739" s="706" t="s">
        <v>28</v>
      </c>
      <c r="G3739" s="706">
        <v>402368</v>
      </c>
      <c r="H3739" s="1191">
        <v>44218</v>
      </c>
      <c r="I3739" s="706" t="s">
        <v>5318</v>
      </c>
    </row>
    <row r="3740" spans="1:9">
      <c r="A3740" s="706">
        <v>133363</v>
      </c>
      <c r="B3740" s="706" t="s">
        <v>5447</v>
      </c>
      <c r="C3740" s="706" t="s">
        <v>8202</v>
      </c>
      <c r="D3740" s="706" t="s">
        <v>2814</v>
      </c>
      <c r="E3740" s="706">
        <v>3.0409999999999999</v>
      </c>
      <c r="F3740" s="706" t="s">
        <v>28</v>
      </c>
      <c r="G3740" s="706">
        <v>402368</v>
      </c>
      <c r="H3740" s="1191">
        <v>44218</v>
      </c>
      <c r="I3740" s="706" t="s">
        <v>5318</v>
      </c>
    </row>
    <row r="3741" spans="1:9">
      <c r="A3741" s="706">
        <v>133364</v>
      </c>
      <c r="B3741" s="706" t="s">
        <v>5448</v>
      </c>
      <c r="C3741" s="706" t="s">
        <v>8202</v>
      </c>
      <c r="D3741" s="706" t="s">
        <v>2814</v>
      </c>
      <c r="E3741" s="706">
        <v>2.48</v>
      </c>
      <c r="F3741" s="706" t="s">
        <v>28</v>
      </c>
      <c r="G3741" s="706">
        <v>402116</v>
      </c>
      <c r="H3741" s="1191">
        <v>44175</v>
      </c>
      <c r="I3741" s="706" t="s">
        <v>5318</v>
      </c>
    </row>
    <row r="3742" spans="1:9">
      <c r="A3742" s="706">
        <v>133365</v>
      </c>
      <c r="B3742" s="706" t="s">
        <v>5449</v>
      </c>
      <c r="C3742" s="706" t="s">
        <v>8201</v>
      </c>
      <c r="D3742" s="706" t="s">
        <v>2814</v>
      </c>
      <c r="E3742" s="706">
        <v>0.1188</v>
      </c>
      <c r="F3742" s="706" t="s">
        <v>30</v>
      </c>
      <c r="G3742" s="706">
        <v>401608</v>
      </c>
      <c r="H3742" s="1191">
        <v>44096</v>
      </c>
      <c r="I3742" s="706" t="s">
        <v>5366</v>
      </c>
    </row>
    <row r="3743" spans="1:9">
      <c r="A3743" s="706">
        <v>133366</v>
      </c>
      <c r="B3743" s="706" t="s">
        <v>5450</v>
      </c>
      <c r="D3743" s="706" t="s">
        <v>2814</v>
      </c>
      <c r="H3743" s="1191"/>
      <c r="I3743" s="706" t="s">
        <v>5451</v>
      </c>
    </row>
    <row r="3744" spans="1:9">
      <c r="A3744" s="706">
        <v>133367</v>
      </c>
      <c r="B3744" s="706" t="s">
        <v>5452</v>
      </c>
      <c r="D3744" s="706" t="s">
        <v>2814</v>
      </c>
      <c r="H3744" s="1191"/>
      <c r="I3744" s="706" t="s">
        <v>5451</v>
      </c>
    </row>
    <row r="3745" spans="1:9">
      <c r="A3745" s="706">
        <v>133368</v>
      </c>
      <c r="B3745" s="706" t="s">
        <v>5453</v>
      </c>
      <c r="C3745" s="706" t="s">
        <v>8201</v>
      </c>
      <c r="D3745" s="706" t="s">
        <v>2814</v>
      </c>
      <c r="E3745" s="706">
        <v>6.89</v>
      </c>
      <c r="F3745" s="706" t="s">
        <v>1014</v>
      </c>
      <c r="G3745" s="706">
        <v>400707</v>
      </c>
      <c r="H3745" s="1191">
        <v>43994</v>
      </c>
      <c r="I3745" s="706" t="s">
        <v>5451</v>
      </c>
    </row>
    <row r="3746" spans="1:9">
      <c r="A3746" s="706">
        <v>133369</v>
      </c>
      <c r="B3746" s="706" t="s">
        <v>5454</v>
      </c>
      <c r="C3746" s="706" t="s">
        <v>8202</v>
      </c>
      <c r="D3746" s="706" t="s">
        <v>2814</v>
      </c>
      <c r="E3746" s="706">
        <v>19.89</v>
      </c>
      <c r="F3746" s="706" t="s">
        <v>1014</v>
      </c>
      <c r="G3746" s="706">
        <v>411800</v>
      </c>
      <c r="H3746" s="1191">
        <v>46076</v>
      </c>
      <c r="I3746" s="706" t="s">
        <v>5366</v>
      </c>
    </row>
    <row r="3747" spans="1:9">
      <c r="A3747" s="706">
        <v>133370</v>
      </c>
      <c r="B3747" s="706" t="s">
        <v>5455</v>
      </c>
      <c r="D3747" s="706" t="s">
        <v>2814</v>
      </c>
      <c r="H3747" s="1191"/>
      <c r="I3747" s="706" t="s">
        <v>5366</v>
      </c>
    </row>
    <row r="3748" spans="1:9">
      <c r="A3748" s="706">
        <v>133371</v>
      </c>
      <c r="B3748" s="706" t="s">
        <v>5456</v>
      </c>
      <c r="D3748" s="706" t="s">
        <v>2814</v>
      </c>
      <c r="H3748" s="1191"/>
      <c r="I3748" s="706" t="s">
        <v>5366</v>
      </c>
    </row>
    <row r="3749" spans="1:9">
      <c r="A3749" s="706">
        <v>133372</v>
      </c>
      <c r="B3749" s="706" t="s">
        <v>5457</v>
      </c>
      <c r="D3749" s="706" t="s">
        <v>2814</v>
      </c>
      <c r="H3749" s="1191"/>
      <c r="I3749" s="706" t="s">
        <v>5318</v>
      </c>
    </row>
    <row r="3750" spans="1:9">
      <c r="A3750" s="706">
        <v>133373</v>
      </c>
      <c r="B3750" s="706" t="s">
        <v>5458</v>
      </c>
      <c r="C3750" s="706" t="s">
        <v>8202</v>
      </c>
      <c r="D3750" s="706" t="s">
        <v>2814</v>
      </c>
      <c r="E3750" s="706">
        <v>16.5595</v>
      </c>
      <c r="F3750" s="706" t="s">
        <v>28</v>
      </c>
      <c r="G3750" s="706">
        <v>411800</v>
      </c>
      <c r="H3750" s="1191">
        <v>46076</v>
      </c>
      <c r="I3750" s="706" t="s">
        <v>5318</v>
      </c>
    </row>
    <row r="3751" spans="1:9">
      <c r="A3751" s="706">
        <v>133374</v>
      </c>
      <c r="B3751" s="706" t="s">
        <v>5459</v>
      </c>
      <c r="D3751" s="706" t="s">
        <v>2814</v>
      </c>
      <c r="H3751" s="1191"/>
      <c r="I3751" s="706" t="s">
        <v>5318</v>
      </c>
    </row>
    <row r="3752" spans="1:9">
      <c r="A3752" s="706">
        <v>133375</v>
      </c>
      <c r="B3752" s="706" t="s">
        <v>5460</v>
      </c>
      <c r="D3752" s="706" t="s">
        <v>2814</v>
      </c>
      <c r="H3752" s="1191"/>
      <c r="I3752" s="706" t="s">
        <v>5318</v>
      </c>
    </row>
    <row r="3753" spans="1:9">
      <c r="A3753" s="706">
        <v>133376</v>
      </c>
      <c r="B3753" s="706" t="s">
        <v>5461</v>
      </c>
      <c r="D3753" s="706" t="s">
        <v>2814</v>
      </c>
      <c r="H3753" s="1191"/>
      <c r="I3753" s="706" t="s">
        <v>5318</v>
      </c>
    </row>
    <row r="3754" spans="1:9">
      <c r="A3754" s="706">
        <v>133377</v>
      </c>
      <c r="B3754" s="706" t="s">
        <v>5462</v>
      </c>
      <c r="D3754" s="706" t="s">
        <v>2814</v>
      </c>
      <c r="H3754" s="1191"/>
      <c r="I3754" s="706" t="s">
        <v>5318</v>
      </c>
    </row>
    <row r="3755" spans="1:9">
      <c r="A3755" s="706">
        <v>133378</v>
      </c>
      <c r="B3755" s="706" t="s">
        <v>5463</v>
      </c>
      <c r="D3755" s="706" t="s">
        <v>2814</v>
      </c>
      <c r="H3755" s="1191"/>
      <c r="I3755" s="706" t="s">
        <v>5318</v>
      </c>
    </row>
    <row r="3756" spans="1:9">
      <c r="A3756" s="706">
        <v>133379</v>
      </c>
      <c r="B3756" s="706" t="s">
        <v>5464</v>
      </c>
      <c r="D3756" s="706" t="s">
        <v>2814</v>
      </c>
      <c r="H3756" s="1191"/>
      <c r="I3756" s="706" t="s">
        <v>5318</v>
      </c>
    </row>
    <row r="3757" spans="1:9">
      <c r="A3757" s="706">
        <v>133380</v>
      </c>
      <c r="B3757" s="706" t="s">
        <v>5465</v>
      </c>
      <c r="D3757" s="706" t="s">
        <v>2814</v>
      </c>
      <c r="H3757" s="1191"/>
      <c r="I3757" s="706" t="s">
        <v>5318</v>
      </c>
    </row>
    <row r="3758" spans="1:9">
      <c r="A3758" s="706">
        <v>133381</v>
      </c>
      <c r="B3758" s="706" t="s">
        <v>5466</v>
      </c>
      <c r="D3758" s="706" t="s">
        <v>2814</v>
      </c>
      <c r="H3758" s="1191"/>
      <c r="I3758" s="706" t="s">
        <v>5318</v>
      </c>
    </row>
    <row r="3759" spans="1:9">
      <c r="A3759" s="706">
        <v>133382</v>
      </c>
      <c r="B3759" s="706" t="s">
        <v>5467</v>
      </c>
      <c r="D3759" s="706" t="s">
        <v>2814</v>
      </c>
      <c r="H3759" s="1191"/>
      <c r="I3759" s="706" t="s">
        <v>5318</v>
      </c>
    </row>
    <row r="3760" spans="1:9">
      <c r="A3760" s="706">
        <v>133383</v>
      </c>
      <c r="B3760" s="706" t="s">
        <v>5468</v>
      </c>
      <c r="D3760" s="706" t="s">
        <v>2814</v>
      </c>
      <c r="H3760" s="1191"/>
      <c r="I3760" s="706" t="s">
        <v>5318</v>
      </c>
    </row>
    <row r="3761" spans="1:9">
      <c r="A3761" s="706">
        <v>133384</v>
      </c>
      <c r="B3761" s="706" t="s">
        <v>5469</v>
      </c>
      <c r="D3761" s="706" t="s">
        <v>2814</v>
      </c>
      <c r="H3761" s="1191"/>
      <c r="I3761" s="706" t="s">
        <v>5318</v>
      </c>
    </row>
    <row r="3762" spans="1:9">
      <c r="A3762" s="706">
        <v>133385</v>
      </c>
      <c r="B3762" s="706" t="s">
        <v>5470</v>
      </c>
      <c r="D3762" s="706" t="s">
        <v>2814</v>
      </c>
      <c r="H3762" s="1191"/>
      <c r="I3762" s="706" t="s">
        <v>5318</v>
      </c>
    </row>
    <row r="3763" spans="1:9">
      <c r="A3763" s="706">
        <v>133386</v>
      </c>
      <c r="B3763" s="706" t="s">
        <v>5471</v>
      </c>
      <c r="D3763" s="706" t="s">
        <v>2814</v>
      </c>
      <c r="H3763" s="1191"/>
      <c r="I3763" s="706" t="s">
        <v>5318</v>
      </c>
    </row>
    <row r="3764" spans="1:9">
      <c r="A3764" s="706">
        <v>133387</v>
      </c>
      <c r="B3764" s="706" t="s">
        <v>5472</v>
      </c>
      <c r="D3764" s="706" t="s">
        <v>2814</v>
      </c>
      <c r="H3764" s="1191"/>
      <c r="I3764" s="706" t="s">
        <v>5318</v>
      </c>
    </row>
    <row r="3765" spans="1:9">
      <c r="A3765" s="706">
        <v>133388</v>
      </c>
      <c r="B3765" s="706" t="s">
        <v>5473</v>
      </c>
      <c r="D3765" s="706" t="s">
        <v>2814</v>
      </c>
      <c r="H3765" s="1191"/>
      <c r="I3765" s="706" t="s">
        <v>5318</v>
      </c>
    </row>
    <row r="3766" spans="1:9">
      <c r="A3766" s="706">
        <v>133389</v>
      </c>
      <c r="B3766" s="706" t="s">
        <v>5474</v>
      </c>
      <c r="D3766" s="706" t="s">
        <v>2814</v>
      </c>
      <c r="H3766" s="1191"/>
      <c r="I3766" s="706" t="s">
        <v>5318</v>
      </c>
    </row>
    <row r="3767" spans="1:9">
      <c r="A3767" s="706">
        <v>133390</v>
      </c>
      <c r="B3767" s="706" t="s">
        <v>5475</v>
      </c>
      <c r="D3767" s="706" t="s">
        <v>2814</v>
      </c>
      <c r="H3767" s="1191"/>
      <c r="I3767" s="706" t="s">
        <v>5318</v>
      </c>
    </row>
    <row r="3768" spans="1:9">
      <c r="A3768" s="706">
        <v>133391</v>
      </c>
      <c r="B3768" s="706" t="s">
        <v>5476</v>
      </c>
      <c r="D3768" s="706" t="s">
        <v>2814</v>
      </c>
      <c r="H3768" s="1191"/>
      <c r="I3768" s="706" t="s">
        <v>5318</v>
      </c>
    </row>
    <row r="3769" spans="1:9">
      <c r="A3769" s="706">
        <v>133392</v>
      </c>
      <c r="B3769" s="706" t="s">
        <v>5477</v>
      </c>
      <c r="D3769" s="706" t="s">
        <v>2814</v>
      </c>
      <c r="H3769" s="1191"/>
      <c r="I3769" s="706" t="s">
        <v>5318</v>
      </c>
    </row>
    <row r="3770" spans="1:9">
      <c r="A3770" s="706">
        <v>133393</v>
      </c>
      <c r="B3770" s="706" t="s">
        <v>5478</v>
      </c>
      <c r="D3770" s="706" t="s">
        <v>2814</v>
      </c>
      <c r="H3770" s="1191"/>
      <c r="I3770" s="706" t="s">
        <v>5318</v>
      </c>
    </row>
    <row r="3771" spans="1:9">
      <c r="A3771" s="706">
        <v>133394</v>
      </c>
      <c r="B3771" s="706" t="s">
        <v>5479</v>
      </c>
      <c r="D3771" s="706" t="s">
        <v>2814</v>
      </c>
      <c r="H3771" s="1191"/>
      <c r="I3771" s="706" t="s">
        <v>5318</v>
      </c>
    </row>
    <row r="3772" spans="1:9">
      <c r="A3772" s="706">
        <v>133395</v>
      </c>
      <c r="B3772" s="706" t="s">
        <v>5480</v>
      </c>
      <c r="D3772" s="706" t="s">
        <v>2814</v>
      </c>
      <c r="H3772" s="1191"/>
      <c r="I3772" s="706" t="s">
        <v>5318</v>
      </c>
    </row>
    <row r="3773" spans="1:9">
      <c r="A3773" s="706">
        <v>133396</v>
      </c>
      <c r="B3773" s="706" t="s">
        <v>5481</v>
      </c>
      <c r="D3773" s="706" t="s">
        <v>2814</v>
      </c>
      <c r="H3773" s="1191"/>
      <c r="I3773" s="706" t="s">
        <v>5318</v>
      </c>
    </row>
    <row r="3774" spans="1:9">
      <c r="A3774" s="706">
        <v>133397</v>
      </c>
      <c r="B3774" s="706" t="s">
        <v>5482</v>
      </c>
      <c r="D3774" s="706" t="s">
        <v>2814</v>
      </c>
      <c r="H3774" s="1191"/>
      <c r="I3774" s="706" t="s">
        <v>5318</v>
      </c>
    </row>
    <row r="3775" spans="1:9">
      <c r="A3775" s="706">
        <v>133398</v>
      </c>
      <c r="B3775" s="706" t="s">
        <v>5483</v>
      </c>
      <c r="D3775" s="706" t="s">
        <v>2814</v>
      </c>
      <c r="H3775" s="1191"/>
      <c r="I3775" s="706" t="s">
        <v>5318</v>
      </c>
    </row>
    <row r="3776" spans="1:9">
      <c r="A3776" s="706">
        <v>133399</v>
      </c>
      <c r="B3776" s="706" t="s">
        <v>5484</v>
      </c>
      <c r="D3776" s="706" t="s">
        <v>2814</v>
      </c>
      <c r="H3776" s="1191"/>
      <c r="I3776" s="706" t="s">
        <v>5318</v>
      </c>
    </row>
    <row r="3777" spans="1:9">
      <c r="A3777" s="706">
        <v>133400</v>
      </c>
      <c r="B3777" s="706" t="s">
        <v>5485</v>
      </c>
      <c r="D3777" s="706" t="s">
        <v>2814</v>
      </c>
      <c r="H3777" s="1191"/>
      <c r="I3777" s="706" t="s">
        <v>5318</v>
      </c>
    </row>
    <row r="3778" spans="1:9">
      <c r="A3778" s="706">
        <v>133401</v>
      </c>
      <c r="B3778" s="706" t="s">
        <v>5486</v>
      </c>
      <c r="D3778" s="706" t="s">
        <v>2814</v>
      </c>
      <c r="H3778" s="1191"/>
      <c r="I3778" s="706" t="s">
        <v>5318</v>
      </c>
    </row>
    <row r="3779" spans="1:9">
      <c r="A3779" s="706">
        <v>133402</v>
      </c>
      <c r="B3779" s="706" t="s">
        <v>5487</v>
      </c>
      <c r="D3779" s="706" t="s">
        <v>2814</v>
      </c>
      <c r="H3779" s="1191"/>
      <c r="I3779" s="706" t="s">
        <v>5318</v>
      </c>
    </row>
    <row r="3780" spans="1:9">
      <c r="A3780" s="706">
        <v>133403</v>
      </c>
      <c r="B3780" s="706" t="s">
        <v>5488</v>
      </c>
      <c r="D3780" s="706" t="s">
        <v>2814</v>
      </c>
      <c r="H3780" s="1191"/>
      <c r="I3780" s="706" t="s">
        <v>5318</v>
      </c>
    </row>
    <row r="3781" spans="1:9">
      <c r="A3781" s="706">
        <v>133404</v>
      </c>
      <c r="B3781" s="706" t="s">
        <v>5489</v>
      </c>
      <c r="D3781" s="706" t="s">
        <v>2814</v>
      </c>
      <c r="H3781" s="1191"/>
      <c r="I3781" s="706" t="s">
        <v>5318</v>
      </c>
    </row>
    <row r="3782" spans="1:9">
      <c r="A3782" s="706">
        <v>133405</v>
      </c>
      <c r="B3782" s="706" t="s">
        <v>5490</v>
      </c>
      <c r="D3782" s="706" t="s">
        <v>2814</v>
      </c>
      <c r="H3782" s="1191"/>
      <c r="I3782" s="706" t="s">
        <v>5318</v>
      </c>
    </row>
    <row r="3783" spans="1:9">
      <c r="A3783" s="706">
        <v>133406</v>
      </c>
      <c r="B3783" s="706" t="s">
        <v>5491</v>
      </c>
      <c r="D3783" s="706" t="s">
        <v>2814</v>
      </c>
      <c r="H3783" s="1191"/>
      <c r="I3783" s="706" t="s">
        <v>5318</v>
      </c>
    </row>
    <row r="3784" spans="1:9">
      <c r="A3784" s="706">
        <v>133407</v>
      </c>
      <c r="B3784" s="706" t="s">
        <v>5492</v>
      </c>
      <c r="D3784" s="706" t="s">
        <v>2814</v>
      </c>
      <c r="H3784" s="1191"/>
      <c r="I3784" s="706" t="s">
        <v>5318</v>
      </c>
    </row>
    <row r="3785" spans="1:9">
      <c r="A3785" s="706">
        <v>133408</v>
      </c>
      <c r="B3785" s="706" t="s">
        <v>5493</v>
      </c>
      <c r="D3785" s="706" t="s">
        <v>2814</v>
      </c>
      <c r="H3785" s="1191"/>
      <c r="I3785" s="706" t="s">
        <v>5318</v>
      </c>
    </row>
    <row r="3786" spans="1:9">
      <c r="A3786" s="706">
        <v>133409</v>
      </c>
      <c r="B3786" s="706" t="s">
        <v>5494</v>
      </c>
      <c r="D3786" s="706" t="s">
        <v>2814</v>
      </c>
      <c r="H3786" s="1191"/>
      <c r="I3786" s="706" t="s">
        <v>5318</v>
      </c>
    </row>
    <row r="3787" spans="1:9">
      <c r="A3787" s="706">
        <v>133410</v>
      </c>
      <c r="B3787" s="706" t="s">
        <v>5495</v>
      </c>
      <c r="D3787" s="706" t="s">
        <v>2814</v>
      </c>
      <c r="H3787" s="1191"/>
      <c r="I3787" s="706" t="s">
        <v>5318</v>
      </c>
    </row>
    <row r="3788" spans="1:9">
      <c r="A3788" s="706">
        <v>133411</v>
      </c>
      <c r="B3788" s="706" t="s">
        <v>5496</v>
      </c>
      <c r="D3788" s="706" t="s">
        <v>2814</v>
      </c>
      <c r="H3788" s="1191"/>
      <c r="I3788" s="706" t="s">
        <v>5318</v>
      </c>
    </row>
    <row r="3789" spans="1:9">
      <c r="A3789" s="706">
        <v>133412</v>
      </c>
      <c r="B3789" s="706" t="s">
        <v>5497</v>
      </c>
      <c r="D3789" s="706" t="s">
        <v>2814</v>
      </c>
      <c r="H3789" s="1191"/>
      <c r="I3789" s="706" t="s">
        <v>5318</v>
      </c>
    </row>
    <row r="3790" spans="1:9">
      <c r="A3790" s="706">
        <v>133413</v>
      </c>
      <c r="B3790" s="706" t="s">
        <v>5498</v>
      </c>
      <c r="D3790" s="706" t="s">
        <v>2814</v>
      </c>
      <c r="H3790" s="1191"/>
      <c r="I3790" s="706" t="s">
        <v>5318</v>
      </c>
    </row>
    <row r="3791" spans="1:9">
      <c r="A3791" s="706">
        <v>133414</v>
      </c>
      <c r="B3791" s="706" t="s">
        <v>5499</v>
      </c>
      <c r="D3791" s="706" t="s">
        <v>2814</v>
      </c>
      <c r="H3791" s="1191"/>
      <c r="I3791" s="706" t="s">
        <v>5318</v>
      </c>
    </row>
    <row r="3792" spans="1:9">
      <c r="A3792" s="706">
        <v>133415</v>
      </c>
      <c r="B3792" s="706" t="s">
        <v>5500</v>
      </c>
      <c r="D3792" s="706" t="s">
        <v>2814</v>
      </c>
      <c r="H3792" s="1191"/>
      <c r="I3792" s="706" t="s">
        <v>5318</v>
      </c>
    </row>
    <row r="3793" spans="1:9">
      <c r="A3793" s="706">
        <v>133416</v>
      </c>
      <c r="B3793" s="706" t="s">
        <v>5501</v>
      </c>
      <c r="D3793" s="706" t="s">
        <v>2814</v>
      </c>
      <c r="H3793" s="1191"/>
      <c r="I3793" s="706" t="s">
        <v>5318</v>
      </c>
    </row>
    <row r="3794" spans="1:9">
      <c r="A3794" s="706">
        <v>133417</v>
      </c>
      <c r="B3794" s="706" t="s">
        <v>5502</v>
      </c>
      <c r="D3794" s="706" t="s">
        <v>2814</v>
      </c>
      <c r="H3794" s="1191"/>
      <c r="I3794" s="706" t="s">
        <v>5318</v>
      </c>
    </row>
    <row r="3795" spans="1:9">
      <c r="A3795" s="706">
        <v>133418</v>
      </c>
      <c r="B3795" s="706" t="s">
        <v>5503</v>
      </c>
      <c r="D3795" s="706" t="s">
        <v>2814</v>
      </c>
      <c r="H3795" s="1191"/>
      <c r="I3795" s="706" t="s">
        <v>5318</v>
      </c>
    </row>
    <row r="3796" spans="1:9">
      <c r="A3796" s="706">
        <v>133419</v>
      </c>
      <c r="B3796" s="706" t="s">
        <v>5504</v>
      </c>
      <c r="D3796" s="706" t="s">
        <v>2814</v>
      </c>
      <c r="H3796" s="1191"/>
      <c r="I3796" s="706" t="s">
        <v>5318</v>
      </c>
    </row>
    <row r="3797" spans="1:9">
      <c r="A3797" s="706">
        <v>133420</v>
      </c>
      <c r="B3797" s="706" t="s">
        <v>5505</v>
      </c>
      <c r="D3797" s="706" t="s">
        <v>2814</v>
      </c>
      <c r="H3797" s="1191"/>
      <c r="I3797" s="706" t="s">
        <v>5318</v>
      </c>
    </row>
    <row r="3798" spans="1:9">
      <c r="A3798" s="706">
        <v>133421</v>
      </c>
      <c r="B3798" s="706" t="s">
        <v>5506</v>
      </c>
      <c r="D3798" s="706" t="s">
        <v>2814</v>
      </c>
      <c r="H3798" s="1191"/>
      <c r="I3798" s="706" t="s">
        <v>5318</v>
      </c>
    </row>
    <row r="3799" spans="1:9">
      <c r="A3799" s="706">
        <v>133422</v>
      </c>
      <c r="B3799" s="706" t="s">
        <v>5507</v>
      </c>
      <c r="D3799" s="706" t="s">
        <v>2814</v>
      </c>
      <c r="H3799" s="1191"/>
      <c r="I3799" s="706" t="s">
        <v>5318</v>
      </c>
    </row>
    <row r="3800" spans="1:9">
      <c r="A3800" s="706">
        <v>133423</v>
      </c>
      <c r="B3800" s="706" t="s">
        <v>5508</v>
      </c>
      <c r="D3800" s="706" t="s">
        <v>2814</v>
      </c>
      <c r="H3800" s="1191"/>
      <c r="I3800" s="706" t="s">
        <v>5318</v>
      </c>
    </row>
    <row r="3801" spans="1:9">
      <c r="A3801" s="706">
        <v>133424</v>
      </c>
      <c r="B3801" s="706" t="s">
        <v>5509</v>
      </c>
      <c r="D3801" s="706" t="s">
        <v>2814</v>
      </c>
      <c r="H3801" s="1191"/>
      <c r="I3801" s="706" t="s">
        <v>5318</v>
      </c>
    </row>
    <row r="3802" spans="1:9">
      <c r="A3802" s="706">
        <v>133425</v>
      </c>
      <c r="B3802" s="706" t="s">
        <v>5510</v>
      </c>
      <c r="D3802" s="706" t="s">
        <v>2814</v>
      </c>
      <c r="H3802" s="1191"/>
      <c r="I3802" s="706" t="s">
        <v>5318</v>
      </c>
    </row>
    <row r="3803" spans="1:9">
      <c r="A3803" s="706">
        <v>133426</v>
      </c>
      <c r="B3803" s="706" t="s">
        <v>5511</v>
      </c>
      <c r="D3803" s="706" t="s">
        <v>2814</v>
      </c>
      <c r="H3803" s="1191"/>
      <c r="I3803" s="706" t="s">
        <v>5318</v>
      </c>
    </row>
    <row r="3804" spans="1:9">
      <c r="A3804" s="706">
        <v>133427</v>
      </c>
      <c r="B3804" s="706" t="s">
        <v>5512</v>
      </c>
      <c r="D3804" s="706" t="s">
        <v>2814</v>
      </c>
      <c r="H3804" s="1191"/>
      <c r="I3804" s="706" t="s">
        <v>5318</v>
      </c>
    </row>
    <row r="3805" spans="1:9">
      <c r="A3805" s="706">
        <v>133428</v>
      </c>
      <c r="B3805" s="706" t="s">
        <v>5513</v>
      </c>
      <c r="D3805" s="706" t="s">
        <v>2814</v>
      </c>
      <c r="H3805" s="1191"/>
      <c r="I3805" s="706" t="s">
        <v>5318</v>
      </c>
    </row>
    <row r="3806" spans="1:9">
      <c r="A3806" s="706">
        <v>133429</v>
      </c>
      <c r="B3806" s="706" t="s">
        <v>5514</v>
      </c>
      <c r="D3806" s="706" t="s">
        <v>2814</v>
      </c>
      <c r="H3806" s="1191"/>
      <c r="I3806" s="706" t="s">
        <v>5318</v>
      </c>
    </row>
    <row r="3807" spans="1:9">
      <c r="A3807" s="706">
        <v>133430</v>
      </c>
      <c r="B3807" s="706" t="s">
        <v>5515</v>
      </c>
      <c r="D3807" s="706" t="s">
        <v>2814</v>
      </c>
      <c r="H3807" s="1191"/>
      <c r="I3807" s="706" t="s">
        <v>5318</v>
      </c>
    </row>
    <row r="3808" spans="1:9">
      <c r="A3808" s="706">
        <v>133431</v>
      </c>
      <c r="B3808" s="706" t="s">
        <v>5516</v>
      </c>
      <c r="D3808" s="706" t="s">
        <v>2814</v>
      </c>
      <c r="H3808" s="1191"/>
      <c r="I3808" s="706" t="s">
        <v>5318</v>
      </c>
    </row>
    <row r="3809" spans="1:9">
      <c r="A3809" s="706">
        <v>133432</v>
      </c>
      <c r="B3809" s="706" t="s">
        <v>5517</v>
      </c>
      <c r="D3809" s="706" t="s">
        <v>2814</v>
      </c>
      <c r="H3809" s="1191"/>
      <c r="I3809" s="706" t="s">
        <v>5318</v>
      </c>
    </row>
    <row r="3810" spans="1:9">
      <c r="A3810" s="706">
        <v>133433</v>
      </c>
      <c r="B3810" s="706" t="s">
        <v>5518</v>
      </c>
      <c r="D3810" s="706" t="s">
        <v>2814</v>
      </c>
      <c r="H3810" s="1191"/>
      <c r="I3810" s="706" t="s">
        <v>5318</v>
      </c>
    </row>
    <row r="3811" spans="1:9">
      <c r="A3811" s="706">
        <v>133434</v>
      </c>
      <c r="B3811" s="706" t="s">
        <v>5519</v>
      </c>
      <c r="D3811" s="706" t="s">
        <v>2814</v>
      </c>
      <c r="H3811" s="1191"/>
      <c r="I3811" s="706" t="s">
        <v>5318</v>
      </c>
    </row>
    <row r="3812" spans="1:9">
      <c r="A3812" s="706">
        <v>133435</v>
      </c>
      <c r="B3812" s="706" t="s">
        <v>5520</v>
      </c>
      <c r="D3812" s="706" t="s">
        <v>2814</v>
      </c>
      <c r="H3812" s="1191"/>
      <c r="I3812" s="706" t="s">
        <v>5318</v>
      </c>
    </row>
    <row r="3813" spans="1:9">
      <c r="A3813" s="706">
        <v>133436</v>
      </c>
      <c r="B3813" s="706" t="s">
        <v>5521</v>
      </c>
      <c r="D3813" s="706" t="s">
        <v>2814</v>
      </c>
      <c r="H3813" s="1191"/>
      <c r="I3813" s="706" t="s">
        <v>5318</v>
      </c>
    </row>
    <row r="3814" spans="1:9">
      <c r="A3814" s="706">
        <v>133437</v>
      </c>
      <c r="B3814" s="706" t="s">
        <v>5522</v>
      </c>
      <c r="D3814" s="706" t="s">
        <v>2814</v>
      </c>
      <c r="H3814" s="1191"/>
      <c r="I3814" s="706" t="s">
        <v>5318</v>
      </c>
    </row>
    <row r="3815" spans="1:9">
      <c r="A3815" s="706">
        <v>133438</v>
      </c>
      <c r="B3815" s="706" t="s">
        <v>5523</v>
      </c>
      <c r="D3815" s="706" t="s">
        <v>2814</v>
      </c>
      <c r="H3815" s="1191"/>
      <c r="I3815" s="706" t="s">
        <v>5318</v>
      </c>
    </row>
    <row r="3816" spans="1:9">
      <c r="A3816" s="706">
        <v>133439</v>
      </c>
      <c r="B3816" s="706" t="s">
        <v>5524</v>
      </c>
      <c r="D3816" s="706" t="s">
        <v>2814</v>
      </c>
      <c r="H3816" s="1191"/>
      <c r="I3816" s="706" t="s">
        <v>5318</v>
      </c>
    </row>
    <row r="3817" spans="1:9">
      <c r="A3817" s="706">
        <v>133440</v>
      </c>
      <c r="B3817" s="706" t="s">
        <v>5525</v>
      </c>
      <c r="D3817" s="706" t="s">
        <v>2814</v>
      </c>
      <c r="H3817" s="1191"/>
      <c r="I3817" s="706" t="s">
        <v>5318</v>
      </c>
    </row>
    <row r="3818" spans="1:9">
      <c r="A3818" s="706">
        <v>133441</v>
      </c>
      <c r="B3818" s="706" t="s">
        <v>5526</v>
      </c>
      <c r="D3818" s="706" t="s">
        <v>2814</v>
      </c>
      <c r="H3818" s="1191"/>
      <c r="I3818" s="706" t="s">
        <v>5318</v>
      </c>
    </row>
    <row r="3819" spans="1:9">
      <c r="A3819" s="706">
        <v>133442</v>
      </c>
      <c r="B3819" s="706" t="s">
        <v>5527</v>
      </c>
      <c r="D3819" s="706" t="s">
        <v>2814</v>
      </c>
      <c r="H3819" s="1191"/>
      <c r="I3819" s="706" t="s">
        <v>5318</v>
      </c>
    </row>
    <row r="3820" spans="1:9">
      <c r="A3820" s="706">
        <v>133443</v>
      </c>
      <c r="B3820" s="706" t="s">
        <v>5528</v>
      </c>
      <c r="D3820" s="706" t="s">
        <v>2814</v>
      </c>
      <c r="H3820" s="1191"/>
      <c r="I3820" s="706" t="s">
        <v>5318</v>
      </c>
    </row>
    <row r="3821" spans="1:9">
      <c r="A3821" s="706">
        <v>133444</v>
      </c>
      <c r="B3821" s="706" t="s">
        <v>5529</v>
      </c>
      <c r="D3821" s="706" t="s">
        <v>2814</v>
      </c>
      <c r="H3821" s="1191"/>
      <c r="I3821" s="706" t="s">
        <v>5318</v>
      </c>
    </row>
    <row r="3822" spans="1:9">
      <c r="A3822" s="706">
        <v>133445</v>
      </c>
      <c r="B3822" s="706" t="s">
        <v>5530</v>
      </c>
      <c r="D3822" s="706" t="s">
        <v>2814</v>
      </c>
      <c r="H3822" s="1191"/>
      <c r="I3822" s="706" t="s">
        <v>5318</v>
      </c>
    </row>
    <row r="3823" spans="1:9">
      <c r="A3823" s="706">
        <v>133446</v>
      </c>
      <c r="B3823" s="706" t="s">
        <v>5531</v>
      </c>
      <c r="D3823" s="706" t="s">
        <v>2814</v>
      </c>
      <c r="H3823" s="1191"/>
      <c r="I3823" s="706" t="s">
        <v>5318</v>
      </c>
    </row>
    <row r="3824" spans="1:9">
      <c r="A3824" s="706">
        <v>133447</v>
      </c>
      <c r="B3824" s="706" t="s">
        <v>5532</v>
      </c>
      <c r="D3824" s="706" t="s">
        <v>2814</v>
      </c>
      <c r="H3824" s="1191"/>
      <c r="I3824" s="706" t="s">
        <v>5318</v>
      </c>
    </row>
    <row r="3825" spans="1:9">
      <c r="A3825" s="706">
        <v>133448</v>
      </c>
      <c r="B3825" s="706" t="s">
        <v>5533</v>
      </c>
      <c r="D3825" s="706" t="s">
        <v>2814</v>
      </c>
      <c r="H3825" s="1191"/>
      <c r="I3825" s="706" t="s">
        <v>5318</v>
      </c>
    </row>
    <row r="3826" spans="1:9">
      <c r="A3826" s="706">
        <v>133449</v>
      </c>
      <c r="B3826" s="706" t="s">
        <v>5534</v>
      </c>
      <c r="D3826" s="706" t="s">
        <v>2814</v>
      </c>
      <c r="H3826" s="1191"/>
      <c r="I3826" s="706" t="s">
        <v>5318</v>
      </c>
    </row>
    <row r="3827" spans="1:9">
      <c r="A3827" s="706">
        <v>133450</v>
      </c>
      <c r="B3827" s="706" t="s">
        <v>5535</v>
      </c>
      <c r="D3827" s="706" t="s">
        <v>2814</v>
      </c>
      <c r="H3827" s="1191"/>
      <c r="I3827" s="706" t="s">
        <v>5318</v>
      </c>
    </row>
    <row r="3828" spans="1:9">
      <c r="A3828" s="706">
        <v>133451</v>
      </c>
      <c r="B3828" s="706" t="s">
        <v>5536</v>
      </c>
      <c r="D3828" s="706" t="s">
        <v>2814</v>
      </c>
      <c r="H3828" s="1191"/>
      <c r="I3828" s="706" t="s">
        <v>5318</v>
      </c>
    </row>
    <row r="3829" spans="1:9">
      <c r="A3829" s="706">
        <v>133452</v>
      </c>
      <c r="B3829" s="706" t="s">
        <v>5537</v>
      </c>
      <c r="D3829" s="706" t="s">
        <v>2814</v>
      </c>
      <c r="H3829" s="1191"/>
      <c r="I3829" s="706" t="s">
        <v>5318</v>
      </c>
    </row>
    <row r="3830" spans="1:9">
      <c r="A3830" s="706">
        <v>133453</v>
      </c>
      <c r="B3830" s="706" t="s">
        <v>5538</v>
      </c>
      <c r="D3830" s="706" t="s">
        <v>2814</v>
      </c>
      <c r="H3830" s="1191"/>
      <c r="I3830" s="706" t="s">
        <v>5318</v>
      </c>
    </row>
    <row r="3831" spans="1:9">
      <c r="A3831" s="706">
        <v>133454</v>
      </c>
      <c r="B3831" s="706" t="s">
        <v>5539</v>
      </c>
      <c r="D3831" s="706" t="s">
        <v>2814</v>
      </c>
      <c r="H3831" s="1191"/>
      <c r="I3831" s="706" t="s">
        <v>5318</v>
      </c>
    </row>
    <row r="3832" spans="1:9">
      <c r="A3832" s="706">
        <v>133455</v>
      </c>
      <c r="B3832" s="706" t="s">
        <v>5540</v>
      </c>
      <c r="D3832" s="706" t="s">
        <v>2814</v>
      </c>
      <c r="H3832" s="1191"/>
      <c r="I3832" s="706" t="s">
        <v>5318</v>
      </c>
    </row>
    <row r="3833" spans="1:9">
      <c r="A3833" s="706">
        <v>133456</v>
      </c>
      <c r="B3833" s="706" t="s">
        <v>5541</v>
      </c>
      <c r="D3833" s="706" t="s">
        <v>2814</v>
      </c>
      <c r="H3833" s="1191"/>
      <c r="I3833" s="706" t="s">
        <v>5318</v>
      </c>
    </row>
    <row r="3834" spans="1:9">
      <c r="A3834" s="706">
        <v>133457</v>
      </c>
      <c r="B3834" s="706" t="s">
        <v>5542</v>
      </c>
      <c r="D3834" s="706" t="s">
        <v>2814</v>
      </c>
      <c r="H3834" s="1191"/>
      <c r="I3834" s="706" t="s">
        <v>5318</v>
      </c>
    </row>
    <row r="3835" spans="1:9">
      <c r="A3835" s="706">
        <v>133458</v>
      </c>
      <c r="B3835" s="706" t="s">
        <v>5543</v>
      </c>
      <c r="D3835" s="706" t="s">
        <v>2814</v>
      </c>
      <c r="H3835" s="1191"/>
      <c r="I3835" s="706" t="s">
        <v>5318</v>
      </c>
    </row>
    <row r="3836" spans="1:9">
      <c r="A3836" s="706">
        <v>133459</v>
      </c>
      <c r="B3836" s="706" t="s">
        <v>5544</v>
      </c>
      <c r="D3836" s="706" t="s">
        <v>2814</v>
      </c>
      <c r="H3836" s="1191"/>
      <c r="I3836" s="706" t="s">
        <v>5318</v>
      </c>
    </row>
    <row r="3837" spans="1:9">
      <c r="A3837" s="706">
        <v>133460</v>
      </c>
      <c r="B3837" s="706" t="s">
        <v>5545</v>
      </c>
      <c r="D3837" s="706" t="s">
        <v>2814</v>
      </c>
      <c r="H3837" s="1191"/>
      <c r="I3837" s="706" t="s">
        <v>5318</v>
      </c>
    </row>
    <row r="3838" spans="1:9">
      <c r="A3838" s="706">
        <v>133461</v>
      </c>
      <c r="B3838" s="706" t="s">
        <v>5546</v>
      </c>
      <c r="D3838" s="706" t="s">
        <v>2814</v>
      </c>
      <c r="H3838" s="1191"/>
      <c r="I3838" s="706" t="s">
        <v>5318</v>
      </c>
    </row>
    <row r="3839" spans="1:9">
      <c r="A3839" s="706">
        <v>133462</v>
      </c>
      <c r="B3839" s="706" t="s">
        <v>5547</v>
      </c>
      <c r="D3839" s="706" t="s">
        <v>2814</v>
      </c>
      <c r="H3839" s="1191"/>
      <c r="I3839" s="706" t="s">
        <v>5318</v>
      </c>
    </row>
    <row r="3840" spans="1:9">
      <c r="A3840" s="706">
        <v>133463</v>
      </c>
      <c r="B3840" s="706" t="s">
        <v>5548</v>
      </c>
      <c r="D3840" s="706" t="s">
        <v>2814</v>
      </c>
      <c r="H3840" s="1191"/>
      <c r="I3840" s="706" t="s">
        <v>5318</v>
      </c>
    </row>
    <row r="3841" spans="1:9">
      <c r="A3841" s="706">
        <v>133464</v>
      </c>
      <c r="B3841" s="706" t="s">
        <v>5549</v>
      </c>
      <c r="D3841" s="706" t="s">
        <v>2814</v>
      </c>
      <c r="H3841" s="1191"/>
      <c r="I3841" s="706" t="s">
        <v>5318</v>
      </c>
    </row>
    <row r="3842" spans="1:9">
      <c r="A3842" s="706">
        <v>133465</v>
      </c>
      <c r="B3842" s="706" t="s">
        <v>5550</v>
      </c>
      <c r="D3842" s="706" t="s">
        <v>2814</v>
      </c>
      <c r="H3842" s="1191"/>
      <c r="I3842" s="706" t="s">
        <v>5318</v>
      </c>
    </row>
    <row r="3843" spans="1:9">
      <c r="A3843" s="706">
        <v>133466</v>
      </c>
      <c r="B3843" s="706" t="s">
        <v>5551</v>
      </c>
      <c r="D3843" s="706" t="s">
        <v>2814</v>
      </c>
      <c r="H3843" s="1191"/>
      <c r="I3843" s="706" t="s">
        <v>5318</v>
      </c>
    </row>
    <row r="3844" spans="1:9">
      <c r="A3844" s="706">
        <v>133467</v>
      </c>
      <c r="B3844" s="706" t="s">
        <v>5552</v>
      </c>
      <c r="C3844" s="706" t="s">
        <v>8203</v>
      </c>
      <c r="D3844" s="706" t="s">
        <v>2814</v>
      </c>
      <c r="E3844" s="706">
        <v>1.85</v>
      </c>
      <c r="F3844" s="706" t="s">
        <v>28</v>
      </c>
      <c r="G3844" s="706">
        <v>409574</v>
      </c>
      <c r="H3844" s="1191">
        <v>45643</v>
      </c>
      <c r="I3844" s="706" t="s">
        <v>5318</v>
      </c>
    </row>
    <row r="3845" spans="1:9">
      <c r="A3845" s="706">
        <v>133468</v>
      </c>
      <c r="B3845" s="706" t="s">
        <v>5554</v>
      </c>
      <c r="D3845" s="706" t="s">
        <v>2814</v>
      </c>
      <c r="H3845" s="1191"/>
      <c r="I3845" s="706" t="s">
        <v>5318</v>
      </c>
    </row>
    <row r="3846" spans="1:9">
      <c r="A3846" s="706">
        <v>133469</v>
      </c>
      <c r="B3846" s="706" t="s">
        <v>5555</v>
      </c>
      <c r="D3846" s="706" t="s">
        <v>2814</v>
      </c>
      <c r="H3846" s="1191"/>
      <c r="I3846" s="706" t="s">
        <v>5318</v>
      </c>
    </row>
    <row r="3847" spans="1:9">
      <c r="A3847" s="706">
        <v>133470</v>
      </c>
      <c r="B3847" s="706" t="s">
        <v>5556</v>
      </c>
      <c r="C3847" s="706" t="s">
        <v>8202</v>
      </c>
      <c r="D3847" s="706" t="s">
        <v>2814</v>
      </c>
      <c r="E3847" s="706">
        <v>3.25</v>
      </c>
      <c r="F3847" s="706" t="s">
        <v>28</v>
      </c>
      <c r="G3847" s="706">
        <v>402090</v>
      </c>
      <c r="H3847" s="1191">
        <v>44172</v>
      </c>
      <c r="I3847" s="706" t="s">
        <v>5318</v>
      </c>
    </row>
    <row r="3848" spans="1:9">
      <c r="A3848" s="706">
        <v>133471</v>
      </c>
      <c r="B3848" s="706" t="s">
        <v>5557</v>
      </c>
      <c r="C3848" s="706" t="s">
        <v>8202</v>
      </c>
      <c r="D3848" s="706" t="s">
        <v>2814</v>
      </c>
      <c r="E3848" s="706">
        <v>2.71</v>
      </c>
      <c r="F3848" s="706" t="s">
        <v>28</v>
      </c>
      <c r="G3848" s="706">
        <v>402090</v>
      </c>
      <c r="H3848" s="1191">
        <v>44172</v>
      </c>
      <c r="I3848" s="706" t="s">
        <v>5318</v>
      </c>
    </row>
    <row r="3849" spans="1:9">
      <c r="A3849" s="706">
        <v>133472</v>
      </c>
      <c r="B3849" s="706" t="s">
        <v>5558</v>
      </c>
      <c r="D3849" s="706" t="s">
        <v>2814</v>
      </c>
      <c r="H3849" s="1191"/>
      <c r="I3849" s="706" t="s">
        <v>5318</v>
      </c>
    </row>
    <row r="3850" spans="1:9">
      <c r="A3850" s="706">
        <v>133473</v>
      </c>
      <c r="B3850" s="706" t="s">
        <v>5559</v>
      </c>
      <c r="C3850" s="706" t="s">
        <v>8202</v>
      </c>
      <c r="D3850" s="706" t="s">
        <v>2814</v>
      </c>
      <c r="E3850" s="706">
        <v>3.33</v>
      </c>
      <c r="F3850" s="706" t="s">
        <v>28</v>
      </c>
      <c r="G3850" s="706">
        <v>407110</v>
      </c>
      <c r="H3850" s="1191">
        <v>45175</v>
      </c>
      <c r="I3850" s="706" t="s">
        <v>5318</v>
      </c>
    </row>
    <row r="3851" spans="1:9">
      <c r="A3851" s="706">
        <v>133474</v>
      </c>
      <c r="B3851" s="706" t="s">
        <v>5560</v>
      </c>
      <c r="C3851" s="706" t="s">
        <v>8202</v>
      </c>
      <c r="D3851" s="706" t="s">
        <v>2814</v>
      </c>
      <c r="E3851" s="706">
        <v>2.5</v>
      </c>
      <c r="F3851" s="706" t="s">
        <v>28</v>
      </c>
      <c r="G3851" s="706">
        <v>405779</v>
      </c>
      <c r="H3851" s="1191">
        <v>44862</v>
      </c>
      <c r="I3851" s="706" t="s">
        <v>5318</v>
      </c>
    </row>
    <row r="3852" spans="1:9">
      <c r="A3852" s="706">
        <v>133475</v>
      </c>
      <c r="B3852" s="706" t="s">
        <v>5561</v>
      </c>
      <c r="D3852" s="706" t="s">
        <v>2814</v>
      </c>
      <c r="H3852" s="1191"/>
      <c r="I3852" s="706" t="s">
        <v>5318</v>
      </c>
    </row>
    <row r="3853" spans="1:9">
      <c r="A3853" s="706">
        <v>133476</v>
      </c>
      <c r="B3853" s="706" t="s">
        <v>5562</v>
      </c>
      <c r="D3853" s="706" t="s">
        <v>2814</v>
      </c>
      <c r="H3853" s="1191"/>
      <c r="I3853" s="706" t="s">
        <v>5318</v>
      </c>
    </row>
    <row r="3854" spans="1:9">
      <c r="A3854" s="706">
        <v>133477</v>
      </c>
      <c r="B3854" s="706" t="s">
        <v>5563</v>
      </c>
      <c r="D3854" s="706" t="s">
        <v>2814</v>
      </c>
      <c r="H3854" s="1191"/>
      <c r="I3854" s="706" t="s">
        <v>5318</v>
      </c>
    </row>
    <row r="3855" spans="1:9">
      <c r="A3855" s="706">
        <v>133478</v>
      </c>
      <c r="B3855" s="706" t="s">
        <v>5564</v>
      </c>
      <c r="D3855" s="706" t="s">
        <v>2814</v>
      </c>
      <c r="H3855" s="1191"/>
      <c r="I3855" s="706" t="s">
        <v>5318</v>
      </c>
    </row>
    <row r="3856" spans="1:9">
      <c r="A3856" s="706">
        <v>133479</v>
      </c>
      <c r="B3856" s="706" t="s">
        <v>5565</v>
      </c>
      <c r="D3856" s="706" t="s">
        <v>2814</v>
      </c>
      <c r="H3856" s="1191"/>
      <c r="I3856" s="706" t="s">
        <v>5318</v>
      </c>
    </row>
    <row r="3857" spans="1:9">
      <c r="A3857" s="706">
        <v>133480</v>
      </c>
      <c r="B3857" s="706" t="s">
        <v>5566</v>
      </c>
      <c r="D3857" s="706" t="s">
        <v>2814</v>
      </c>
      <c r="H3857" s="1191"/>
      <c r="I3857" s="706" t="s">
        <v>5318</v>
      </c>
    </row>
    <row r="3858" spans="1:9">
      <c r="A3858" s="706">
        <v>133481</v>
      </c>
      <c r="B3858" s="706" t="s">
        <v>5567</v>
      </c>
      <c r="D3858" s="706" t="s">
        <v>2814</v>
      </c>
      <c r="H3858" s="1191"/>
      <c r="I3858" s="706" t="s">
        <v>5318</v>
      </c>
    </row>
    <row r="3859" spans="1:9">
      <c r="A3859" s="706">
        <v>133482</v>
      </c>
      <c r="B3859" s="706" t="s">
        <v>5568</v>
      </c>
      <c r="D3859" s="706" t="s">
        <v>2814</v>
      </c>
      <c r="H3859" s="1191"/>
      <c r="I3859" s="706" t="s">
        <v>5318</v>
      </c>
    </row>
    <row r="3860" spans="1:9">
      <c r="A3860" s="706">
        <v>133483</v>
      </c>
      <c r="B3860" s="706" t="s">
        <v>5569</v>
      </c>
      <c r="D3860" s="706" t="s">
        <v>2814</v>
      </c>
      <c r="H3860" s="1191"/>
      <c r="I3860" s="706" t="s">
        <v>5318</v>
      </c>
    </row>
    <row r="3861" spans="1:9">
      <c r="A3861" s="706">
        <v>133484</v>
      </c>
      <c r="B3861" s="706" t="s">
        <v>5570</v>
      </c>
      <c r="D3861" s="706" t="s">
        <v>2814</v>
      </c>
      <c r="H3861" s="1191"/>
      <c r="I3861" s="706" t="s">
        <v>5318</v>
      </c>
    </row>
    <row r="3862" spans="1:9">
      <c r="A3862" s="706">
        <v>133485</v>
      </c>
      <c r="B3862" s="706" t="s">
        <v>5571</v>
      </c>
      <c r="D3862" s="706" t="s">
        <v>2814</v>
      </c>
      <c r="H3862" s="1191"/>
      <c r="I3862" s="706" t="s">
        <v>5318</v>
      </c>
    </row>
    <row r="3863" spans="1:9">
      <c r="A3863" s="706">
        <v>133486</v>
      </c>
      <c r="B3863" s="706" t="s">
        <v>5572</v>
      </c>
      <c r="D3863" s="706" t="s">
        <v>2814</v>
      </c>
      <c r="H3863" s="1191"/>
      <c r="I3863" s="706" t="s">
        <v>5318</v>
      </c>
    </row>
    <row r="3864" spans="1:9">
      <c r="A3864" s="706">
        <v>133487</v>
      </c>
      <c r="B3864" s="706" t="s">
        <v>5573</v>
      </c>
      <c r="D3864" s="706" t="s">
        <v>2814</v>
      </c>
      <c r="H3864" s="1191"/>
      <c r="I3864" s="706" t="s">
        <v>5318</v>
      </c>
    </row>
    <row r="3865" spans="1:9">
      <c r="A3865" s="706">
        <v>133488</v>
      </c>
      <c r="B3865" s="706" t="s">
        <v>5574</v>
      </c>
      <c r="D3865" s="706" t="s">
        <v>2814</v>
      </c>
      <c r="H3865" s="1191"/>
      <c r="I3865" s="706" t="s">
        <v>5318</v>
      </c>
    </row>
    <row r="3866" spans="1:9">
      <c r="A3866" s="706">
        <v>133489</v>
      </c>
      <c r="B3866" s="706" t="s">
        <v>5575</v>
      </c>
      <c r="D3866" s="706" t="s">
        <v>2814</v>
      </c>
      <c r="H3866" s="1191"/>
      <c r="I3866" s="706" t="s">
        <v>5318</v>
      </c>
    </row>
    <row r="3867" spans="1:9">
      <c r="A3867" s="706">
        <v>133490</v>
      </c>
      <c r="B3867" s="706" t="s">
        <v>5576</v>
      </c>
      <c r="D3867" s="706" t="s">
        <v>2814</v>
      </c>
      <c r="H3867" s="1191"/>
      <c r="I3867" s="706" t="s">
        <v>5318</v>
      </c>
    </row>
    <row r="3868" spans="1:9">
      <c r="A3868" s="706">
        <v>133491</v>
      </c>
      <c r="B3868" s="706" t="s">
        <v>5577</v>
      </c>
      <c r="D3868" s="706" t="s">
        <v>2814</v>
      </c>
      <c r="H3868" s="1191"/>
      <c r="I3868" s="706" t="s">
        <v>5318</v>
      </c>
    </row>
    <row r="3869" spans="1:9">
      <c r="A3869" s="706">
        <v>133492</v>
      </c>
      <c r="B3869" s="706" t="s">
        <v>5578</v>
      </c>
      <c r="D3869" s="706" t="s">
        <v>2814</v>
      </c>
      <c r="H3869" s="1191"/>
      <c r="I3869" s="706" t="s">
        <v>5318</v>
      </c>
    </row>
    <row r="3870" spans="1:9">
      <c r="A3870" s="706">
        <v>133493</v>
      </c>
      <c r="B3870" s="706" t="s">
        <v>5579</v>
      </c>
      <c r="D3870" s="706" t="s">
        <v>2814</v>
      </c>
      <c r="H3870" s="1191"/>
      <c r="I3870" s="706" t="s">
        <v>5318</v>
      </c>
    </row>
    <row r="3871" spans="1:9">
      <c r="A3871" s="706">
        <v>133494</v>
      </c>
      <c r="B3871" s="706" t="s">
        <v>5580</v>
      </c>
      <c r="D3871" s="706" t="s">
        <v>2814</v>
      </c>
      <c r="H3871" s="1191"/>
      <c r="I3871" s="706" t="s">
        <v>5318</v>
      </c>
    </row>
    <row r="3872" spans="1:9">
      <c r="A3872" s="706">
        <v>133495</v>
      </c>
      <c r="B3872" s="706" t="s">
        <v>5581</v>
      </c>
      <c r="D3872" s="706" t="s">
        <v>2814</v>
      </c>
      <c r="H3872" s="1191"/>
      <c r="I3872" s="706" t="s">
        <v>5318</v>
      </c>
    </row>
    <row r="3873" spans="1:9">
      <c r="A3873" s="706">
        <v>133496</v>
      </c>
      <c r="B3873" s="706" t="s">
        <v>5582</v>
      </c>
      <c r="D3873" s="706" t="s">
        <v>2814</v>
      </c>
      <c r="H3873" s="1191"/>
      <c r="I3873" s="706" t="s">
        <v>5318</v>
      </c>
    </row>
    <row r="3874" spans="1:9">
      <c r="A3874" s="706">
        <v>133497</v>
      </c>
      <c r="B3874" s="706" t="s">
        <v>5583</v>
      </c>
      <c r="D3874" s="706" t="s">
        <v>2814</v>
      </c>
      <c r="H3874" s="1191"/>
      <c r="I3874" s="706" t="s">
        <v>5318</v>
      </c>
    </row>
    <row r="3875" spans="1:9">
      <c r="A3875" s="706">
        <v>133498</v>
      </c>
      <c r="B3875" s="706" t="s">
        <v>5584</v>
      </c>
      <c r="D3875" s="706" t="s">
        <v>2814</v>
      </c>
      <c r="H3875" s="1191"/>
      <c r="I3875" s="706" t="s">
        <v>5318</v>
      </c>
    </row>
    <row r="3876" spans="1:9">
      <c r="A3876" s="706">
        <v>133499</v>
      </c>
      <c r="B3876" s="706" t="s">
        <v>5585</v>
      </c>
      <c r="D3876" s="706" t="s">
        <v>2814</v>
      </c>
      <c r="H3876" s="1191"/>
      <c r="I3876" s="706" t="s">
        <v>5318</v>
      </c>
    </row>
    <row r="3877" spans="1:9">
      <c r="A3877" s="706">
        <v>133500</v>
      </c>
      <c r="B3877" s="706" t="s">
        <v>5586</v>
      </c>
      <c r="D3877" s="706" t="s">
        <v>2814</v>
      </c>
      <c r="H3877" s="1191"/>
      <c r="I3877" s="706" t="s">
        <v>5318</v>
      </c>
    </row>
    <row r="3878" spans="1:9">
      <c r="A3878" s="706">
        <v>133501</v>
      </c>
      <c r="B3878" s="706" t="s">
        <v>5587</v>
      </c>
      <c r="D3878" s="706" t="s">
        <v>2814</v>
      </c>
      <c r="H3878" s="1191"/>
      <c r="I3878" s="706" t="s">
        <v>5318</v>
      </c>
    </row>
    <row r="3879" spans="1:9">
      <c r="A3879" s="706">
        <v>133502</v>
      </c>
      <c r="B3879" s="706" t="s">
        <v>5588</v>
      </c>
      <c r="D3879" s="706" t="s">
        <v>2814</v>
      </c>
      <c r="H3879" s="1191"/>
      <c r="I3879" s="706" t="s">
        <v>5318</v>
      </c>
    </row>
    <row r="3880" spans="1:9">
      <c r="A3880" s="706">
        <v>133503</v>
      </c>
      <c r="B3880" s="706" t="s">
        <v>5589</v>
      </c>
      <c r="D3880" s="706" t="s">
        <v>2814</v>
      </c>
      <c r="H3880" s="1191"/>
      <c r="I3880" s="706" t="s">
        <v>5318</v>
      </c>
    </row>
    <row r="3881" spans="1:9">
      <c r="A3881" s="706">
        <v>133504</v>
      </c>
      <c r="B3881" s="706" t="s">
        <v>5590</v>
      </c>
      <c r="D3881" s="706" t="s">
        <v>2814</v>
      </c>
      <c r="H3881" s="1191"/>
      <c r="I3881" s="706" t="s">
        <v>5318</v>
      </c>
    </row>
    <row r="3882" spans="1:9">
      <c r="A3882" s="706">
        <v>133505</v>
      </c>
      <c r="B3882" s="706" t="s">
        <v>5591</v>
      </c>
      <c r="D3882" s="706" t="s">
        <v>2814</v>
      </c>
      <c r="H3882" s="1191"/>
      <c r="I3882" s="706" t="s">
        <v>5318</v>
      </c>
    </row>
    <row r="3883" spans="1:9">
      <c r="A3883" s="706">
        <v>133506</v>
      </c>
      <c r="B3883" s="706" t="s">
        <v>5592</v>
      </c>
      <c r="D3883" s="706" t="s">
        <v>2814</v>
      </c>
      <c r="H3883" s="1191"/>
      <c r="I3883" s="706" t="s">
        <v>5318</v>
      </c>
    </row>
    <row r="3884" spans="1:9">
      <c r="A3884" s="706">
        <v>133507</v>
      </c>
      <c r="B3884" s="706" t="s">
        <v>5593</v>
      </c>
      <c r="D3884" s="706" t="s">
        <v>2814</v>
      </c>
      <c r="H3884" s="1191"/>
      <c r="I3884" s="706" t="s">
        <v>5318</v>
      </c>
    </row>
    <row r="3885" spans="1:9">
      <c r="A3885" s="706">
        <v>133508</v>
      </c>
      <c r="B3885" s="706" t="s">
        <v>5594</v>
      </c>
      <c r="D3885" s="706" t="s">
        <v>2814</v>
      </c>
      <c r="H3885" s="1191"/>
      <c r="I3885" s="706" t="s">
        <v>5318</v>
      </c>
    </row>
    <row r="3886" spans="1:9">
      <c r="A3886" s="706">
        <v>133509</v>
      </c>
      <c r="B3886" s="706" t="s">
        <v>5595</v>
      </c>
      <c r="D3886" s="706" t="s">
        <v>2814</v>
      </c>
      <c r="H3886" s="1191"/>
      <c r="I3886" s="706" t="s">
        <v>5318</v>
      </c>
    </row>
    <row r="3887" spans="1:9">
      <c r="A3887" s="706">
        <v>133510</v>
      </c>
      <c r="B3887" s="706" t="s">
        <v>5596</v>
      </c>
      <c r="D3887" s="706" t="s">
        <v>2814</v>
      </c>
      <c r="H3887" s="1191"/>
      <c r="I3887" s="706" t="s">
        <v>5318</v>
      </c>
    </row>
    <row r="3888" spans="1:9">
      <c r="A3888" s="706">
        <v>133511</v>
      </c>
      <c r="B3888" s="706" t="s">
        <v>5597</v>
      </c>
      <c r="D3888" s="706" t="s">
        <v>2814</v>
      </c>
      <c r="H3888" s="1191"/>
      <c r="I3888" s="706" t="s">
        <v>5318</v>
      </c>
    </row>
    <row r="3889" spans="1:9">
      <c r="A3889" s="706">
        <v>133512</v>
      </c>
      <c r="B3889" s="706" t="s">
        <v>5598</v>
      </c>
      <c r="D3889" s="706" t="s">
        <v>2814</v>
      </c>
      <c r="H3889" s="1191"/>
      <c r="I3889" s="706" t="s">
        <v>5318</v>
      </c>
    </row>
    <row r="3890" spans="1:9">
      <c r="A3890" s="706">
        <v>133513</v>
      </c>
      <c r="B3890" s="706" t="s">
        <v>5599</v>
      </c>
      <c r="D3890" s="706" t="s">
        <v>2814</v>
      </c>
      <c r="H3890" s="1191"/>
      <c r="I3890" s="706" t="s">
        <v>5318</v>
      </c>
    </row>
    <row r="3891" spans="1:9">
      <c r="A3891" s="706">
        <v>133514</v>
      </c>
      <c r="B3891" s="706" t="s">
        <v>5600</v>
      </c>
      <c r="D3891" s="706" t="s">
        <v>2814</v>
      </c>
      <c r="H3891" s="1191"/>
      <c r="I3891" s="706" t="s">
        <v>5318</v>
      </c>
    </row>
    <row r="3892" spans="1:9">
      <c r="A3892" s="706">
        <v>133515</v>
      </c>
      <c r="B3892" s="706" t="s">
        <v>5601</v>
      </c>
      <c r="D3892" s="706" t="s">
        <v>2814</v>
      </c>
      <c r="H3892" s="1191"/>
      <c r="I3892" s="706" t="s">
        <v>5318</v>
      </c>
    </row>
    <row r="3893" spans="1:9">
      <c r="A3893" s="706">
        <v>133516</v>
      </c>
      <c r="B3893" s="706" t="s">
        <v>5602</v>
      </c>
      <c r="D3893" s="706" t="s">
        <v>2814</v>
      </c>
      <c r="H3893" s="1191"/>
      <c r="I3893" s="706" t="s">
        <v>5318</v>
      </c>
    </row>
    <row r="3894" spans="1:9">
      <c r="A3894" s="706">
        <v>133517</v>
      </c>
      <c r="B3894" s="706" t="s">
        <v>5603</v>
      </c>
      <c r="D3894" s="706" t="s">
        <v>2814</v>
      </c>
      <c r="H3894" s="1191"/>
      <c r="I3894" s="706" t="s">
        <v>5318</v>
      </c>
    </row>
    <row r="3895" spans="1:9">
      <c r="A3895" s="706">
        <v>133518</v>
      </c>
      <c r="B3895" s="706" t="s">
        <v>5604</v>
      </c>
      <c r="D3895" s="706" t="s">
        <v>2814</v>
      </c>
      <c r="H3895" s="1191"/>
      <c r="I3895" s="706" t="s">
        <v>5318</v>
      </c>
    </row>
    <row r="3896" spans="1:9">
      <c r="A3896" s="706">
        <v>133519</v>
      </c>
      <c r="B3896" s="706" t="s">
        <v>5605</v>
      </c>
      <c r="D3896" s="706" t="s">
        <v>2814</v>
      </c>
      <c r="H3896" s="1191"/>
      <c r="I3896" s="706" t="s">
        <v>5318</v>
      </c>
    </row>
    <row r="3897" spans="1:9">
      <c r="A3897" s="706">
        <v>133520</v>
      </c>
      <c r="B3897" s="706" t="s">
        <v>5606</v>
      </c>
      <c r="D3897" s="706" t="s">
        <v>2814</v>
      </c>
      <c r="H3897" s="1191"/>
      <c r="I3897" s="706" t="s">
        <v>5318</v>
      </c>
    </row>
    <row r="3898" spans="1:9">
      <c r="A3898" s="706">
        <v>133521</v>
      </c>
      <c r="B3898" s="706" t="s">
        <v>5607</v>
      </c>
      <c r="D3898" s="706" t="s">
        <v>2814</v>
      </c>
      <c r="H3898" s="1191"/>
      <c r="I3898" s="706" t="s">
        <v>5318</v>
      </c>
    </row>
    <row r="3899" spans="1:9">
      <c r="A3899" s="706">
        <v>133522</v>
      </c>
      <c r="B3899" s="706" t="s">
        <v>5608</v>
      </c>
      <c r="D3899" s="706" t="s">
        <v>2814</v>
      </c>
      <c r="H3899" s="1191"/>
      <c r="I3899" s="706" t="s">
        <v>5318</v>
      </c>
    </row>
    <row r="3900" spans="1:9">
      <c r="A3900" s="706">
        <v>133523</v>
      </c>
      <c r="B3900" s="706" t="s">
        <v>5609</v>
      </c>
      <c r="D3900" s="706" t="s">
        <v>2814</v>
      </c>
      <c r="H3900" s="1191"/>
      <c r="I3900" s="706" t="s">
        <v>5318</v>
      </c>
    </row>
    <row r="3901" spans="1:9">
      <c r="A3901" s="706">
        <v>133524</v>
      </c>
      <c r="B3901" s="706" t="s">
        <v>5610</v>
      </c>
      <c r="D3901" s="706" t="s">
        <v>2814</v>
      </c>
      <c r="H3901" s="1191"/>
      <c r="I3901" s="706" t="s">
        <v>5318</v>
      </c>
    </row>
    <row r="3902" spans="1:9">
      <c r="A3902" s="706">
        <v>133525</v>
      </c>
      <c r="B3902" s="706" t="s">
        <v>5611</v>
      </c>
      <c r="D3902" s="706" t="s">
        <v>2814</v>
      </c>
      <c r="H3902" s="1191"/>
      <c r="I3902" s="706" t="s">
        <v>5318</v>
      </c>
    </row>
    <row r="3903" spans="1:9">
      <c r="A3903" s="706">
        <v>133526</v>
      </c>
      <c r="B3903" s="706" t="s">
        <v>5612</v>
      </c>
      <c r="D3903" s="706" t="s">
        <v>2814</v>
      </c>
      <c r="H3903" s="1191"/>
      <c r="I3903" s="706" t="s">
        <v>5318</v>
      </c>
    </row>
    <row r="3904" spans="1:9">
      <c r="A3904" s="706">
        <v>133527</v>
      </c>
      <c r="B3904" s="706" t="s">
        <v>5613</v>
      </c>
      <c r="D3904" s="706" t="s">
        <v>2814</v>
      </c>
      <c r="H3904" s="1191"/>
      <c r="I3904" s="706" t="s">
        <v>5318</v>
      </c>
    </row>
    <row r="3905" spans="1:9">
      <c r="A3905" s="706">
        <v>133528</v>
      </c>
      <c r="B3905" s="706" t="s">
        <v>5614</v>
      </c>
      <c r="D3905" s="706" t="s">
        <v>2814</v>
      </c>
      <c r="H3905" s="1191"/>
      <c r="I3905" s="706" t="s">
        <v>5318</v>
      </c>
    </row>
    <row r="3906" spans="1:9">
      <c r="A3906" s="706">
        <v>133529</v>
      </c>
      <c r="B3906" s="706" t="s">
        <v>5615</v>
      </c>
      <c r="D3906" s="706" t="s">
        <v>2814</v>
      </c>
      <c r="H3906" s="1191"/>
      <c r="I3906" s="706" t="s">
        <v>5318</v>
      </c>
    </row>
    <row r="3907" spans="1:9">
      <c r="A3907" s="706">
        <v>133530</v>
      </c>
      <c r="B3907" s="706" t="s">
        <v>5616</v>
      </c>
      <c r="D3907" s="706" t="s">
        <v>2814</v>
      </c>
      <c r="H3907" s="1191"/>
      <c r="I3907" s="706" t="s">
        <v>5318</v>
      </c>
    </row>
    <row r="3908" spans="1:9">
      <c r="A3908" s="706">
        <v>133531</v>
      </c>
      <c r="B3908" s="706" t="s">
        <v>5617</v>
      </c>
      <c r="D3908" s="706" t="s">
        <v>2814</v>
      </c>
      <c r="H3908" s="1191"/>
      <c r="I3908" s="706" t="s">
        <v>5318</v>
      </c>
    </row>
    <row r="3909" spans="1:9">
      <c r="A3909" s="706">
        <v>133532</v>
      </c>
      <c r="B3909" s="706" t="s">
        <v>5618</v>
      </c>
      <c r="D3909" s="706" t="s">
        <v>2814</v>
      </c>
      <c r="H3909" s="1191"/>
      <c r="I3909" s="706" t="s">
        <v>5318</v>
      </c>
    </row>
    <row r="3910" spans="1:9">
      <c r="A3910" s="706">
        <v>133533</v>
      </c>
      <c r="B3910" s="706" t="s">
        <v>5619</v>
      </c>
      <c r="D3910" s="706" t="s">
        <v>2814</v>
      </c>
      <c r="H3910" s="1191"/>
      <c r="I3910" s="706" t="s">
        <v>5318</v>
      </c>
    </row>
    <row r="3911" spans="1:9">
      <c r="A3911" s="706">
        <v>133534</v>
      </c>
      <c r="B3911" s="706" t="s">
        <v>5620</v>
      </c>
      <c r="D3911" s="706" t="s">
        <v>2814</v>
      </c>
      <c r="H3911" s="1191"/>
      <c r="I3911" s="706" t="s">
        <v>5318</v>
      </c>
    </row>
    <row r="3912" spans="1:9">
      <c r="A3912" s="706">
        <v>133535</v>
      </c>
      <c r="B3912" s="706" t="s">
        <v>5621</v>
      </c>
      <c r="D3912" s="706" t="s">
        <v>2814</v>
      </c>
      <c r="H3912" s="1191"/>
      <c r="I3912" s="706" t="s">
        <v>5318</v>
      </c>
    </row>
    <row r="3913" spans="1:9">
      <c r="A3913" s="706">
        <v>133536</v>
      </c>
      <c r="B3913" s="706" t="s">
        <v>5622</v>
      </c>
      <c r="D3913" s="706" t="s">
        <v>2814</v>
      </c>
      <c r="H3913" s="1191"/>
      <c r="I3913" s="706" t="s">
        <v>5318</v>
      </c>
    </row>
    <row r="3914" spans="1:9">
      <c r="A3914" s="706">
        <v>133537</v>
      </c>
      <c r="B3914" s="706" t="s">
        <v>5623</v>
      </c>
      <c r="D3914" s="706" t="s">
        <v>2814</v>
      </c>
      <c r="H3914" s="1191"/>
      <c r="I3914" s="706" t="s">
        <v>5318</v>
      </c>
    </row>
    <row r="3915" spans="1:9">
      <c r="A3915" s="706">
        <v>133538</v>
      </c>
      <c r="B3915" s="706" t="s">
        <v>5624</v>
      </c>
      <c r="D3915" s="706" t="s">
        <v>2814</v>
      </c>
      <c r="H3915" s="1191"/>
      <c r="I3915" s="706" t="s">
        <v>5318</v>
      </c>
    </row>
    <row r="3916" spans="1:9">
      <c r="A3916" s="706">
        <v>133539</v>
      </c>
      <c r="B3916" s="706" t="s">
        <v>5625</v>
      </c>
      <c r="D3916" s="706" t="s">
        <v>2814</v>
      </c>
      <c r="H3916" s="1191"/>
      <c r="I3916" s="706" t="s">
        <v>5318</v>
      </c>
    </row>
    <row r="3917" spans="1:9">
      <c r="A3917" s="706">
        <v>133540</v>
      </c>
      <c r="B3917" s="706" t="s">
        <v>5626</v>
      </c>
      <c r="D3917" s="706" t="s">
        <v>2814</v>
      </c>
      <c r="H3917" s="1191"/>
      <c r="I3917" s="706" t="s">
        <v>5318</v>
      </c>
    </row>
    <row r="3918" spans="1:9">
      <c r="A3918" s="706">
        <v>133541</v>
      </c>
      <c r="B3918" s="706" t="s">
        <v>5627</v>
      </c>
      <c r="D3918" s="706" t="s">
        <v>2814</v>
      </c>
      <c r="H3918" s="1191"/>
      <c r="I3918" s="706" t="s">
        <v>5318</v>
      </c>
    </row>
    <row r="3919" spans="1:9">
      <c r="A3919" s="706">
        <v>133542</v>
      </c>
      <c r="B3919" s="706" t="s">
        <v>5628</v>
      </c>
      <c r="D3919" s="706" t="s">
        <v>2814</v>
      </c>
      <c r="H3919" s="1191"/>
      <c r="I3919" s="706" t="s">
        <v>5318</v>
      </c>
    </row>
    <row r="3920" spans="1:9">
      <c r="A3920" s="706">
        <v>133543</v>
      </c>
      <c r="B3920" s="706" t="s">
        <v>5629</v>
      </c>
      <c r="D3920" s="706" t="s">
        <v>2814</v>
      </c>
      <c r="H3920" s="1191"/>
      <c r="I3920" s="706" t="s">
        <v>5318</v>
      </c>
    </row>
    <row r="3921" spans="1:9">
      <c r="A3921" s="706">
        <v>133544</v>
      </c>
      <c r="B3921" s="706" t="s">
        <v>5630</v>
      </c>
      <c r="C3921" s="706" t="s">
        <v>8187</v>
      </c>
      <c r="D3921" s="706" t="s">
        <v>2814</v>
      </c>
      <c r="E3921" s="706">
        <v>0.41720000000000002</v>
      </c>
      <c r="F3921" s="706" t="s">
        <v>28</v>
      </c>
      <c r="G3921" s="706">
        <v>407387</v>
      </c>
      <c r="H3921" s="1191">
        <v>45223</v>
      </c>
      <c r="I3921" s="706" t="s">
        <v>5318</v>
      </c>
    </row>
    <row r="3922" spans="1:9">
      <c r="A3922" s="706">
        <v>133545</v>
      </c>
      <c r="B3922" s="706" t="s">
        <v>5631</v>
      </c>
      <c r="D3922" s="706" t="s">
        <v>2814</v>
      </c>
      <c r="H3922" s="1191"/>
      <c r="I3922" s="706" t="s">
        <v>5318</v>
      </c>
    </row>
    <row r="3923" spans="1:9">
      <c r="A3923" s="706">
        <v>133546</v>
      </c>
      <c r="B3923" s="706" t="s">
        <v>5632</v>
      </c>
      <c r="D3923" s="706" t="s">
        <v>2814</v>
      </c>
      <c r="H3923" s="1191"/>
      <c r="I3923" s="706" t="s">
        <v>5318</v>
      </c>
    </row>
    <row r="3924" spans="1:9">
      <c r="A3924" s="706">
        <v>133547</v>
      </c>
      <c r="B3924" s="706" t="s">
        <v>5633</v>
      </c>
      <c r="D3924" s="706" t="s">
        <v>2814</v>
      </c>
      <c r="H3924" s="1191"/>
      <c r="I3924" s="706" t="s">
        <v>5318</v>
      </c>
    </row>
    <row r="3925" spans="1:9">
      <c r="A3925" s="706">
        <v>133548</v>
      </c>
      <c r="B3925" s="706" t="s">
        <v>5634</v>
      </c>
      <c r="D3925" s="706" t="s">
        <v>2814</v>
      </c>
      <c r="H3925" s="1191"/>
      <c r="I3925" s="706" t="s">
        <v>5318</v>
      </c>
    </row>
    <row r="3926" spans="1:9">
      <c r="A3926" s="706">
        <v>133549</v>
      </c>
      <c r="B3926" s="706" t="s">
        <v>5635</v>
      </c>
      <c r="D3926" s="706" t="s">
        <v>2814</v>
      </c>
      <c r="H3926" s="1191"/>
      <c r="I3926" s="706" t="s">
        <v>5318</v>
      </c>
    </row>
    <row r="3927" spans="1:9">
      <c r="A3927" s="706">
        <v>133550</v>
      </c>
      <c r="B3927" s="706" t="s">
        <v>5636</v>
      </c>
      <c r="D3927" s="706" t="s">
        <v>2814</v>
      </c>
      <c r="H3927" s="1191"/>
      <c r="I3927" s="706" t="s">
        <v>5318</v>
      </c>
    </row>
    <row r="3928" spans="1:9">
      <c r="A3928" s="706">
        <v>133551</v>
      </c>
      <c r="B3928" s="706" t="s">
        <v>5637</v>
      </c>
      <c r="D3928" s="706" t="s">
        <v>2814</v>
      </c>
      <c r="H3928" s="1191"/>
      <c r="I3928" s="706" t="s">
        <v>5318</v>
      </c>
    </row>
    <row r="3929" spans="1:9">
      <c r="A3929" s="706">
        <v>133552</v>
      </c>
      <c r="B3929" s="706" t="s">
        <v>5638</v>
      </c>
      <c r="D3929" s="706" t="s">
        <v>2814</v>
      </c>
      <c r="H3929" s="1191"/>
      <c r="I3929" s="706" t="s">
        <v>5318</v>
      </c>
    </row>
    <row r="3930" spans="1:9">
      <c r="A3930" s="706">
        <v>133553</v>
      </c>
      <c r="B3930" s="706" t="s">
        <v>5639</v>
      </c>
      <c r="D3930" s="706" t="s">
        <v>2814</v>
      </c>
      <c r="H3930" s="1191"/>
      <c r="I3930" s="706" t="s">
        <v>5318</v>
      </c>
    </row>
    <row r="3931" spans="1:9">
      <c r="A3931" s="706">
        <v>133554</v>
      </c>
      <c r="B3931" s="706" t="s">
        <v>5640</v>
      </c>
      <c r="D3931" s="706" t="s">
        <v>2814</v>
      </c>
      <c r="H3931" s="1191"/>
      <c r="I3931" s="706" t="s">
        <v>5318</v>
      </c>
    </row>
    <row r="3932" spans="1:9">
      <c r="A3932" s="706">
        <v>133555</v>
      </c>
      <c r="B3932" s="706" t="s">
        <v>5641</v>
      </c>
      <c r="D3932" s="706" t="s">
        <v>2814</v>
      </c>
      <c r="H3932" s="1191"/>
      <c r="I3932" s="706" t="s">
        <v>5318</v>
      </c>
    </row>
    <row r="3933" spans="1:9">
      <c r="A3933" s="706">
        <v>133556</v>
      </c>
      <c r="B3933" s="706" t="s">
        <v>5642</v>
      </c>
      <c r="D3933" s="706" t="s">
        <v>2814</v>
      </c>
      <c r="H3933" s="1191"/>
      <c r="I3933" s="706" t="s">
        <v>5318</v>
      </c>
    </row>
    <row r="3934" spans="1:9">
      <c r="A3934" s="706">
        <v>133557</v>
      </c>
      <c r="B3934" s="706" t="s">
        <v>5643</v>
      </c>
      <c r="D3934" s="706" t="s">
        <v>2814</v>
      </c>
      <c r="H3934" s="1191"/>
      <c r="I3934" s="706" t="s">
        <v>5318</v>
      </c>
    </row>
    <row r="3935" spans="1:9">
      <c r="A3935" s="706">
        <v>133558</v>
      </c>
      <c r="B3935" s="706" t="s">
        <v>5644</v>
      </c>
      <c r="D3935" s="706" t="s">
        <v>2814</v>
      </c>
      <c r="H3935" s="1191"/>
      <c r="I3935" s="706" t="s">
        <v>5318</v>
      </c>
    </row>
    <row r="3936" spans="1:9">
      <c r="A3936" s="706">
        <v>133559</v>
      </c>
      <c r="B3936" s="706" t="s">
        <v>5645</v>
      </c>
      <c r="D3936" s="706" t="s">
        <v>2814</v>
      </c>
      <c r="H3936" s="1191"/>
      <c r="I3936" s="706" t="s">
        <v>5318</v>
      </c>
    </row>
    <row r="3937" spans="1:9">
      <c r="A3937" s="706">
        <v>133560</v>
      </c>
      <c r="B3937" s="706" t="s">
        <v>5646</v>
      </c>
      <c r="D3937" s="706" t="s">
        <v>2814</v>
      </c>
      <c r="H3937" s="1191"/>
      <c r="I3937" s="706" t="s">
        <v>5318</v>
      </c>
    </row>
    <row r="3938" spans="1:9">
      <c r="A3938" s="706">
        <v>133561</v>
      </c>
      <c r="B3938" s="706" t="s">
        <v>5647</v>
      </c>
      <c r="D3938" s="706" t="s">
        <v>2814</v>
      </c>
      <c r="H3938" s="1191"/>
      <c r="I3938" s="706" t="s">
        <v>5318</v>
      </c>
    </row>
    <row r="3939" spans="1:9">
      <c r="A3939" s="706">
        <v>133562</v>
      </c>
      <c r="B3939" s="706" t="s">
        <v>5648</v>
      </c>
      <c r="D3939" s="706" t="s">
        <v>2814</v>
      </c>
      <c r="H3939" s="1191"/>
      <c r="I3939" s="706" t="s">
        <v>5318</v>
      </c>
    </row>
    <row r="3940" spans="1:9">
      <c r="A3940" s="706">
        <v>133563</v>
      </c>
      <c r="B3940" s="706" t="s">
        <v>5649</v>
      </c>
      <c r="C3940" s="706" t="s">
        <v>8202</v>
      </c>
      <c r="D3940" s="706" t="s">
        <v>2814</v>
      </c>
      <c r="E3940" s="706">
        <v>3.99</v>
      </c>
      <c r="F3940" s="706" t="s">
        <v>28</v>
      </c>
      <c r="G3940" s="706">
        <v>402406</v>
      </c>
      <c r="H3940" s="1191">
        <v>44223</v>
      </c>
      <c r="I3940" s="706" t="s">
        <v>5318</v>
      </c>
    </row>
    <row r="3941" spans="1:9">
      <c r="A3941" s="706">
        <v>133564</v>
      </c>
      <c r="B3941" s="706" t="s">
        <v>5650</v>
      </c>
      <c r="D3941" s="706" t="s">
        <v>2814</v>
      </c>
      <c r="H3941" s="1191"/>
      <c r="I3941" s="706" t="s">
        <v>5318</v>
      </c>
    </row>
    <row r="3942" spans="1:9">
      <c r="A3942" s="706">
        <v>133565</v>
      </c>
      <c r="B3942" s="706" t="s">
        <v>5651</v>
      </c>
      <c r="D3942" s="706" t="s">
        <v>2814</v>
      </c>
      <c r="H3942" s="1191"/>
      <c r="I3942" s="706" t="s">
        <v>5318</v>
      </c>
    </row>
    <row r="3943" spans="1:9">
      <c r="A3943" s="706">
        <v>133566</v>
      </c>
      <c r="B3943" s="706" t="s">
        <v>5652</v>
      </c>
      <c r="C3943" s="706" t="s">
        <v>8202</v>
      </c>
      <c r="D3943" s="706" t="s">
        <v>2814</v>
      </c>
      <c r="E3943" s="706">
        <v>4.4400000000000004</v>
      </c>
      <c r="F3943" s="706" t="s">
        <v>28</v>
      </c>
      <c r="G3943" s="706">
        <v>403948</v>
      </c>
      <c r="H3943" s="1191">
        <v>44483</v>
      </c>
      <c r="I3943" s="706" t="s">
        <v>5318</v>
      </c>
    </row>
    <row r="3944" spans="1:9">
      <c r="A3944" s="706">
        <v>133567</v>
      </c>
      <c r="B3944" s="706" t="s">
        <v>5653</v>
      </c>
      <c r="D3944" s="706" t="s">
        <v>2814</v>
      </c>
      <c r="H3944" s="1191"/>
      <c r="I3944" s="706" t="s">
        <v>5318</v>
      </c>
    </row>
    <row r="3945" spans="1:9">
      <c r="A3945" s="706">
        <v>133568</v>
      </c>
      <c r="B3945" s="706" t="s">
        <v>5654</v>
      </c>
      <c r="D3945" s="706" t="s">
        <v>2814</v>
      </c>
      <c r="H3945" s="1191"/>
      <c r="I3945" s="706" t="s">
        <v>5318</v>
      </c>
    </row>
    <row r="3946" spans="1:9">
      <c r="A3946" s="706">
        <v>133569</v>
      </c>
      <c r="B3946" s="706" t="s">
        <v>5655</v>
      </c>
      <c r="C3946" s="706" t="s">
        <v>8202</v>
      </c>
      <c r="D3946" s="706" t="s">
        <v>2814</v>
      </c>
      <c r="E3946" s="706">
        <v>5.266</v>
      </c>
      <c r="F3946" s="706" t="s">
        <v>28</v>
      </c>
      <c r="G3946" s="706">
        <v>411664</v>
      </c>
      <c r="H3946" s="1191">
        <v>46057</v>
      </c>
      <c r="I3946" s="706" t="s">
        <v>5318</v>
      </c>
    </row>
    <row r="3947" spans="1:9">
      <c r="A3947" s="706">
        <v>133570</v>
      </c>
      <c r="B3947" s="706" t="s">
        <v>5656</v>
      </c>
      <c r="D3947" s="706" t="s">
        <v>2814</v>
      </c>
      <c r="H3947" s="1191"/>
      <c r="I3947" s="706" t="s">
        <v>5318</v>
      </c>
    </row>
    <row r="3948" spans="1:9">
      <c r="A3948" s="706">
        <v>133571</v>
      </c>
      <c r="B3948" s="706" t="s">
        <v>5657</v>
      </c>
      <c r="D3948" s="706" t="s">
        <v>2814</v>
      </c>
      <c r="H3948" s="1191"/>
      <c r="I3948" s="706" t="s">
        <v>5318</v>
      </c>
    </row>
    <row r="3949" spans="1:9">
      <c r="A3949" s="706">
        <v>133572</v>
      </c>
      <c r="B3949" s="706" t="s">
        <v>5658</v>
      </c>
      <c r="C3949" s="706" t="s">
        <v>8202</v>
      </c>
      <c r="D3949" s="706" t="s">
        <v>2814</v>
      </c>
      <c r="E3949" s="706">
        <v>2.38</v>
      </c>
      <c r="F3949" s="706" t="s">
        <v>28</v>
      </c>
      <c r="G3949" s="706">
        <v>404484</v>
      </c>
      <c r="H3949" s="1191">
        <v>44600</v>
      </c>
      <c r="I3949" s="706" t="s">
        <v>5318</v>
      </c>
    </row>
    <row r="3950" spans="1:9">
      <c r="A3950" s="706">
        <v>133573</v>
      </c>
      <c r="B3950" s="706" t="s">
        <v>5659</v>
      </c>
      <c r="D3950" s="706" t="s">
        <v>2814</v>
      </c>
      <c r="H3950" s="1191"/>
      <c r="I3950" s="706" t="s">
        <v>5318</v>
      </c>
    </row>
    <row r="3951" spans="1:9">
      <c r="A3951" s="706">
        <v>133574</v>
      </c>
      <c r="B3951" s="706" t="s">
        <v>5660</v>
      </c>
      <c r="D3951" s="706" t="s">
        <v>2814</v>
      </c>
      <c r="H3951" s="1191"/>
      <c r="I3951" s="706" t="s">
        <v>5318</v>
      </c>
    </row>
    <row r="3952" spans="1:9">
      <c r="A3952" s="706">
        <v>133575</v>
      </c>
      <c r="B3952" s="706" t="s">
        <v>5661</v>
      </c>
      <c r="C3952" s="706" t="s">
        <v>8202</v>
      </c>
      <c r="D3952" s="706" t="s">
        <v>2814</v>
      </c>
      <c r="E3952" s="706">
        <v>1.78</v>
      </c>
      <c r="F3952" s="706" t="s">
        <v>28</v>
      </c>
      <c r="G3952" s="706">
        <v>405094</v>
      </c>
      <c r="H3952" s="1191">
        <v>44713</v>
      </c>
      <c r="I3952" s="706" t="s">
        <v>5318</v>
      </c>
    </row>
    <row r="3953" spans="1:9">
      <c r="A3953" s="706">
        <v>133576</v>
      </c>
      <c r="B3953" s="706" t="s">
        <v>5662</v>
      </c>
      <c r="C3953" s="706" t="s">
        <v>8202</v>
      </c>
      <c r="D3953" s="706" t="s">
        <v>2814</v>
      </c>
      <c r="E3953" s="706">
        <v>1.23</v>
      </c>
      <c r="F3953" s="706" t="s">
        <v>28</v>
      </c>
      <c r="G3953" s="706">
        <v>403641</v>
      </c>
      <c r="H3953" s="1191">
        <v>44420</v>
      </c>
      <c r="I3953" s="706" t="s">
        <v>5318</v>
      </c>
    </row>
    <row r="3954" spans="1:9">
      <c r="A3954" s="706">
        <v>133577</v>
      </c>
      <c r="B3954" s="706" t="s">
        <v>5663</v>
      </c>
      <c r="D3954" s="706" t="s">
        <v>2814</v>
      </c>
      <c r="H3954" s="1191"/>
      <c r="I3954" s="706" t="s">
        <v>5318</v>
      </c>
    </row>
    <row r="3955" spans="1:9">
      <c r="A3955" s="706">
        <v>133578</v>
      </c>
      <c r="B3955" s="706" t="s">
        <v>5664</v>
      </c>
      <c r="D3955" s="706" t="s">
        <v>2814</v>
      </c>
      <c r="H3955" s="1191"/>
      <c r="I3955" s="706" t="s">
        <v>5318</v>
      </c>
    </row>
    <row r="3956" spans="1:9">
      <c r="A3956" s="706">
        <v>133579</v>
      </c>
      <c r="B3956" s="706" t="s">
        <v>5665</v>
      </c>
      <c r="D3956" s="706" t="s">
        <v>2814</v>
      </c>
      <c r="H3956" s="1191"/>
      <c r="I3956" s="706" t="s">
        <v>5318</v>
      </c>
    </row>
    <row r="3957" spans="1:9">
      <c r="A3957" s="706">
        <v>133580</v>
      </c>
      <c r="B3957" s="706" t="s">
        <v>5666</v>
      </c>
      <c r="D3957" s="706" t="s">
        <v>2814</v>
      </c>
      <c r="H3957" s="1191"/>
      <c r="I3957" s="706" t="s">
        <v>5318</v>
      </c>
    </row>
    <row r="3958" spans="1:9">
      <c r="A3958" s="706">
        <v>133581</v>
      </c>
      <c r="B3958" s="706" t="s">
        <v>5667</v>
      </c>
      <c r="D3958" s="706" t="s">
        <v>2814</v>
      </c>
      <c r="H3958" s="1191"/>
      <c r="I3958" s="706" t="s">
        <v>5318</v>
      </c>
    </row>
    <row r="3959" spans="1:9">
      <c r="A3959" s="706">
        <v>133582</v>
      </c>
      <c r="B3959" s="706" t="s">
        <v>5668</v>
      </c>
      <c r="D3959" s="706" t="s">
        <v>2814</v>
      </c>
      <c r="H3959" s="1191"/>
      <c r="I3959" s="706" t="s">
        <v>5318</v>
      </c>
    </row>
    <row r="3960" spans="1:9">
      <c r="A3960" s="706">
        <v>133583</v>
      </c>
      <c r="B3960" s="706" t="s">
        <v>5669</v>
      </c>
      <c r="D3960" s="706" t="s">
        <v>2814</v>
      </c>
      <c r="H3960" s="1191"/>
      <c r="I3960" s="706" t="s">
        <v>5318</v>
      </c>
    </row>
    <row r="3961" spans="1:9">
      <c r="A3961" s="706">
        <v>133584</v>
      </c>
      <c r="B3961" s="706" t="s">
        <v>5670</v>
      </c>
      <c r="D3961" s="706" t="s">
        <v>2814</v>
      </c>
      <c r="H3961" s="1191"/>
      <c r="I3961" s="706" t="s">
        <v>5318</v>
      </c>
    </row>
    <row r="3962" spans="1:9">
      <c r="A3962" s="706">
        <v>133585</v>
      </c>
      <c r="B3962" s="706" t="s">
        <v>5671</v>
      </c>
      <c r="D3962" s="706" t="s">
        <v>2814</v>
      </c>
      <c r="H3962" s="1191"/>
      <c r="I3962" s="706" t="s">
        <v>5318</v>
      </c>
    </row>
    <row r="3963" spans="1:9">
      <c r="A3963" s="706">
        <v>133586</v>
      </c>
      <c r="B3963" s="706" t="s">
        <v>5672</v>
      </c>
      <c r="D3963" s="706" t="s">
        <v>2814</v>
      </c>
      <c r="H3963" s="1191"/>
      <c r="I3963" s="706" t="s">
        <v>5318</v>
      </c>
    </row>
    <row r="3964" spans="1:9">
      <c r="A3964" s="706">
        <v>133587</v>
      </c>
      <c r="B3964" s="706" t="s">
        <v>5673</v>
      </c>
      <c r="D3964" s="706" t="s">
        <v>2814</v>
      </c>
      <c r="H3964" s="1191"/>
      <c r="I3964" s="706" t="s">
        <v>5318</v>
      </c>
    </row>
    <row r="3965" spans="1:9">
      <c r="A3965" s="706">
        <v>133588</v>
      </c>
      <c r="B3965" s="706" t="s">
        <v>5674</v>
      </c>
      <c r="D3965" s="706" t="s">
        <v>2814</v>
      </c>
      <c r="H3965" s="1191"/>
      <c r="I3965" s="706" t="s">
        <v>5318</v>
      </c>
    </row>
    <row r="3966" spans="1:9">
      <c r="A3966" s="706">
        <v>133589</v>
      </c>
      <c r="B3966" s="706" t="s">
        <v>5675</v>
      </c>
      <c r="D3966" s="706" t="s">
        <v>2814</v>
      </c>
      <c r="H3966" s="1191"/>
      <c r="I3966" s="706" t="s">
        <v>5318</v>
      </c>
    </row>
    <row r="3967" spans="1:9">
      <c r="A3967" s="706">
        <v>133590</v>
      </c>
      <c r="B3967" s="706" t="s">
        <v>5676</v>
      </c>
      <c r="D3967" s="706" t="s">
        <v>2814</v>
      </c>
      <c r="H3967" s="1191"/>
      <c r="I3967" s="706" t="s">
        <v>5318</v>
      </c>
    </row>
    <row r="3968" spans="1:9">
      <c r="A3968" s="706">
        <v>133591</v>
      </c>
      <c r="B3968" s="706" t="s">
        <v>5677</v>
      </c>
      <c r="D3968" s="706" t="s">
        <v>2814</v>
      </c>
      <c r="H3968" s="1191"/>
      <c r="I3968" s="706" t="s">
        <v>5318</v>
      </c>
    </row>
    <row r="3969" spans="1:9">
      <c r="A3969" s="706">
        <v>133592</v>
      </c>
      <c r="B3969" s="706" t="s">
        <v>5678</v>
      </c>
      <c r="D3969" s="706" t="s">
        <v>2814</v>
      </c>
      <c r="H3969" s="1191"/>
      <c r="I3969" s="706" t="s">
        <v>5318</v>
      </c>
    </row>
    <row r="3970" spans="1:9">
      <c r="A3970" s="706">
        <v>133593</v>
      </c>
      <c r="B3970" s="706" t="s">
        <v>5679</v>
      </c>
      <c r="D3970" s="706" t="s">
        <v>2814</v>
      </c>
      <c r="H3970" s="1191"/>
      <c r="I3970" s="706" t="s">
        <v>5318</v>
      </c>
    </row>
    <row r="3971" spans="1:9">
      <c r="A3971" s="706">
        <v>133594</v>
      </c>
      <c r="B3971" s="706" t="s">
        <v>5680</v>
      </c>
      <c r="D3971" s="706" t="s">
        <v>2814</v>
      </c>
      <c r="H3971" s="1191"/>
      <c r="I3971" s="706" t="s">
        <v>5318</v>
      </c>
    </row>
    <row r="3972" spans="1:9">
      <c r="A3972" s="706">
        <v>133595</v>
      </c>
      <c r="B3972" s="706" t="s">
        <v>5681</v>
      </c>
      <c r="D3972" s="706" t="s">
        <v>2814</v>
      </c>
      <c r="H3972" s="1191"/>
      <c r="I3972" s="706" t="s">
        <v>5318</v>
      </c>
    </row>
    <row r="3973" spans="1:9">
      <c r="A3973" s="706">
        <v>133596</v>
      </c>
      <c r="B3973" s="706" t="s">
        <v>5682</v>
      </c>
      <c r="D3973" s="706" t="s">
        <v>2814</v>
      </c>
      <c r="H3973" s="1191"/>
      <c r="I3973" s="706" t="s">
        <v>5318</v>
      </c>
    </row>
    <row r="3974" spans="1:9">
      <c r="A3974" s="706">
        <v>133597</v>
      </c>
      <c r="B3974" s="706" t="s">
        <v>5683</v>
      </c>
      <c r="D3974" s="706" t="s">
        <v>2814</v>
      </c>
      <c r="H3974" s="1191"/>
      <c r="I3974" s="706" t="s">
        <v>5318</v>
      </c>
    </row>
    <row r="3975" spans="1:9">
      <c r="A3975" s="706">
        <v>133598</v>
      </c>
      <c r="B3975" s="706" t="s">
        <v>5684</v>
      </c>
      <c r="D3975" s="706" t="s">
        <v>2814</v>
      </c>
      <c r="H3975" s="1191"/>
      <c r="I3975" s="706" t="s">
        <v>5318</v>
      </c>
    </row>
    <row r="3976" spans="1:9">
      <c r="A3976" s="706">
        <v>133599</v>
      </c>
      <c r="B3976" s="706" t="s">
        <v>5685</v>
      </c>
      <c r="D3976" s="706" t="s">
        <v>2814</v>
      </c>
      <c r="H3976" s="1191"/>
      <c r="I3976" s="706" t="s">
        <v>5318</v>
      </c>
    </row>
    <row r="3977" spans="1:9">
      <c r="A3977" s="706">
        <v>133600</v>
      </c>
      <c r="B3977" s="706" t="s">
        <v>5686</v>
      </c>
      <c r="D3977" s="706" t="s">
        <v>2814</v>
      </c>
      <c r="H3977" s="1191"/>
      <c r="I3977" s="706" t="s">
        <v>5318</v>
      </c>
    </row>
    <row r="3978" spans="1:9">
      <c r="A3978" s="706">
        <v>133601</v>
      </c>
      <c r="B3978" s="706" t="s">
        <v>5687</v>
      </c>
      <c r="D3978" s="706" t="s">
        <v>2814</v>
      </c>
      <c r="H3978" s="1191"/>
      <c r="I3978" s="706" t="s">
        <v>5318</v>
      </c>
    </row>
    <row r="3979" spans="1:9">
      <c r="A3979" s="706">
        <v>133602</v>
      </c>
      <c r="B3979" s="706" t="s">
        <v>5688</v>
      </c>
      <c r="D3979" s="706" t="s">
        <v>2814</v>
      </c>
      <c r="H3979" s="1191"/>
      <c r="I3979" s="706" t="s">
        <v>5318</v>
      </c>
    </row>
    <row r="3980" spans="1:9">
      <c r="A3980" s="706">
        <v>133603</v>
      </c>
      <c r="B3980" s="706" t="s">
        <v>5689</v>
      </c>
      <c r="D3980" s="706" t="s">
        <v>2814</v>
      </c>
      <c r="H3980" s="1191"/>
      <c r="I3980" s="706" t="s">
        <v>5318</v>
      </c>
    </row>
    <row r="3981" spans="1:9">
      <c r="A3981" s="706">
        <v>133604</v>
      </c>
      <c r="B3981" s="706" t="s">
        <v>5690</v>
      </c>
      <c r="D3981" s="706" t="s">
        <v>2814</v>
      </c>
      <c r="H3981" s="1191"/>
      <c r="I3981" s="706" t="s">
        <v>5318</v>
      </c>
    </row>
    <row r="3982" spans="1:9">
      <c r="A3982" s="706">
        <v>133605</v>
      </c>
      <c r="B3982" s="706" t="s">
        <v>5691</v>
      </c>
      <c r="D3982" s="706" t="s">
        <v>2814</v>
      </c>
      <c r="H3982" s="1191"/>
      <c r="I3982" s="706" t="s">
        <v>5318</v>
      </c>
    </row>
    <row r="3983" spans="1:9">
      <c r="A3983" s="706">
        <v>133606</v>
      </c>
      <c r="B3983" s="706" t="s">
        <v>5692</v>
      </c>
      <c r="D3983" s="706" t="s">
        <v>2814</v>
      </c>
      <c r="H3983" s="1191"/>
      <c r="I3983" s="706" t="s">
        <v>5318</v>
      </c>
    </row>
    <row r="3984" spans="1:9">
      <c r="A3984" s="706">
        <v>133607</v>
      </c>
      <c r="B3984" s="706" t="s">
        <v>5693</v>
      </c>
      <c r="D3984" s="706" t="s">
        <v>2814</v>
      </c>
      <c r="H3984" s="1191"/>
      <c r="I3984" s="706" t="s">
        <v>5318</v>
      </c>
    </row>
    <row r="3985" spans="1:9">
      <c r="A3985" s="706">
        <v>133608</v>
      </c>
      <c r="B3985" s="706" t="s">
        <v>5694</v>
      </c>
      <c r="D3985" s="706" t="s">
        <v>2814</v>
      </c>
      <c r="H3985" s="1191"/>
      <c r="I3985" s="706" t="s">
        <v>5318</v>
      </c>
    </row>
    <row r="3986" spans="1:9">
      <c r="A3986" s="706">
        <v>133609</v>
      </c>
      <c r="B3986" s="706" t="s">
        <v>5695</v>
      </c>
      <c r="D3986" s="706" t="s">
        <v>2814</v>
      </c>
      <c r="H3986" s="1191"/>
      <c r="I3986" s="706" t="s">
        <v>5318</v>
      </c>
    </row>
    <row r="3987" spans="1:9">
      <c r="A3987" s="706">
        <v>133610</v>
      </c>
      <c r="B3987" s="706" t="s">
        <v>5696</v>
      </c>
      <c r="D3987" s="706" t="s">
        <v>2814</v>
      </c>
      <c r="H3987" s="1191"/>
      <c r="I3987" s="706" t="s">
        <v>5318</v>
      </c>
    </row>
    <row r="3988" spans="1:9">
      <c r="A3988" s="706">
        <v>133611</v>
      </c>
      <c r="B3988" s="706" t="s">
        <v>5697</v>
      </c>
      <c r="D3988" s="706" t="s">
        <v>2814</v>
      </c>
      <c r="H3988" s="1191"/>
      <c r="I3988" s="706" t="s">
        <v>5318</v>
      </c>
    </row>
    <row r="3989" spans="1:9">
      <c r="A3989" s="706">
        <v>133612</v>
      </c>
      <c r="B3989" s="706" t="s">
        <v>5698</v>
      </c>
      <c r="D3989" s="706" t="s">
        <v>2814</v>
      </c>
      <c r="H3989" s="1191"/>
      <c r="I3989" s="706" t="s">
        <v>5318</v>
      </c>
    </row>
    <row r="3990" spans="1:9">
      <c r="A3990" s="706">
        <v>133613</v>
      </c>
      <c r="B3990" s="706" t="s">
        <v>5699</v>
      </c>
      <c r="D3990" s="706" t="s">
        <v>2814</v>
      </c>
      <c r="H3990" s="1191"/>
      <c r="I3990" s="706" t="s">
        <v>5318</v>
      </c>
    </row>
    <row r="3991" spans="1:9">
      <c r="A3991" s="706">
        <v>133614</v>
      </c>
      <c r="B3991" s="706" t="s">
        <v>5700</v>
      </c>
      <c r="D3991" s="706" t="s">
        <v>2814</v>
      </c>
      <c r="H3991" s="1191"/>
      <c r="I3991" s="706" t="s">
        <v>5318</v>
      </c>
    </row>
    <row r="3992" spans="1:9">
      <c r="A3992" s="706">
        <v>133615</v>
      </c>
      <c r="B3992" s="706" t="s">
        <v>5701</v>
      </c>
      <c r="D3992" s="706" t="s">
        <v>2814</v>
      </c>
      <c r="H3992" s="1191"/>
      <c r="I3992" s="706" t="s">
        <v>5318</v>
      </c>
    </row>
    <row r="3993" spans="1:9">
      <c r="A3993" s="706">
        <v>133616</v>
      </c>
      <c r="B3993" s="706" t="s">
        <v>5702</v>
      </c>
      <c r="D3993" s="706" t="s">
        <v>2814</v>
      </c>
      <c r="H3993" s="1191"/>
      <c r="I3993" s="706" t="s">
        <v>5318</v>
      </c>
    </row>
    <row r="3994" spans="1:9">
      <c r="A3994" s="706">
        <v>133617</v>
      </c>
      <c r="B3994" s="706" t="s">
        <v>5703</v>
      </c>
      <c r="D3994" s="706" t="s">
        <v>2814</v>
      </c>
      <c r="H3994" s="1191"/>
      <c r="I3994" s="706" t="s">
        <v>5318</v>
      </c>
    </row>
    <row r="3995" spans="1:9">
      <c r="A3995" s="706">
        <v>133618</v>
      </c>
      <c r="B3995" s="706" t="s">
        <v>5704</v>
      </c>
      <c r="D3995" s="706" t="s">
        <v>2814</v>
      </c>
      <c r="H3995" s="1191"/>
      <c r="I3995" s="706" t="s">
        <v>5318</v>
      </c>
    </row>
    <row r="3996" spans="1:9">
      <c r="A3996" s="706">
        <v>133619</v>
      </c>
      <c r="B3996" s="706" t="s">
        <v>5705</v>
      </c>
      <c r="D3996" s="706" t="s">
        <v>2814</v>
      </c>
      <c r="H3996" s="1191"/>
      <c r="I3996" s="706" t="s">
        <v>5318</v>
      </c>
    </row>
    <row r="3997" spans="1:9">
      <c r="A3997" s="706">
        <v>133620</v>
      </c>
      <c r="B3997" s="706" t="s">
        <v>5706</v>
      </c>
      <c r="D3997" s="706" t="s">
        <v>2814</v>
      </c>
      <c r="H3997" s="1191"/>
      <c r="I3997" s="706" t="s">
        <v>5318</v>
      </c>
    </row>
    <row r="3998" spans="1:9">
      <c r="A3998" s="706">
        <v>133621</v>
      </c>
      <c r="B3998" s="706" t="s">
        <v>5707</v>
      </c>
      <c r="D3998" s="706" t="s">
        <v>2814</v>
      </c>
      <c r="H3998" s="1191"/>
      <c r="I3998" s="706" t="s">
        <v>5318</v>
      </c>
    </row>
    <row r="3999" spans="1:9">
      <c r="A3999" s="706">
        <v>133622</v>
      </c>
      <c r="B3999" s="706" t="s">
        <v>5708</v>
      </c>
      <c r="D3999" s="706" t="s">
        <v>2814</v>
      </c>
      <c r="H3999" s="1191"/>
      <c r="I3999" s="706" t="s">
        <v>5318</v>
      </c>
    </row>
    <row r="4000" spans="1:9">
      <c r="A4000" s="706">
        <v>133623</v>
      </c>
      <c r="B4000" s="706" t="s">
        <v>5709</v>
      </c>
      <c r="D4000" s="706" t="s">
        <v>2814</v>
      </c>
      <c r="H4000" s="1191"/>
      <c r="I4000" s="706" t="s">
        <v>5318</v>
      </c>
    </row>
    <row r="4001" spans="1:9">
      <c r="A4001" s="706">
        <v>133624</v>
      </c>
      <c r="B4001" s="706" t="s">
        <v>5710</v>
      </c>
      <c r="D4001" s="706" t="s">
        <v>2814</v>
      </c>
      <c r="H4001" s="1191"/>
      <c r="I4001" s="706" t="s">
        <v>5318</v>
      </c>
    </row>
    <row r="4002" spans="1:9">
      <c r="A4002" s="706">
        <v>133625</v>
      </c>
      <c r="B4002" s="706" t="s">
        <v>5711</v>
      </c>
      <c r="D4002" s="706" t="s">
        <v>2814</v>
      </c>
      <c r="H4002" s="1191"/>
      <c r="I4002" s="706" t="s">
        <v>5318</v>
      </c>
    </row>
    <row r="4003" spans="1:9">
      <c r="A4003" s="706">
        <v>133626</v>
      </c>
      <c r="B4003" s="706" t="s">
        <v>5712</v>
      </c>
      <c r="D4003" s="706" t="s">
        <v>2814</v>
      </c>
      <c r="H4003" s="1191"/>
      <c r="I4003" s="706" t="s">
        <v>5318</v>
      </c>
    </row>
    <row r="4004" spans="1:9">
      <c r="A4004" s="706">
        <v>133627</v>
      </c>
      <c r="B4004" s="706" t="s">
        <v>5713</v>
      </c>
      <c r="D4004" s="706" t="s">
        <v>2814</v>
      </c>
      <c r="H4004" s="1191"/>
      <c r="I4004" s="706" t="s">
        <v>5318</v>
      </c>
    </row>
    <row r="4005" spans="1:9">
      <c r="A4005" s="706">
        <v>133628</v>
      </c>
      <c r="B4005" s="706" t="s">
        <v>5714</v>
      </c>
      <c r="D4005" s="706" t="s">
        <v>2814</v>
      </c>
      <c r="H4005" s="1191"/>
      <c r="I4005" s="706" t="s">
        <v>5318</v>
      </c>
    </row>
    <row r="4006" spans="1:9">
      <c r="A4006" s="706">
        <v>133629</v>
      </c>
      <c r="B4006" s="706" t="s">
        <v>5715</v>
      </c>
      <c r="D4006" s="706" t="s">
        <v>2814</v>
      </c>
      <c r="H4006" s="1191"/>
      <c r="I4006" s="706" t="s">
        <v>5318</v>
      </c>
    </row>
    <row r="4007" spans="1:9">
      <c r="A4007" s="706">
        <v>133630</v>
      </c>
      <c r="B4007" s="706" t="s">
        <v>5716</v>
      </c>
      <c r="D4007" s="706" t="s">
        <v>2814</v>
      </c>
      <c r="H4007" s="1191"/>
      <c r="I4007" s="706" t="s">
        <v>5318</v>
      </c>
    </row>
    <row r="4008" spans="1:9">
      <c r="A4008" s="706">
        <v>133631</v>
      </c>
      <c r="B4008" s="706" t="s">
        <v>5717</v>
      </c>
      <c r="D4008" s="706" t="s">
        <v>2814</v>
      </c>
      <c r="H4008" s="1191"/>
      <c r="I4008" s="706" t="s">
        <v>5318</v>
      </c>
    </row>
    <row r="4009" spans="1:9">
      <c r="A4009" s="706">
        <v>133632</v>
      </c>
      <c r="B4009" s="706" t="s">
        <v>5718</v>
      </c>
      <c r="D4009" s="706" t="s">
        <v>2814</v>
      </c>
      <c r="H4009" s="1191"/>
      <c r="I4009" s="706" t="s">
        <v>5318</v>
      </c>
    </row>
    <row r="4010" spans="1:9">
      <c r="A4010" s="706">
        <v>133633</v>
      </c>
      <c r="B4010" s="706" t="s">
        <v>5719</v>
      </c>
      <c r="D4010" s="706" t="s">
        <v>2814</v>
      </c>
      <c r="H4010" s="1191"/>
      <c r="I4010" s="706" t="s">
        <v>5318</v>
      </c>
    </row>
    <row r="4011" spans="1:9">
      <c r="A4011" s="706">
        <v>133634</v>
      </c>
      <c r="B4011" s="706" t="s">
        <v>5720</v>
      </c>
      <c r="D4011" s="706" t="s">
        <v>2814</v>
      </c>
      <c r="H4011" s="1191"/>
      <c r="I4011" s="706" t="s">
        <v>5318</v>
      </c>
    </row>
    <row r="4012" spans="1:9">
      <c r="A4012" s="706">
        <v>133635</v>
      </c>
      <c r="B4012" s="706" t="s">
        <v>5721</v>
      </c>
      <c r="D4012" s="706" t="s">
        <v>2814</v>
      </c>
      <c r="H4012" s="1191"/>
      <c r="I4012" s="706" t="s">
        <v>5318</v>
      </c>
    </row>
    <row r="4013" spans="1:9">
      <c r="A4013" s="706">
        <v>133636</v>
      </c>
      <c r="B4013" s="706" t="s">
        <v>5722</v>
      </c>
      <c r="D4013" s="706" t="s">
        <v>2814</v>
      </c>
      <c r="H4013" s="1191"/>
      <c r="I4013" s="706" t="s">
        <v>5318</v>
      </c>
    </row>
    <row r="4014" spans="1:9">
      <c r="A4014" s="706">
        <v>133637</v>
      </c>
      <c r="B4014" s="706" t="s">
        <v>5723</v>
      </c>
      <c r="D4014" s="706" t="s">
        <v>2814</v>
      </c>
      <c r="H4014" s="1191"/>
      <c r="I4014" s="706" t="s">
        <v>5318</v>
      </c>
    </row>
    <row r="4015" spans="1:9">
      <c r="A4015" s="706">
        <v>133638</v>
      </c>
      <c r="B4015" s="706" t="s">
        <v>5724</v>
      </c>
      <c r="D4015" s="706" t="s">
        <v>2814</v>
      </c>
      <c r="H4015" s="1191"/>
      <c r="I4015" s="706" t="s">
        <v>5318</v>
      </c>
    </row>
    <row r="4016" spans="1:9">
      <c r="A4016" s="706">
        <v>133639</v>
      </c>
      <c r="B4016" s="706" t="s">
        <v>5725</v>
      </c>
      <c r="D4016" s="706" t="s">
        <v>2814</v>
      </c>
      <c r="H4016" s="1191"/>
      <c r="I4016" s="706" t="s">
        <v>5318</v>
      </c>
    </row>
    <row r="4017" spans="1:9">
      <c r="A4017" s="706">
        <v>133640</v>
      </c>
      <c r="B4017" s="706" t="s">
        <v>5726</v>
      </c>
      <c r="D4017" s="706" t="s">
        <v>2814</v>
      </c>
      <c r="H4017" s="1191"/>
      <c r="I4017" s="706" t="s">
        <v>5318</v>
      </c>
    </row>
    <row r="4018" spans="1:9">
      <c r="A4018" s="706">
        <v>133641</v>
      </c>
      <c r="B4018" s="706" t="s">
        <v>5727</v>
      </c>
      <c r="D4018" s="706" t="s">
        <v>2814</v>
      </c>
      <c r="H4018" s="1191"/>
      <c r="I4018" s="706" t="s">
        <v>5318</v>
      </c>
    </row>
    <row r="4019" spans="1:9">
      <c r="A4019" s="706">
        <v>133642</v>
      </c>
      <c r="B4019" s="706" t="s">
        <v>5728</v>
      </c>
      <c r="D4019" s="706" t="s">
        <v>2814</v>
      </c>
      <c r="H4019" s="1191"/>
      <c r="I4019" s="706" t="s">
        <v>5318</v>
      </c>
    </row>
    <row r="4020" spans="1:9">
      <c r="A4020" s="706">
        <v>133643</v>
      </c>
      <c r="B4020" s="706" t="s">
        <v>5729</v>
      </c>
      <c r="D4020" s="706" t="s">
        <v>2814</v>
      </c>
      <c r="H4020" s="1191"/>
      <c r="I4020" s="706" t="s">
        <v>5318</v>
      </c>
    </row>
    <row r="4021" spans="1:9">
      <c r="A4021" s="706">
        <v>133644</v>
      </c>
      <c r="B4021" s="706" t="s">
        <v>5730</v>
      </c>
      <c r="D4021" s="706" t="s">
        <v>2814</v>
      </c>
      <c r="H4021" s="1191"/>
      <c r="I4021" s="706" t="s">
        <v>5318</v>
      </c>
    </row>
    <row r="4022" spans="1:9">
      <c r="A4022" s="706">
        <v>133645</v>
      </c>
      <c r="B4022" s="706" t="s">
        <v>5731</v>
      </c>
      <c r="D4022" s="706" t="s">
        <v>2814</v>
      </c>
      <c r="H4022" s="1191"/>
      <c r="I4022" s="706" t="s">
        <v>5318</v>
      </c>
    </row>
    <row r="4023" spans="1:9">
      <c r="A4023" s="706">
        <v>133646</v>
      </c>
      <c r="B4023" s="706" t="s">
        <v>5732</v>
      </c>
      <c r="D4023" s="706" t="s">
        <v>2814</v>
      </c>
      <c r="H4023" s="1191"/>
      <c r="I4023" s="706" t="s">
        <v>5318</v>
      </c>
    </row>
    <row r="4024" spans="1:9">
      <c r="A4024" s="706">
        <v>133647</v>
      </c>
      <c r="B4024" s="706" t="s">
        <v>5733</v>
      </c>
      <c r="D4024" s="706" t="s">
        <v>2814</v>
      </c>
      <c r="H4024" s="1191"/>
      <c r="I4024" s="706" t="s">
        <v>5318</v>
      </c>
    </row>
    <row r="4025" spans="1:9">
      <c r="A4025" s="706">
        <v>133648</v>
      </c>
      <c r="B4025" s="706" t="s">
        <v>5734</v>
      </c>
      <c r="D4025" s="706" t="s">
        <v>2814</v>
      </c>
      <c r="H4025" s="1191"/>
      <c r="I4025" s="706" t="s">
        <v>5318</v>
      </c>
    </row>
    <row r="4026" spans="1:9">
      <c r="A4026" s="706">
        <v>133649</v>
      </c>
      <c r="B4026" s="706" t="s">
        <v>5735</v>
      </c>
      <c r="D4026" s="706" t="s">
        <v>2814</v>
      </c>
      <c r="H4026" s="1191"/>
      <c r="I4026" s="706" t="s">
        <v>5318</v>
      </c>
    </row>
    <row r="4027" spans="1:9">
      <c r="A4027" s="706">
        <v>133650</v>
      </c>
      <c r="B4027" s="706" t="s">
        <v>5736</v>
      </c>
      <c r="D4027" s="706" t="s">
        <v>2814</v>
      </c>
      <c r="H4027" s="1191"/>
      <c r="I4027" s="706" t="s">
        <v>5318</v>
      </c>
    </row>
    <row r="4028" spans="1:9">
      <c r="A4028" s="706">
        <v>133651</v>
      </c>
      <c r="B4028" s="706" t="s">
        <v>5737</v>
      </c>
      <c r="D4028" s="706" t="s">
        <v>2814</v>
      </c>
      <c r="H4028" s="1191"/>
      <c r="I4028" s="706" t="s">
        <v>5318</v>
      </c>
    </row>
    <row r="4029" spans="1:9">
      <c r="A4029" s="706">
        <v>133652</v>
      </c>
      <c r="B4029" s="706" t="s">
        <v>5738</v>
      </c>
      <c r="D4029" s="706" t="s">
        <v>2814</v>
      </c>
      <c r="H4029" s="1191"/>
      <c r="I4029" s="706" t="s">
        <v>5318</v>
      </c>
    </row>
    <row r="4030" spans="1:9">
      <c r="A4030" s="706">
        <v>133653</v>
      </c>
      <c r="B4030" s="706" t="s">
        <v>5739</v>
      </c>
      <c r="D4030" s="706" t="s">
        <v>2814</v>
      </c>
      <c r="H4030" s="1191"/>
      <c r="I4030" s="706" t="s">
        <v>5318</v>
      </c>
    </row>
    <row r="4031" spans="1:9">
      <c r="A4031" s="706">
        <v>133654</v>
      </c>
      <c r="B4031" s="706" t="s">
        <v>5740</v>
      </c>
      <c r="D4031" s="706" t="s">
        <v>2814</v>
      </c>
      <c r="H4031" s="1191"/>
      <c r="I4031" s="706" t="s">
        <v>5318</v>
      </c>
    </row>
    <row r="4032" spans="1:9">
      <c r="A4032" s="706">
        <v>133655</v>
      </c>
      <c r="B4032" s="706" t="s">
        <v>5741</v>
      </c>
      <c r="D4032" s="706" t="s">
        <v>2814</v>
      </c>
      <c r="H4032" s="1191"/>
      <c r="I4032" s="706" t="s">
        <v>5318</v>
      </c>
    </row>
    <row r="4033" spans="1:9">
      <c r="A4033" s="706">
        <v>133656</v>
      </c>
      <c r="B4033" s="706" t="s">
        <v>5742</v>
      </c>
      <c r="D4033" s="706" t="s">
        <v>2814</v>
      </c>
      <c r="H4033" s="1191"/>
      <c r="I4033" s="706" t="s">
        <v>5318</v>
      </c>
    </row>
    <row r="4034" spans="1:9">
      <c r="A4034" s="706">
        <v>133657</v>
      </c>
      <c r="B4034" s="706" t="s">
        <v>5743</v>
      </c>
      <c r="D4034" s="706" t="s">
        <v>2814</v>
      </c>
      <c r="H4034" s="1191"/>
      <c r="I4034" s="706" t="s">
        <v>5318</v>
      </c>
    </row>
    <row r="4035" spans="1:9">
      <c r="A4035" s="706">
        <v>133658</v>
      </c>
      <c r="B4035" s="706" t="s">
        <v>5744</v>
      </c>
      <c r="D4035" s="706" t="s">
        <v>2814</v>
      </c>
      <c r="H4035" s="1191"/>
      <c r="I4035" s="706" t="s">
        <v>5318</v>
      </c>
    </row>
    <row r="4036" spans="1:9">
      <c r="A4036" s="706">
        <v>133659</v>
      </c>
      <c r="B4036" s="706" t="s">
        <v>778</v>
      </c>
      <c r="D4036" s="706" t="s">
        <v>2814</v>
      </c>
      <c r="H4036" s="1191"/>
      <c r="I4036" s="706" t="s">
        <v>5318</v>
      </c>
    </row>
    <row r="4037" spans="1:9">
      <c r="A4037" s="706">
        <v>133660</v>
      </c>
      <c r="B4037" s="706" t="s">
        <v>5745</v>
      </c>
      <c r="D4037" s="706" t="s">
        <v>2814</v>
      </c>
      <c r="H4037" s="1191"/>
      <c r="I4037" s="706" t="s">
        <v>5318</v>
      </c>
    </row>
    <row r="4038" spans="1:9">
      <c r="A4038" s="706">
        <v>133661</v>
      </c>
      <c r="B4038" s="706" t="s">
        <v>5746</v>
      </c>
      <c r="D4038" s="706" t="s">
        <v>2814</v>
      </c>
      <c r="H4038" s="1191"/>
      <c r="I4038" s="706" t="s">
        <v>5318</v>
      </c>
    </row>
    <row r="4039" spans="1:9">
      <c r="A4039" s="706">
        <v>133662</v>
      </c>
      <c r="B4039" s="706" t="s">
        <v>5747</v>
      </c>
      <c r="D4039" s="706" t="s">
        <v>2814</v>
      </c>
      <c r="H4039" s="1191"/>
      <c r="I4039" s="706" t="s">
        <v>5318</v>
      </c>
    </row>
    <row r="4040" spans="1:9">
      <c r="A4040" s="706">
        <v>133663</v>
      </c>
      <c r="B4040" s="706" t="s">
        <v>5748</v>
      </c>
      <c r="D4040" s="706" t="s">
        <v>2814</v>
      </c>
      <c r="H4040" s="1191"/>
      <c r="I4040" s="706" t="s">
        <v>5318</v>
      </c>
    </row>
    <row r="4041" spans="1:9">
      <c r="A4041" s="706">
        <v>133664</v>
      </c>
      <c r="B4041" s="706" t="s">
        <v>5749</v>
      </c>
      <c r="D4041" s="706" t="s">
        <v>2814</v>
      </c>
      <c r="H4041" s="1191"/>
      <c r="I4041" s="706" t="s">
        <v>5318</v>
      </c>
    </row>
    <row r="4042" spans="1:9">
      <c r="A4042" s="706">
        <v>133665</v>
      </c>
      <c r="B4042" s="706" t="s">
        <v>5750</v>
      </c>
      <c r="D4042" s="706" t="s">
        <v>2814</v>
      </c>
      <c r="H4042" s="1191"/>
      <c r="I4042" s="706" t="s">
        <v>5318</v>
      </c>
    </row>
    <row r="4043" spans="1:9">
      <c r="A4043" s="706">
        <v>133666</v>
      </c>
      <c r="B4043" s="706" t="s">
        <v>5751</v>
      </c>
      <c r="D4043" s="706" t="s">
        <v>2814</v>
      </c>
      <c r="H4043" s="1191"/>
      <c r="I4043" s="706" t="s">
        <v>5318</v>
      </c>
    </row>
    <row r="4044" spans="1:9">
      <c r="A4044" s="706">
        <v>133667</v>
      </c>
      <c r="B4044" s="706" t="s">
        <v>5752</v>
      </c>
      <c r="D4044" s="706" t="s">
        <v>2814</v>
      </c>
      <c r="H4044" s="1191"/>
      <c r="I4044" s="706" t="s">
        <v>5318</v>
      </c>
    </row>
    <row r="4045" spans="1:9">
      <c r="A4045" s="706">
        <v>133668</v>
      </c>
      <c r="B4045" s="706" t="s">
        <v>5753</v>
      </c>
      <c r="D4045" s="706" t="s">
        <v>2814</v>
      </c>
      <c r="H4045" s="1191"/>
      <c r="I4045" s="706" t="s">
        <v>5318</v>
      </c>
    </row>
    <row r="4046" spans="1:9">
      <c r="A4046" s="706">
        <v>133669</v>
      </c>
      <c r="B4046" s="706" t="s">
        <v>5754</v>
      </c>
      <c r="D4046" s="706" t="s">
        <v>2814</v>
      </c>
      <c r="H4046" s="1191"/>
      <c r="I4046" s="706" t="s">
        <v>5318</v>
      </c>
    </row>
    <row r="4047" spans="1:9">
      <c r="A4047" s="706">
        <v>133670</v>
      </c>
      <c r="B4047" s="706" t="s">
        <v>5755</v>
      </c>
      <c r="D4047" s="706" t="s">
        <v>2814</v>
      </c>
      <c r="H4047" s="1191"/>
      <c r="I4047" s="706" t="s">
        <v>5318</v>
      </c>
    </row>
    <row r="4048" spans="1:9">
      <c r="A4048" s="706">
        <v>133671</v>
      </c>
      <c r="B4048" s="706" t="s">
        <v>5756</v>
      </c>
      <c r="D4048" s="706" t="s">
        <v>2814</v>
      </c>
      <c r="H4048" s="1191"/>
      <c r="I4048" s="706" t="s">
        <v>5318</v>
      </c>
    </row>
    <row r="4049" spans="1:9">
      <c r="A4049" s="706">
        <v>133672</v>
      </c>
      <c r="B4049" s="706" t="s">
        <v>5757</v>
      </c>
      <c r="D4049" s="706" t="s">
        <v>2814</v>
      </c>
      <c r="H4049" s="1191"/>
      <c r="I4049" s="706" t="s">
        <v>5318</v>
      </c>
    </row>
    <row r="4050" spans="1:9">
      <c r="A4050" s="706">
        <v>133673</v>
      </c>
      <c r="B4050" s="706" t="s">
        <v>5758</v>
      </c>
      <c r="D4050" s="706" t="s">
        <v>2814</v>
      </c>
      <c r="H4050" s="1191"/>
      <c r="I4050" s="706" t="s">
        <v>5318</v>
      </c>
    </row>
    <row r="4051" spans="1:9">
      <c r="A4051" s="706">
        <v>133674</v>
      </c>
      <c r="B4051" s="706" t="s">
        <v>5759</v>
      </c>
      <c r="D4051" s="706" t="s">
        <v>2814</v>
      </c>
      <c r="H4051" s="1191"/>
      <c r="I4051" s="706" t="s">
        <v>5318</v>
      </c>
    </row>
    <row r="4052" spans="1:9">
      <c r="A4052" s="706">
        <v>133675</v>
      </c>
      <c r="B4052" s="706" t="s">
        <v>5760</v>
      </c>
      <c r="D4052" s="706" t="s">
        <v>2814</v>
      </c>
      <c r="H4052" s="1191"/>
      <c r="I4052" s="706" t="s">
        <v>5318</v>
      </c>
    </row>
    <row r="4053" spans="1:9">
      <c r="A4053" s="706">
        <v>133676</v>
      </c>
      <c r="B4053" s="706" t="s">
        <v>5761</v>
      </c>
      <c r="D4053" s="706" t="s">
        <v>2814</v>
      </c>
      <c r="H4053" s="1191"/>
      <c r="I4053" s="706" t="s">
        <v>5318</v>
      </c>
    </row>
    <row r="4054" spans="1:9">
      <c r="A4054" s="706">
        <v>133677</v>
      </c>
      <c r="B4054" s="706" t="s">
        <v>5762</v>
      </c>
      <c r="C4054" s="706" t="s">
        <v>8202</v>
      </c>
      <c r="D4054" s="706" t="s">
        <v>2814</v>
      </c>
      <c r="E4054" s="706">
        <v>0.73</v>
      </c>
      <c r="F4054" s="706" t="s">
        <v>28</v>
      </c>
      <c r="G4054" s="706">
        <v>403219</v>
      </c>
      <c r="H4054" s="1191">
        <v>44351</v>
      </c>
      <c r="I4054" s="706" t="s">
        <v>5318</v>
      </c>
    </row>
    <row r="4055" spans="1:9">
      <c r="A4055" s="706">
        <v>133678</v>
      </c>
      <c r="B4055" s="706" t="s">
        <v>5763</v>
      </c>
      <c r="C4055" s="706" t="s">
        <v>8202</v>
      </c>
      <c r="D4055" s="706" t="s">
        <v>2814</v>
      </c>
      <c r="E4055" s="706">
        <v>0.67</v>
      </c>
      <c r="F4055" s="706" t="s">
        <v>28</v>
      </c>
      <c r="G4055" s="706">
        <v>403948</v>
      </c>
      <c r="H4055" s="1191">
        <v>44483</v>
      </c>
      <c r="I4055" s="706" t="s">
        <v>5318</v>
      </c>
    </row>
    <row r="4056" spans="1:9">
      <c r="A4056" s="706">
        <v>133679</v>
      </c>
      <c r="B4056" s="706" t="s">
        <v>5764</v>
      </c>
      <c r="D4056" s="706" t="s">
        <v>2814</v>
      </c>
      <c r="H4056" s="1191"/>
      <c r="I4056" s="706" t="s">
        <v>5318</v>
      </c>
    </row>
    <row r="4057" spans="1:9">
      <c r="A4057" s="706">
        <v>133680</v>
      </c>
      <c r="B4057" s="706" t="s">
        <v>5765</v>
      </c>
      <c r="C4057" s="706" t="s">
        <v>8202</v>
      </c>
      <c r="D4057" s="706" t="s">
        <v>2814</v>
      </c>
      <c r="E4057" s="706">
        <v>0.55549999999999999</v>
      </c>
      <c r="F4057" s="706" t="s">
        <v>28</v>
      </c>
      <c r="G4057" s="706">
        <v>404973</v>
      </c>
      <c r="H4057" s="1191">
        <v>44690</v>
      </c>
      <c r="I4057" s="706" t="s">
        <v>5318</v>
      </c>
    </row>
    <row r="4058" spans="1:9">
      <c r="A4058" s="706">
        <v>133681</v>
      </c>
      <c r="B4058" s="706" t="s">
        <v>5766</v>
      </c>
      <c r="C4058" s="706" t="s">
        <v>8187</v>
      </c>
      <c r="D4058" s="706" t="s">
        <v>2814</v>
      </c>
      <c r="E4058" s="706">
        <v>0.61519999999999997</v>
      </c>
      <c r="F4058" s="706" t="s">
        <v>28</v>
      </c>
      <c r="G4058" s="706">
        <v>404306</v>
      </c>
      <c r="H4058" s="1191">
        <v>44567</v>
      </c>
      <c r="I4058" s="706" t="s">
        <v>5767</v>
      </c>
    </row>
    <row r="4059" spans="1:9">
      <c r="A4059" s="706">
        <v>133682</v>
      </c>
      <c r="B4059" s="706" t="s">
        <v>5768</v>
      </c>
      <c r="C4059" s="706" t="s">
        <v>8187</v>
      </c>
      <c r="D4059" s="706" t="s">
        <v>2814</v>
      </c>
      <c r="E4059" s="706">
        <v>0.40720000000000001</v>
      </c>
      <c r="F4059" s="706" t="s">
        <v>28</v>
      </c>
      <c r="G4059" s="706">
        <v>404436</v>
      </c>
      <c r="H4059" s="1191">
        <v>44588</v>
      </c>
      <c r="I4059" s="706" t="s">
        <v>5769</v>
      </c>
    </row>
    <row r="4060" spans="1:9">
      <c r="A4060" s="706">
        <v>133683</v>
      </c>
      <c r="B4060" s="706" t="s">
        <v>5770</v>
      </c>
      <c r="C4060" s="706" t="s">
        <v>8187</v>
      </c>
      <c r="D4060" s="706" t="s">
        <v>2814</v>
      </c>
      <c r="E4060" s="706">
        <v>8.2799999999999994</v>
      </c>
      <c r="F4060" s="706" t="s">
        <v>28</v>
      </c>
      <c r="G4060" s="706">
        <v>403770</v>
      </c>
      <c r="H4060" s="1191">
        <v>44446</v>
      </c>
      <c r="I4060" s="706" t="s">
        <v>5771</v>
      </c>
    </row>
    <row r="4061" spans="1:9">
      <c r="A4061" s="706">
        <v>133684</v>
      </c>
      <c r="B4061" s="706" t="s">
        <v>5772</v>
      </c>
      <c r="D4061" s="706" t="s">
        <v>2814</v>
      </c>
      <c r="H4061" s="1191"/>
      <c r="I4061" s="706" t="s">
        <v>5773</v>
      </c>
    </row>
    <row r="4062" spans="1:9">
      <c r="A4062" s="706">
        <v>133685</v>
      </c>
      <c r="B4062" s="706" t="s">
        <v>5774</v>
      </c>
      <c r="D4062" s="706" t="s">
        <v>2814</v>
      </c>
      <c r="H4062" s="1191"/>
      <c r="I4062" s="706" t="s">
        <v>5773</v>
      </c>
    </row>
    <row r="4063" spans="1:9">
      <c r="A4063" s="706">
        <v>133686</v>
      </c>
      <c r="B4063" s="706" t="s">
        <v>5775</v>
      </c>
      <c r="C4063" s="706" t="s">
        <v>8187</v>
      </c>
      <c r="D4063" s="706" t="s">
        <v>2814</v>
      </c>
      <c r="E4063" s="706">
        <v>7.4665999999999997</v>
      </c>
      <c r="F4063" s="706" t="s">
        <v>28</v>
      </c>
      <c r="G4063" s="706">
        <v>404153</v>
      </c>
      <c r="H4063" s="1191">
        <v>44522</v>
      </c>
      <c r="I4063" s="706" t="s">
        <v>5776</v>
      </c>
    </row>
    <row r="4064" spans="1:9">
      <c r="A4064" s="706">
        <v>133687</v>
      </c>
      <c r="B4064" s="706" t="s">
        <v>5777</v>
      </c>
      <c r="D4064" s="706" t="s">
        <v>2814</v>
      </c>
      <c r="H4064" s="1191"/>
      <c r="I4064" s="706" t="s">
        <v>5773</v>
      </c>
    </row>
    <row r="4065" spans="1:9">
      <c r="A4065" s="706">
        <v>133688</v>
      </c>
      <c r="B4065" s="706" t="s">
        <v>5778</v>
      </c>
      <c r="C4065" s="706" t="s">
        <v>8187</v>
      </c>
      <c r="D4065" s="706" t="s">
        <v>2814</v>
      </c>
      <c r="E4065" s="706">
        <v>0.23599999999999999</v>
      </c>
      <c r="F4065" s="706" t="s">
        <v>28</v>
      </c>
      <c r="G4065" s="706">
        <v>404263</v>
      </c>
      <c r="H4065" s="1191">
        <v>44552</v>
      </c>
      <c r="I4065" s="706" t="s">
        <v>5779</v>
      </c>
    </row>
    <row r="4066" spans="1:9">
      <c r="A4066" s="706">
        <v>133689</v>
      </c>
      <c r="B4066" s="706" t="s">
        <v>779</v>
      </c>
      <c r="C4066" s="706" t="s">
        <v>8202</v>
      </c>
      <c r="D4066" s="706" t="s">
        <v>2814</v>
      </c>
      <c r="E4066" s="706">
        <v>2.4500000000000002</v>
      </c>
      <c r="F4066" s="706" t="s">
        <v>28</v>
      </c>
      <c r="G4066" s="706">
        <v>410925</v>
      </c>
      <c r="H4066" s="1191">
        <v>45908</v>
      </c>
      <c r="I4066" s="706" t="s">
        <v>5780</v>
      </c>
    </row>
    <row r="4067" spans="1:9">
      <c r="A4067" s="706">
        <v>133690</v>
      </c>
      <c r="B4067" s="706" t="s">
        <v>5781</v>
      </c>
      <c r="D4067" s="706" t="s">
        <v>2814</v>
      </c>
      <c r="H4067" s="1191"/>
      <c r="I4067" s="706" t="s">
        <v>5782</v>
      </c>
    </row>
    <row r="4068" spans="1:9">
      <c r="A4068" s="706">
        <v>133691</v>
      </c>
      <c r="B4068" s="706" t="s">
        <v>780</v>
      </c>
      <c r="C4068" s="706" t="s">
        <v>8187</v>
      </c>
      <c r="D4068" s="706" t="s">
        <v>2814</v>
      </c>
      <c r="E4068" s="706">
        <v>10.16</v>
      </c>
      <c r="F4068" s="706" t="s">
        <v>28</v>
      </c>
      <c r="G4068" s="706">
        <v>407967</v>
      </c>
      <c r="H4068" s="1191">
        <v>45331</v>
      </c>
      <c r="I4068" s="706" t="s">
        <v>5771</v>
      </c>
    </row>
    <row r="4069" spans="1:9">
      <c r="A4069" s="706">
        <v>133692</v>
      </c>
      <c r="B4069" s="706" t="s">
        <v>5783</v>
      </c>
      <c r="C4069" s="706" t="s">
        <v>8203</v>
      </c>
      <c r="D4069" s="706" t="s">
        <v>2814</v>
      </c>
      <c r="E4069" s="706">
        <v>1.65</v>
      </c>
      <c r="F4069" s="706" t="s">
        <v>28</v>
      </c>
      <c r="G4069" s="706">
        <v>403385</v>
      </c>
      <c r="H4069" s="1191">
        <v>44371</v>
      </c>
      <c r="I4069" s="706" t="s">
        <v>5784</v>
      </c>
    </row>
    <row r="4070" spans="1:9">
      <c r="A4070" s="706">
        <v>133693</v>
      </c>
      <c r="B4070" s="706" t="s">
        <v>5785</v>
      </c>
      <c r="C4070" s="706" t="s">
        <v>8187</v>
      </c>
      <c r="D4070" s="706" t="s">
        <v>2814</v>
      </c>
      <c r="E4070" s="706">
        <v>0.1187</v>
      </c>
      <c r="F4070" s="706" t="s">
        <v>28</v>
      </c>
      <c r="G4070" s="706">
        <v>403480</v>
      </c>
      <c r="H4070" s="1191">
        <v>44390</v>
      </c>
      <c r="I4070" s="706" t="s">
        <v>5786</v>
      </c>
    </row>
    <row r="4071" spans="1:9">
      <c r="A4071" s="706">
        <v>134600</v>
      </c>
      <c r="B4071" s="706" t="s">
        <v>5787</v>
      </c>
      <c r="C4071" s="706" t="s">
        <v>5350</v>
      </c>
      <c r="D4071" s="706" t="s">
        <v>2814</v>
      </c>
      <c r="E4071" s="706">
        <v>68.528000000000006</v>
      </c>
      <c r="F4071" s="706" t="s">
        <v>28</v>
      </c>
      <c r="G4071" s="706">
        <v>407628</v>
      </c>
      <c r="H4071" s="1191">
        <v>45271</v>
      </c>
      <c r="I4071" s="706" t="s">
        <v>5788</v>
      </c>
    </row>
    <row r="4072" spans="1:9">
      <c r="A4072" s="706">
        <v>134786</v>
      </c>
      <c r="B4072" s="706" t="s">
        <v>5789</v>
      </c>
      <c r="D4072" s="706" t="s">
        <v>2814</v>
      </c>
      <c r="H4072" s="1191"/>
      <c r="I4072" s="706" t="s">
        <v>5788</v>
      </c>
    </row>
    <row r="4073" spans="1:9">
      <c r="A4073" s="706">
        <v>134787</v>
      </c>
      <c r="B4073" s="706" t="s">
        <v>5790</v>
      </c>
      <c r="C4073" s="706" t="s">
        <v>8187</v>
      </c>
      <c r="D4073" s="706" t="s">
        <v>2814</v>
      </c>
      <c r="E4073" s="706">
        <v>289.22000000000003</v>
      </c>
      <c r="F4073" s="706" t="s">
        <v>28</v>
      </c>
      <c r="G4073" s="706">
        <v>407722</v>
      </c>
      <c r="H4073" s="1191">
        <v>45294</v>
      </c>
      <c r="I4073" s="706" t="s">
        <v>5788</v>
      </c>
    </row>
    <row r="4074" spans="1:9">
      <c r="A4074" s="706">
        <v>134788</v>
      </c>
      <c r="B4074" s="706" t="s">
        <v>5791</v>
      </c>
      <c r="C4074" s="706" t="s">
        <v>8187</v>
      </c>
      <c r="D4074" s="706" t="s">
        <v>2814</v>
      </c>
      <c r="E4074" s="706">
        <v>198.98</v>
      </c>
      <c r="F4074" s="706" t="s">
        <v>28</v>
      </c>
      <c r="G4074" s="706">
        <v>406700</v>
      </c>
      <c r="H4074" s="1191">
        <v>45078</v>
      </c>
      <c r="I4074" s="706" t="s">
        <v>5788</v>
      </c>
    </row>
    <row r="4075" spans="1:9">
      <c r="A4075" s="706">
        <v>134789</v>
      </c>
      <c r="B4075" s="706" t="s">
        <v>5792</v>
      </c>
      <c r="C4075" s="706" t="s">
        <v>8187</v>
      </c>
      <c r="D4075" s="706" t="s">
        <v>2814</v>
      </c>
      <c r="E4075" s="706">
        <v>125.88</v>
      </c>
      <c r="F4075" s="706" t="s">
        <v>28</v>
      </c>
      <c r="G4075" s="706">
        <v>407849</v>
      </c>
      <c r="H4075" s="1191">
        <v>45315</v>
      </c>
      <c r="I4075" s="706" t="s">
        <v>5788</v>
      </c>
    </row>
    <row r="4076" spans="1:9">
      <c r="A4076" s="706">
        <v>134790</v>
      </c>
      <c r="B4076" s="706" t="s">
        <v>5793</v>
      </c>
      <c r="D4076" s="706" t="s">
        <v>2814</v>
      </c>
      <c r="H4076" s="1191"/>
      <c r="I4076" s="706" t="s">
        <v>5788</v>
      </c>
    </row>
    <row r="4077" spans="1:9">
      <c r="A4077" s="706">
        <v>134791</v>
      </c>
      <c r="B4077" s="706" t="s">
        <v>5794</v>
      </c>
      <c r="C4077" s="706" t="s">
        <v>8187</v>
      </c>
      <c r="D4077" s="706" t="s">
        <v>2814</v>
      </c>
      <c r="E4077" s="706">
        <v>68.510000000000005</v>
      </c>
      <c r="F4077" s="706" t="s">
        <v>28</v>
      </c>
      <c r="G4077" s="706">
        <v>411718</v>
      </c>
      <c r="H4077" s="1191">
        <v>46065</v>
      </c>
      <c r="I4077" s="706" t="s">
        <v>5788</v>
      </c>
    </row>
    <row r="4078" spans="1:9">
      <c r="A4078" s="706">
        <v>134792</v>
      </c>
      <c r="B4078" s="706" t="s">
        <v>5795</v>
      </c>
      <c r="D4078" s="706" t="s">
        <v>2814</v>
      </c>
      <c r="H4078" s="1191"/>
      <c r="I4078" s="706" t="s">
        <v>5788</v>
      </c>
    </row>
    <row r="4079" spans="1:9">
      <c r="A4079" s="706">
        <v>134793</v>
      </c>
      <c r="B4079" s="706" t="s">
        <v>5796</v>
      </c>
      <c r="C4079" s="706" t="s">
        <v>8187</v>
      </c>
      <c r="D4079" s="706" t="s">
        <v>2814</v>
      </c>
      <c r="E4079" s="706">
        <v>65.2</v>
      </c>
      <c r="F4079" s="706" t="s">
        <v>28</v>
      </c>
      <c r="G4079" s="706">
        <v>407791</v>
      </c>
      <c r="H4079" s="1191">
        <v>45307</v>
      </c>
      <c r="I4079" s="706" t="s">
        <v>5788</v>
      </c>
    </row>
    <row r="4080" spans="1:9">
      <c r="A4080" s="706">
        <v>134794</v>
      </c>
      <c r="B4080" s="706" t="s">
        <v>5797</v>
      </c>
      <c r="D4080" s="706" t="s">
        <v>2814</v>
      </c>
      <c r="H4080" s="1191"/>
      <c r="I4080" s="706" t="s">
        <v>5788</v>
      </c>
    </row>
    <row r="4081" spans="1:9">
      <c r="A4081" s="706">
        <v>134795</v>
      </c>
      <c r="B4081" s="706" t="s">
        <v>5798</v>
      </c>
      <c r="D4081" s="706" t="s">
        <v>2814</v>
      </c>
      <c r="H4081" s="1191"/>
      <c r="I4081" s="706" t="s">
        <v>5788</v>
      </c>
    </row>
    <row r="4082" spans="1:9">
      <c r="A4082" s="706">
        <v>134796</v>
      </c>
      <c r="B4082" s="706" t="s">
        <v>5799</v>
      </c>
      <c r="C4082" s="706" t="s">
        <v>8187</v>
      </c>
      <c r="D4082" s="706" t="s">
        <v>2814</v>
      </c>
      <c r="E4082" s="706">
        <v>28</v>
      </c>
      <c r="F4082" s="706" t="s">
        <v>28</v>
      </c>
      <c r="G4082" s="706">
        <v>408539</v>
      </c>
      <c r="H4082" s="1191">
        <v>45428</v>
      </c>
      <c r="I4082" s="706" t="s">
        <v>5788</v>
      </c>
    </row>
    <row r="4083" spans="1:9">
      <c r="A4083" s="706">
        <v>134797</v>
      </c>
      <c r="B4083" s="706" t="s">
        <v>5800</v>
      </c>
      <c r="D4083" s="706" t="s">
        <v>2814</v>
      </c>
      <c r="H4083" s="1191"/>
      <c r="I4083" s="706" t="s">
        <v>5788</v>
      </c>
    </row>
    <row r="4084" spans="1:9">
      <c r="A4084" s="706">
        <v>134798</v>
      </c>
      <c r="B4084" s="706" t="s">
        <v>5801</v>
      </c>
      <c r="D4084" s="706" t="s">
        <v>2814</v>
      </c>
      <c r="H4084" s="1191"/>
      <c r="I4084" s="706" t="s">
        <v>5788</v>
      </c>
    </row>
    <row r="4085" spans="1:9">
      <c r="A4085" s="706">
        <v>134799</v>
      </c>
      <c r="B4085" s="706" t="s">
        <v>5802</v>
      </c>
      <c r="C4085" s="706" t="s">
        <v>8187</v>
      </c>
      <c r="D4085" s="706" t="s">
        <v>2814</v>
      </c>
      <c r="E4085" s="706">
        <v>9.1999999999999993</v>
      </c>
      <c r="F4085" s="706" t="s">
        <v>28</v>
      </c>
      <c r="G4085" s="706">
        <v>411027</v>
      </c>
      <c r="H4085" s="1191">
        <v>45930</v>
      </c>
      <c r="I4085" s="706" t="s">
        <v>5788</v>
      </c>
    </row>
    <row r="4086" spans="1:9">
      <c r="A4086" s="706">
        <v>134800</v>
      </c>
      <c r="B4086" s="706" t="s">
        <v>5803</v>
      </c>
      <c r="C4086" s="706" t="s">
        <v>8187</v>
      </c>
      <c r="D4086" s="706" t="s">
        <v>2814</v>
      </c>
      <c r="E4086" s="706">
        <v>9.69</v>
      </c>
      <c r="F4086" s="706" t="s">
        <v>28</v>
      </c>
      <c r="G4086" s="706">
        <v>402299</v>
      </c>
      <c r="H4086" s="1191">
        <v>44208</v>
      </c>
      <c r="I4086" s="706" t="s">
        <v>5788</v>
      </c>
    </row>
    <row r="4087" spans="1:9">
      <c r="A4087" s="706">
        <v>134801</v>
      </c>
      <c r="B4087" s="706" t="s">
        <v>5804</v>
      </c>
      <c r="C4087" s="706" t="s">
        <v>8187</v>
      </c>
      <c r="D4087" s="706" t="s">
        <v>2814</v>
      </c>
      <c r="E4087" s="706">
        <v>12.970800000000001</v>
      </c>
      <c r="F4087" s="706" t="s">
        <v>30</v>
      </c>
      <c r="G4087" s="706">
        <v>407032</v>
      </c>
      <c r="H4087" s="1191">
        <v>45159</v>
      </c>
      <c r="I4087" s="706" t="s">
        <v>5788</v>
      </c>
    </row>
    <row r="4088" spans="1:9">
      <c r="A4088" s="706">
        <v>135775</v>
      </c>
      <c r="B4088" s="706" t="s">
        <v>5805</v>
      </c>
      <c r="D4088" s="706" t="s">
        <v>2814</v>
      </c>
      <c r="H4088" s="1191"/>
      <c r="I4088" s="706" t="s">
        <v>5806</v>
      </c>
    </row>
    <row r="4089" spans="1:9">
      <c r="A4089" s="706">
        <v>135776</v>
      </c>
      <c r="B4089" s="706" t="s">
        <v>5807</v>
      </c>
      <c r="C4089" s="706" t="s">
        <v>8204</v>
      </c>
      <c r="D4089" s="706" t="s">
        <v>2814</v>
      </c>
      <c r="E4089" s="706">
        <v>0.72</v>
      </c>
      <c r="F4089" s="706" t="s">
        <v>28</v>
      </c>
      <c r="G4089" s="706">
        <v>411188</v>
      </c>
      <c r="H4089" s="1191">
        <v>45959</v>
      </c>
      <c r="I4089" s="706" t="s">
        <v>5806</v>
      </c>
    </row>
    <row r="4090" spans="1:9">
      <c r="A4090" s="706">
        <v>135777</v>
      </c>
      <c r="B4090" s="706" t="s">
        <v>5809</v>
      </c>
      <c r="D4090" s="706" t="s">
        <v>2814</v>
      </c>
      <c r="H4090" s="1191"/>
      <c r="I4090" s="706" t="s">
        <v>5806</v>
      </c>
    </row>
    <row r="4091" spans="1:9">
      <c r="A4091" s="706">
        <v>135778</v>
      </c>
      <c r="B4091" s="706" t="s">
        <v>5810</v>
      </c>
      <c r="D4091" s="706" t="s">
        <v>2814</v>
      </c>
      <c r="H4091" s="1191"/>
      <c r="I4091" s="706" t="s">
        <v>5806</v>
      </c>
    </row>
    <row r="4092" spans="1:9">
      <c r="A4092" s="706">
        <v>135779</v>
      </c>
      <c r="B4092" s="706" t="s">
        <v>5811</v>
      </c>
      <c r="D4092" s="706" t="s">
        <v>2814</v>
      </c>
      <c r="H4092" s="1191"/>
      <c r="I4092" s="706" t="s">
        <v>5806</v>
      </c>
    </row>
    <row r="4093" spans="1:9">
      <c r="A4093" s="706">
        <v>135780</v>
      </c>
      <c r="B4093" s="706" t="s">
        <v>5812</v>
      </c>
      <c r="D4093" s="706" t="s">
        <v>2814</v>
      </c>
      <c r="H4093" s="1191"/>
      <c r="I4093" s="706" t="s">
        <v>5806</v>
      </c>
    </row>
    <row r="4094" spans="1:9">
      <c r="A4094" s="706">
        <v>135781</v>
      </c>
      <c r="B4094" s="706" t="s">
        <v>5813</v>
      </c>
      <c r="D4094" s="706" t="s">
        <v>2814</v>
      </c>
      <c r="H4094" s="1191"/>
      <c r="I4094" s="706" t="s">
        <v>5806</v>
      </c>
    </row>
    <row r="4095" spans="1:9">
      <c r="A4095" s="706">
        <v>135782</v>
      </c>
      <c r="B4095" s="706" t="s">
        <v>5814</v>
      </c>
      <c r="D4095" s="706" t="s">
        <v>2814</v>
      </c>
      <c r="H4095" s="1191"/>
      <c r="I4095" s="706" t="s">
        <v>5806</v>
      </c>
    </row>
    <row r="4096" spans="1:9">
      <c r="A4096" s="706">
        <v>135783</v>
      </c>
      <c r="B4096" s="706" t="s">
        <v>5815</v>
      </c>
      <c r="D4096" s="706" t="s">
        <v>2814</v>
      </c>
      <c r="H4096" s="1191"/>
      <c r="I4096" s="706" t="s">
        <v>5806</v>
      </c>
    </row>
    <row r="4097" spans="1:9">
      <c r="A4097" s="706">
        <v>135784</v>
      </c>
      <c r="B4097" s="706" t="s">
        <v>5816</v>
      </c>
      <c r="D4097" s="706" t="s">
        <v>2814</v>
      </c>
      <c r="H4097" s="1191"/>
      <c r="I4097" s="706" t="s">
        <v>5806</v>
      </c>
    </row>
    <row r="4098" spans="1:9">
      <c r="A4098" s="706">
        <v>135785</v>
      </c>
      <c r="B4098" s="706" t="s">
        <v>5817</v>
      </c>
      <c r="D4098" s="706" t="s">
        <v>2814</v>
      </c>
      <c r="H4098" s="1191"/>
      <c r="I4098" s="706" t="s">
        <v>5806</v>
      </c>
    </row>
    <row r="4099" spans="1:9">
      <c r="A4099" s="706">
        <v>135786</v>
      </c>
      <c r="B4099" s="706" t="s">
        <v>5818</v>
      </c>
      <c r="D4099" s="706" t="s">
        <v>2814</v>
      </c>
      <c r="H4099" s="1191"/>
      <c r="I4099" s="706" t="s">
        <v>5806</v>
      </c>
    </row>
    <row r="4100" spans="1:9">
      <c r="A4100" s="706">
        <v>135787</v>
      </c>
      <c r="B4100" s="706" t="s">
        <v>5819</v>
      </c>
      <c r="D4100" s="706" t="s">
        <v>2814</v>
      </c>
      <c r="H4100" s="1191"/>
      <c r="I4100" s="706" t="s">
        <v>5806</v>
      </c>
    </row>
    <row r="4101" spans="1:9">
      <c r="A4101" s="706">
        <v>135788</v>
      </c>
      <c r="B4101" s="706" t="s">
        <v>5820</v>
      </c>
      <c r="C4101" s="706" t="s">
        <v>8204</v>
      </c>
      <c r="D4101" s="706" t="s">
        <v>2814</v>
      </c>
      <c r="E4101" s="706">
        <v>4.6500000000000004</v>
      </c>
      <c r="F4101" s="706" t="s">
        <v>28</v>
      </c>
      <c r="G4101" s="706">
        <v>409753</v>
      </c>
      <c r="H4101" s="1191">
        <v>45687</v>
      </c>
      <c r="I4101" s="706" t="s">
        <v>5806</v>
      </c>
    </row>
    <row r="4102" spans="1:9">
      <c r="A4102" s="706">
        <v>135789</v>
      </c>
      <c r="B4102" s="706" t="s">
        <v>5821</v>
      </c>
      <c r="D4102" s="706" t="s">
        <v>2814</v>
      </c>
      <c r="H4102" s="1191"/>
      <c r="I4102" s="706" t="s">
        <v>5806</v>
      </c>
    </row>
    <row r="4103" spans="1:9">
      <c r="A4103" s="706">
        <v>135790</v>
      </c>
      <c r="B4103" s="706" t="s">
        <v>5822</v>
      </c>
      <c r="D4103" s="706" t="s">
        <v>2814</v>
      </c>
      <c r="H4103" s="1191"/>
      <c r="I4103" s="706" t="s">
        <v>5806</v>
      </c>
    </row>
    <row r="4104" spans="1:9">
      <c r="A4104" s="706">
        <v>135791</v>
      </c>
      <c r="B4104" s="706" t="s">
        <v>5823</v>
      </c>
      <c r="D4104" s="706" t="s">
        <v>2814</v>
      </c>
      <c r="H4104" s="1191"/>
      <c r="I4104" s="706" t="s">
        <v>5806</v>
      </c>
    </row>
    <row r="4105" spans="1:9">
      <c r="A4105" s="706">
        <v>135792</v>
      </c>
      <c r="B4105" s="706" t="s">
        <v>5824</v>
      </c>
      <c r="C4105" s="706" t="s">
        <v>8204</v>
      </c>
      <c r="D4105" s="706" t="s">
        <v>2814</v>
      </c>
      <c r="E4105" s="706">
        <v>0.68</v>
      </c>
      <c r="F4105" s="706" t="s">
        <v>28</v>
      </c>
      <c r="G4105" s="706">
        <v>411072</v>
      </c>
      <c r="H4105" s="1191">
        <v>45932</v>
      </c>
      <c r="I4105" s="706" t="s">
        <v>5806</v>
      </c>
    </row>
    <row r="4106" spans="1:9">
      <c r="A4106" s="706">
        <v>135793</v>
      </c>
      <c r="B4106" s="706" t="s">
        <v>5825</v>
      </c>
      <c r="C4106" s="706" t="s">
        <v>8204</v>
      </c>
      <c r="D4106" s="706" t="s">
        <v>2814</v>
      </c>
      <c r="E4106" s="706">
        <v>1.73</v>
      </c>
      <c r="F4106" s="706" t="s">
        <v>28</v>
      </c>
      <c r="G4106" s="706">
        <v>405999</v>
      </c>
      <c r="H4106" s="1191">
        <v>44929</v>
      </c>
      <c r="I4106" s="706" t="s">
        <v>5806</v>
      </c>
    </row>
    <row r="4107" spans="1:9">
      <c r="A4107" s="706">
        <v>135794</v>
      </c>
      <c r="B4107" s="706" t="s">
        <v>5826</v>
      </c>
      <c r="D4107" s="706" t="s">
        <v>2814</v>
      </c>
      <c r="H4107" s="1191"/>
      <c r="I4107" s="706" t="s">
        <v>5806</v>
      </c>
    </row>
    <row r="4108" spans="1:9">
      <c r="A4108" s="706">
        <v>135795</v>
      </c>
      <c r="B4108" s="706" t="s">
        <v>5827</v>
      </c>
      <c r="D4108" s="706" t="s">
        <v>2814</v>
      </c>
      <c r="H4108" s="1191"/>
      <c r="I4108" s="706" t="s">
        <v>5806</v>
      </c>
    </row>
    <row r="4109" spans="1:9">
      <c r="A4109" s="706">
        <v>135796</v>
      </c>
      <c r="B4109" s="706" t="s">
        <v>5828</v>
      </c>
      <c r="D4109" s="706" t="s">
        <v>2814</v>
      </c>
      <c r="H4109" s="1191"/>
      <c r="I4109" s="706" t="s">
        <v>5806</v>
      </c>
    </row>
    <row r="4110" spans="1:9">
      <c r="A4110" s="706">
        <v>135797</v>
      </c>
      <c r="B4110" s="706" t="s">
        <v>5829</v>
      </c>
      <c r="C4110" s="706" t="s">
        <v>8204</v>
      </c>
      <c r="D4110" s="706" t="s">
        <v>2814</v>
      </c>
      <c r="E4110" s="706">
        <v>7.08</v>
      </c>
      <c r="F4110" s="706" t="s">
        <v>28</v>
      </c>
      <c r="G4110" s="706">
        <v>406022</v>
      </c>
      <c r="H4110" s="1191">
        <v>44932</v>
      </c>
      <c r="I4110" s="706" t="s">
        <v>5830</v>
      </c>
    </row>
    <row r="4111" spans="1:9">
      <c r="A4111" s="706">
        <v>135798</v>
      </c>
      <c r="B4111" s="706" t="s">
        <v>5831</v>
      </c>
      <c r="C4111" s="706" t="s">
        <v>8204</v>
      </c>
      <c r="D4111" s="706" t="s">
        <v>2814</v>
      </c>
      <c r="E4111" s="706">
        <v>5.93</v>
      </c>
      <c r="F4111" s="706" t="s">
        <v>28</v>
      </c>
      <c r="G4111" s="706">
        <v>411383</v>
      </c>
      <c r="H4111" s="1191">
        <v>46001</v>
      </c>
      <c r="I4111" s="706" t="s">
        <v>5832</v>
      </c>
    </row>
    <row r="4112" spans="1:9">
      <c r="A4112" s="706">
        <v>135799</v>
      </c>
      <c r="B4112" s="706" t="s">
        <v>781</v>
      </c>
      <c r="C4112" s="706" t="s">
        <v>8204</v>
      </c>
      <c r="D4112" s="706" t="s">
        <v>2814</v>
      </c>
      <c r="E4112" s="706">
        <v>0</v>
      </c>
      <c r="F4112" s="706" t="s">
        <v>28</v>
      </c>
      <c r="G4112" s="706">
        <v>406090</v>
      </c>
      <c r="H4112" s="1191">
        <v>44945</v>
      </c>
      <c r="I4112" s="706" t="s">
        <v>5833</v>
      </c>
    </row>
    <row r="4113" spans="1:9">
      <c r="A4113" s="706">
        <v>135800</v>
      </c>
      <c r="B4113" s="706" t="s">
        <v>5834</v>
      </c>
      <c r="D4113" s="706" t="s">
        <v>2814</v>
      </c>
      <c r="H4113" s="1191"/>
      <c r="I4113" s="706" t="s">
        <v>5806</v>
      </c>
    </row>
    <row r="4114" spans="1:9">
      <c r="A4114" s="706">
        <v>135801</v>
      </c>
      <c r="B4114" s="706" t="s">
        <v>5835</v>
      </c>
      <c r="D4114" s="706" t="s">
        <v>1841</v>
      </c>
      <c r="H4114" s="1191"/>
      <c r="I4114" s="706" t="s">
        <v>5836</v>
      </c>
    </row>
    <row r="4115" spans="1:9">
      <c r="A4115" s="706">
        <v>135802</v>
      </c>
      <c r="B4115" s="706" t="s">
        <v>5837</v>
      </c>
      <c r="C4115" s="706" t="s">
        <v>8187</v>
      </c>
      <c r="D4115" s="706" t="s">
        <v>2814</v>
      </c>
      <c r="E4115" s="706">
        <v>1.857</v>
      </c>
      <c r="F4115" s="706" t="s">
        <v>28</v>
      </c>
      <c r="G4115" s="706">
        <v>409667</v>
      </c>
      <c r="H4115" s="1191">
        <v>45672</v>
      </c>
      <c r="I4115" s="706" t="s">
        <v>5838</v>
      </c>
    </row>
    <row r="4116" spans="1:9">
      <c r="A4116" s="706">
        <v>135803</v>
      </c>
      <c r="B4116" s="706" t="s">
        <v>8205</v>
      </c>
      <c r="D4116" s="706" t="s">
        <v>2814</v>
      </c>
      <c r="H4116" s="1191"/>
      <c r="I4116" s="706" t="s">
        <v>2293</v>
      </c>
    </row>
    <row r="4117" spans="1:9">
      <c r="A4117" s="706">
        <v>143999</v>
      </c>
      <c r="B4117" s="706" t="s">
        <v>5839</v>
      </c>
      <c r="D4117" s="706" t="s">
        <v>1841</v>
      </c>
      <c r="H4117" s="1191"/>
      <c r="I4117" s="706" t="s">
        <v>5840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CD9D4-3EA4-4EE8-B9E8-C2F4748A3BED}">
  <sheetPr codeName="Sheet30">
    <tabColor theme="9" tint="0.39997558519241921"/>
  </sheetPr>
  <dimension ref="A1:H1242"/>
  <sheetViews>
    <sheetView topLeftCell="A913" workbookViewId="0">
      <selection activeCell="C942" sqref="C942"/>
    </sheetView>
  </sheetViews>
  <sheetFormatPr defaultRowHeight="12.75"/>
  <cols>
    <col min="1" max="1" width="16" bestFit="1" customWidth="1"/>
    <col min="2" max="2" width="81.140625" bestFit="1" customWidth="1"/>
    <col min="3" max="3" width="39.42578125" bestFit="1" customWidth="1"/>
    <col min="4" max="4" width="14.5703125" bestFit="1" customWidth="1"/>
    <col min="5" max="5" width="11.7109375" bestFit="1" customWidth="1"/>
    <col min="6" max="6" width="11.140625" bestFit="1" customWidth="1"/>
    <col min="7" max="7" width="14.42578125" bestFit="1" customWidth="1"/>
    <col min="8" max="8" width="81.140625" bestFit="1" customWidth="1"/>
    <col min="9" max="9" width="19.28515625" bestFit="1" customWidth="1"/>
    <col min="10" max="10" width="23.140625" bestFit="1" customWidth="1"/>
    <col min="11" max="11" width="81.140625" bestFit="1" customWidth="1"/>
  </cols>
  <sheetData>
    <row r="1" spans="1:8">
      <c r="A1" t="s">
        <v>5841</v>
      </c>
      <c r="B1" t="s">
        <v>5842</v>
      </c>
      <c r="C1" t="s">
        <v>1833</v>
      </c>
      <c r="D1" t="s">
        <v>1834</v>
      </c>
      <c r="E1" s="2" t="s">
        <v>5843</v>
      </c>
      <c r="F1" t="s">
        <v>5844</v>
      </c>
      <c r="G1" s="2" t="s">
        <v>5845</v>
      </c>
      <c r="H1" t="s">
        <v>5846</v>
      </c>
    </row>
    <row r="2" spans="1:8">
      <c r="A2">
        <v>500133</v>
      </c>
      <c r="B2" t="s">
        <v>5847</v>
      </c>
      <c r="C2" t="s">
        <v>5344</v>
      </c>
      <c r="D2" t="s">
        <v>2814</v>
      </c>
      <c r="E2">
        <v>27.74</v>
      </c>
      <c r="F2">
        <v>409814</v>
      </c>
      <c r="G2" s="660">
        <v>45699</v>
      </c>
      <c r="H2" t="s">
        <v>2293</v>
      </c>
    </row>
    <row r="3" spans="1:8">
      <c r="A3">
        <v>500134</v>
      </c>
      <c r="B3" t="s">
        <v>5848</v>
      </c>
      <c r="C3" t="s">
        <v>5412</v>
      </c>
      <c r="D3" t="s">
        <v>2814</v>
      </c>
      <c r="E3">
        <v>10.23</v>
      </c>
      <c r="F3">
        <v>408632</v>
      </c>
      <c r="G3" s="660">
        <v>45447</v>
      </c>
      <c r="H3" t="s">
        <v>2293</v>
      </c>
    </row>
    <row r="4" spans="1:8">
      <c r="A4">
        <v>500135</v>
      </c>
      <c r="B4" t="s">
        <v>5849</v>
      </c>
      <c r="C4" t="s">
        <v>5344</v>
      </c>
      <c r="D4" t="s">
        <v>2814</v>
      </c>
      <c r="E4">
        <v>25.8</v>
      </c>
      <c r="F4">
        <v>407105</v>
      </c>
      <c r="G4" s="660">
        <v>45174</v>
      </c>
      <c r="H4" t="s">
        <v>2293</v>
      </c>
    </row>
    <row r="5" spans="1:8">
      <c r="A5">
        <v>500136</v>
      </c>
      <c r="B5" t="s">
        <v>5850</v>
      </c>
      <c r="C5" t="s">
        <v>5344</v>
      </c>
      <c r="D5" t="s">
        <v>2814</v>
      </c>
      <c r="E5">
        <v>32.56</v>
      </c>
      <c r="F5">
        <v>408261</v>
      </c>
      <c r="G5" s="660">
        <v>45385</v>
      </c>
      <c r="H5" t="s">
        <v>5851</v>
      </c>
    </row>
    <row r="6" spans="1:8">
      <c r="A6">
        <v>500137</v>
      </c>
      <c r="B6" t="s">
        <v>5852</v>
      </c>
      <c r="C6" t="s">
        <v>5344</v>
      </c>
      <c r="D6" t="s">
        <v>2814</v>
      </c>
      <c r="E6">
        <v>55.26</v>
      </c>
      <c r="F6">
        <v>404473</v>
      </c>
      <c r="G6" s="660">
        <v>44595</v>
      </c>
      <c r="H6" t="s">
        <v>2293</v>
      </c>
    </row>
    <row r="7" spans="1:8">
      <c r="A7">
        <v>500138</v>
      </c>
      <c r="B7" t="s">
        <v>5853</v>
      </c>
      <c r="D7" t="s">
        <v>2814</v>
      </c>
      <c r="G7" s="660"/>
      <c r="H7" t="s">
        <v>2293</v>
      </c>
    </row>
    <row r="8" spans="1:8">
      <c r="A8">
        <v>500139</v>
      </c>
      <c r="B8" t="s">
        <v>5854</v>
      </c>
      <c r="D8" t="s">
        <v>2814</v>
      </c>
      <c r="G8" s="660"/>
      <c r="H8" t="s">
        <v>2293</v>
      </c>
    </row>
    <row r="9" spans="1:8">
      <c r="A9">
        <v>500140</v>
      </c>
      <c r="B9" t="s">
        <v>5855</v>
      </c>
      <c r="D9" t="s">
        <v>2814</v>
      </c>
      <c r="G9" s="660"/>
      <c r="H9" t="s">
        <v>2293</v>
      </c>
    </row>
    <row r="10" spans="1:8">
      <c r="A10">
        <v>500141</v>
      </c>
      <c r="B10" t="s">
        <v>5856</v>
      </c>
      <c r="C10" t="s">
        <v>5412</v>
      </c>
      <c r="D10" t="s">
        <v>2814</v>
      </c>
      <c r="E10">
        <v>11.97</v>
      </c>
      <c r="F10">
        <v>408687</v>
      </c>
      <c r="G10" s="660">
        <v>45455</v>
      </c>
      <c r="H10" t="s">
        <v>2293</v>
      </c>
    </row>
    <row r="11" spans="1:8">
      <c r="A11">
        <v>500142</v>
      </c>
      <c r="B11" t="s">
        <v>5857</v>
      </c>
      <c r="D11" t="s">
        <v>2814</v>
      </c>
      <c r="G11" s="660"/>
      <c r="H11" t="s">
        <v>2293</v>
      </c>
    </row>
    <row r="12" spans="1:8">
      <c r="A12">
        <v>501000</v>
      </c>
      <c r="B12" t="s">
        <v>5858</v>
      </c>
      <c r="C12" t="s">
        <v>2460</v>
      </c>
      <c r="D12" t="s">
        <v>5859</v>
      </c>
      <c r="E12">
        <v>6.8</v>
      </c>
      <c r="F12">
        <v>410217</v>
      </c>
      <c r="G12" s="660">
        <v>45769</v>
      </c>
      <c r="H12" t="s">
        <v>5860</v>
      </c>
    </row>
    <row r="13" spans="1:8">
      <c r="A13">
        <v>501005</v>
      </c>
      <c r="B13" t="s">
        <v>788</v>
      </c>
      <c r="C13" t="s">
        <v>5861</v>
      </c>
      <c r="D13" t="s">
        <v>5859</v>
      </c>
      <c r="E13">
        <v>30.007999999999999</v>
      </c>
      <c r="F13">
        <v>409010</v>
      </c>
      <c r="G13" s="660">
        <v>45525</v>
      </c>
      <c r="H13" t="s">
        <v>5862</v>
      </c>
    </row>
    <row r="14" spans="1:8">
      <c r="A14">
        <v>501008</v>
      </c>
      <c r="B14" t="s">
        <v>5863</v>
      </c>
      <c r="C14" t="s">
        <v>5864</v>
      </c>
      <c r="D14" t="s">
        <v>5859</v>
      </c>
      <c r="E14">
        <v>619.29999999999995</v>
      </c>
      <c r="F14">
        <v>408098</v>
      </c>
      <c r="G14" s="660">
        <v>45356</v>
      </c>
      <c r="H14" t="s">
        <v>5865</v>
      </c>
    </row>
    <row r="15" spans="1:8">
      <c r="A15">
        <v>501009</v>
      </c>
      <c r="B15" t="s">
        <v>5866</v>
      </c>
      <c r="C15" t="s">
        <v>5867</v>
      </c>
      <c r="D15" t="s">
        <v>5868</v>
      </c>
      <c r="E15">
        <v>21.76</v>
      </c>
      <c r="F15">
        <v>404927</v>
      </c>
      <c r="G15" s="660">
        <v>44677</v>
      </c>
      <c r="H15" t="s">
        <v>5869</v>
      </c>
    </row>
    <row r="16" spans="1:8">
      <c r="A16">
        <v>501011</v>
      </c>
      <c r="B16" t="s">
        <v>5870</v>
      </c>
      <c r="C16" t="s">
        <v>5442</v>
      </c>
      <c r="D16" t="s">
        <v>5868</v>
      </c>
      <c r="E16">
        <v>96.515000000000001</v>
      </c>
      <c r="F16">
        <v>405047</v>
      </c>
      <c r="G16" s="660">
        <v>44700</v>
      </c>
      <c r="H16" t="s">
        <v>5871</v>
      </c>
    </row>
    <row r="17" spans="1:8">
      <c r="A17">
        <v>501012</v>
      </c>
      <c r="B17" t="s">
        <v>5872</v>
      </c>
      <c r="C17" t="s">
        <v>1966</v>
      </c>
      <c r="D17" t="s">
        <v>5859</v>
      </c>
      <c r="E17">
        <v>412.71</v>
      </c>
      <c r="F17">
        <v>407925</v>
      </c>
      <c r="G17" s="660">
        <v>45324</v>
      </c>
      <c r="H17" t="s">
        <v>5873</v>
      </c>
    </row>
    <row r="18" spans="1:8">
      <c r="A18">
        <v>501013</v>
      </c>
      <c r="B18" t="s">
        <v>5874</v>
      </c>
      <c r="C18" t="s">
        <v>5875</v>
      </c>
      <c r="D18" t="s">
        <v>5859</v>
      </c>
      <c r="E18">
        <v>1054.03</v>
      </c>
      <c r="F18">
        <v>401518</v>
      </c>
      <c r="G18" s="660">
        <v>44083</v>
      </c>
      <c r="H18" t="s">
        <v>5876</v>
      </c>
    </row>
    <row r="19" spans="1:8">
      <c r="A19">
        <v>501014</v>
      </c>
      <c r="B19" t="s">
        <v>5877</v>
      </c>
      <c r="C19" t="s">
        <v>5875</v>
      </c>
      <c r="D19" t="s">
        <v>5859</v>
      </c>
      <c r="E19">
        <v>1393.58</v>
      </c>
      <c r="F19">
        <v>402025</v>
      </c>
      <c r="G19" s="660">
        <v>44153</v>
      </c>
      <c r="H19" t="s">
        <v>5878</v>
      </c>
    </row>
    <row r="20" spans="1:8">
      <c r="A20">
        <v>501015</v>
      </c>
      <c r="B20" t="s">
        <v>5879</v>
      </c>
      <c r="C20" t="s">
        <v>5880</v>
      </c>
      <c r="D20" t="s">
        <v>5859</v>
      </c>
      <c r="E20">
        <v>2.5</v>
      </c>
      <c r="F20">
        <v>410190</v>
      </c>
      <c r="G20" s="660">
        <v>45764</v>
      </c>
      <c r="H20" t="s">
        <v>5881</v>
      </c>
    </row>
    <row r="21" spans="1:8">
      <c r="A21">
        <v>501016</v>
      </c>
      <c r="B21" t="s">
        <v>5882</v>
      </c>
      <c r="C21" t="s">
        <v>5880</v>
      </c>
      <c r="D21" t="s">
        <v>5859</v>
      </c>
      <c r="E21">
        <v>19.98</v>
      </c>
      <c r="F21">
        <v>410190</v>
      </c>
      <c r="G21" s="660">
        <v>45764</v>
      </c>
      <c r="H21" t="s">
        <v>5883</v>
      </c>
    </row>
    <row r="22" spans="1:8">
      <c r="A22">
        <v>501017</v>
      </c>
      <c r="B22" t="s">
        <v>5884</v>
      </c>
      <c r="C22" t="s">
        <v>5880</v>
      </c>
      <c r="D22" t="s">
        <v>5859</v>
      </c>
      <c r="E22">
        <v>0.5</v>
      </c>
      <c r="F22">
        <v>410107</v>
      </c>
      <c r="G22" s="660">
        <v>45750</v>
      </c>
      <c r="H22" t="s">
        <v>5885</v>
      </c>
    </row>
    <row r="23" spans="1:8">
      <c r="A23">
        <v>501018</v>
      </c>
      <c r="B23" t="s">
        <v>5886</v>
      </c>
      <c r="C23" t="s">
        <v>5880</v>
      </c>
      <c r="D23" t="s">
        <v>5859</v>
      </c>
      <c r="E23">
        <v>1</v>
      </c>
      <c r="F23">
        <v>410190</v>
      </c>
      <c r="G23" s="660">
        <v>45764</v>
      </c>
      <c r="H23" t="s">
        <v>5887</v>
      </c>
    </row>
    <row r="24" spans="1:8">
      <c r="A24">
        <v>501019</v>
      </c>
      <c r="B24" t="s">
        <v>5888</v>
      </c>
      <c r="C24" t="s">
        <v>1966</v>
      </c>
      <c r="D24" t="s">
        <v>5859</v>
      </c>
      <c r="E24">
        <v>48.48</v>
      </c>
      <c r="F24">
        <v>409258</v>
      </c>
      <c r="G24" s="660">
        <v>45574</v>
      </c>
      <c r="H24" t="s">
        <v>5889</v>
      </c>
    </row>
    <row r="25" spans="1:8">
      <c r="A25">
        <v>501024</v>
      </c>
      <c r="B25" t="s">
        <v>5890</v>
      </c>
      <c r="C25" t="s">
        <v>5861</v>
      </c>
      <c r="D25" t="s">
        <v>5859</v>
      </c>
      <c r="E25">
        <v>51.05</v>
      </c>
      <c r="F25">
        <v>405890</v>
      </c>
      <c r="G25" s="660">
        <v>44896</v>
      </c>
      <c r="H25" t="s">
        <v>5891</v>
      </c>
    </row>
    <row r="26" spans="1:8">
      <c r="A26">
        <v>501025</v>
      </c>
      <c r="B26" t="s">
        <v>5892</v>
      </c>
      <c r="C26" t="s">
        <v>5893</v>
      </c>
      <c r="D26" t="s">
        <v>5859</v>
      </c>
      <c r="E26">
        <v>9990</v>
      </c>
      <c r="F26">
        <v>400457</v>
      </c>
      <c r="G26" s="660">
        <v>43963</v>
      </c>
      <c r="H26" t="s">
        <v>5894</v>
      </c>
    </row>
    <row r="27" spans="1:8">
      <c r="A27">
        <v>501027</v>
      </c>
      <c r="B27" t="s">
        <v>5895</v>
      </c>
      <c r="C27" t="s">
        <v>5085</v>
      </c>
      <c r="D27" t="s">
        <v>5868</v>
      </c>
      <c r="E27">
        <v>17.14</v>
      </c>
      <c r="F27">
        <v>410354</v>
      </c>
      <c r="G27" s="660">
        <v>45797</v>
      </c>
      <c r="H27" t="s">
        <v>5896</v>
      </c>
    </row>
    <row r="28" spans="1:8">
      <c r="A28">
        <v>501028</v>
      </c>
      <c r="B28" t="s">
        <v>5897</v>
      </c>
      <c r="C28" t="s">
        <v>5085</v>
      </c>
      <c r="D28" t="s">
        <v>5868</v>
      </c>
      <c r="E28">
        <v>140.06</v>
      </c>
      <c r="F28">
        <v>410355</v>
      </c>
      <c r="G28" s="660">
        <v>45797</v>
      </c>
      <c r="H28" t="s">
        <v>5898</v>
      </c>
    </row>
    <row r="29" spans="1:8">
      <c r="A29">
        <v>501029</v>
      </c>
      <c r="B29" t="s">
        <v>5899</v>
      </c>
      <c r="C29" t="s">
        <v>5900</v>
      </c>
      <c r="D29" t="s">
        <v>5901</v>
      </c>
      <c r="E29">
        <v>1513.43</v>
      </c>
      <c r="F29">
        <v>402227</v>
      </c>
      <c r="G29" s="660">
        <v>44201</v>
      </c>
      <c r="H29" t="s">
        <v>5902</v>
      </c>
    </row>
    <row r="30" spans="1:8">
      <c r="A30">
        <v>501030</v>
      </c>
      <c r="B30" t="s">
        <v>5903</v>
      </c>
      <c r="C30" t="s">
        <v>1966</v>
      </c>
      <c r="D30" t="s">
        <v>5859</v>
      </c>
      <c r="E30">
        <v>75.28</v>
      </c>
      <c r="F30">
        <v>410127</v>
      </c>
      <c r="G30" s="660">
        <v>45755</v>
      </c>
      <c r="H30" t="s">
        <v>5904</v>
      </c>
    </row>
    <row r="31" spans="1:8">
      <c r="A31">
        <v>501031</v>
      </c>
      <c r="B31" t="s">
        <v>5905</v>
      </c>
      <c r="C31" t="s">
        <v>1966</v>
      </c>
      <c r="D31" t="s">
        <v>5859</v>
      </c>
      <c r="E31">
        <v>98.33</v>
      </c>
      <c r="F31">
        <v>410127</v>
      </c>
      <c r="G31" s="660">
        <v>45755</v>
      </c>
      <c r="H31" t="s">
        <v>5906</v>
      </c>
    </row>
    <row r="32" spans="1:8">
      <c r="A32">
        <v>501048</v>
      </c>
      <c r="B32" t="s">
        <v>789</v>
      </c>
      <c r="C32" t="s">
        <v>1966</v>
      </c>
      <c r="D32" t="s">
        <v>5859</v>
      </c>
      <c r="E32">
        <v>26.56</v>
      </c>
      <c r="F32">
        <v>409621</v>
      </c>
      <c r="G32" s="660">
        <v>45663</v>
      </c>
      <c r="H32" t="s">
        <v>5907</v>
      </c>
    </row>
    <row r="33" spans="1:8">
      <c r="A33">
        <v>501049</v>
      </c>
      <c r="B33" t="s">
        <v>5908</v>
      </c>
      <c r="C33" t="s">
        <v>1665</v>
      </c>
      <c r="D33" t="s">
        <v>5859</v>
      </c>
      <c r="E33">
        <v>58.63</v>
      </c>
      <c r="F33">
        <v>410330</v>
      </c>
      <c r="G33" s="660">
        <v>45792</v>
      </c>
      <c r="H33" t="s">
        <v>5909</v>
      </c>
    </row>
    <row r="34" spans="1:8">
      <c r="A34">
        <v>501050</v>
      </c>
      <c r="B34" t="s">
        <v>5910</v>
      </c>
      <c r="C34" t="s">
        <v>1966</v>
      </c>
      <c r="D34" t="s">
        <v>5859</v>
      </c>
      <c r="E34">
        <v>9.0500000000000007</v>
      </c>
      <c r="F34">
        <v>409621</v>
      </c>
      <c r="G34" s="660">
        <v>45663</v>
      </c>
      <c r="H34" t="s">
        <v>5911</v>
      </c>
    </row>
    <row r="35" spans="1:8">
      <c r="A35">
        <v>501051</v>
      </c>
      <c r="B35" t="s">
        <v>5912</v>
      </c>
      <c r="C35" t="s">
        <v>1966</v>
      </c>
      <c r="D35" t="s">
        <v>5859</v>
      </c>
      <c r="E35">
        <v>4.68</v>
      </c>
      <c r="F35">
        <v>403938</v>
      </c>
      <c r="G35" s="660">
        <v>44503</v>
      </c>
      <c r="H35" t="s">
        <v>5913</v>
      </c>
    </row>
    <row r="36" spans="1:8">
      <c r="A36">
        <v>501052</v>
      </c>
      <c r="B36" t="s">
        <v>5914</v>
      </c>
      <c r="C36" t="s">
        <v>5915</v>
      </c>
      <c r="D36" t="s">
        <v>5859</v>
      </c>
      <c r="E36">
        <v>1.95</v>
      </c>
      <c r="F36">
        <v>408440</v>
      </c>
      <c r="G36" s="660">
        <v>45413</v>
      </c>
      <c r="H36" t="s">
        <v>5916</v>
      </c>
    </row>
    <row r="37" spans="1:8">
      <c r="A37">
        <v>501053</v>
      </c>
      <c r="B37" t="s">
        <v>5917</v>
      </c>
      <c r="C37" t="s">
        <v>1665</v>
      </c>
      <c r="D37" t="s">
        <v>5859</v>
      </c>
      <c r="E37">
        <v>0</v>
      </c>
      <c r="F37">
        <v>404846</v>
      </c>
      <c r="G37" s="660">
        <v>44658</v>
      </c>
      <c r="H37" t="s">
        <v>5918</v>
      </c>
    </row>
    <row r="38" spans="1:8">
      <c r="A38">
        <v>501054</v>
      </c>
      <c r="B38" t="s">
        <v>5919</v>
      </c>
      <c r="C38" t="s">
        <v>1966</v>
      </c>
      <c r="D38" t="s">
        <v>5859</v>
      </c>
      <c r="E38">
        <v>54.89</v>
      </c>
      <c r="F38">
        <v>410214</v>
      </c>
      <c r="G38" s="660">
        <v>45769</v>
      </c>
      <c r="H38" t="s">
        <v>5920</v>
      </c>
    </row>
    <row r="39" spans="1:8">
      <c r="A39">
        <v>501055</v>
      </c>
      <c r="B39" t="s">
        <v>5921</v>
      </c>
      <c r="C39" t="s">
        <v>1966</v>
      </c>
      <c r="D39" t="s">
        <v>5859</v>
      </c>
      <c r="E39">
        <v>4.55</v>
      </c>
      <c r="F39">
        <v>410325</v>
      </c>
      <c r="G39" s="660">
        <v>45791</v>
      </c>
      <c r="H39" t="s">
        <v>5922</v>
      </c>
    </row>
    <row r="40" spans="1:8">
      <c r="A40">
        <v>501056</v>
      </c>
      <c r="B40" t="s">
        <v>5923</v>
      </c>
      <c r="C40" t="s">
        <v>1966</v>
      </c>
      <c r="D40" t="s">
        <v>5859</v>
      </c>
      <c r="E40">
        <v>0.2147</v>
      </c>
      <c r="F40">
        <v>406068</v>
      </c>
      <c r="G40" s="660">
        <v>44942</v>
      </c>
      <c r="H40" t="s">
        <v>5924</v>
      </c>
    </row>
    <row r="41" spans="1:8">
      <c r="A41">
        <v>501057</v>
      </c>
      <c r="B41" t="s">
        <v>5925</v>
      </c>
      <c r="C41" t="s">
        <v>5875</v>
      </c>
      <c r="D41" t="s">
        <v>5859</v>
      </c>
      <c r="E41">
        <v>1476.15</v>
      </c>
      <c r="F41">
        <v>400429</v>
      </c>
      <c r="G41" s="660">
        <v>43959</v>
      </c>
      <c r="H41" t="s">
        <v>5926</v>
      </c>
    </row>
    <row r="42" spans="1:8">
      <c r="A42">
        <v>501058</v>
      </c>
      <c r="B42" t="s">
        <v>5927</v>
      </c>
      <c r="C42" t="s">
        <v>1966</v>
      </c>
      <c r="D42" t="s">
        <v>5859</v>
      </c>
      <c r="E42">
        <v>7.83</v>
      </c>
      <c r="F42">
        <v>410185</v>
      </c>
      <c r="G42" s="660">
        <v>45764</v>
      </c>
      <c r="H42" t="s">
        <v>5928</v>
      </c>
    </row>
    <row r="43" spans="1:8">
      <c r="A43">
        <v>501059</v>
      </c>
      <c r="B43" t="s">
        <v>5929</v>
      </c>
      <c r="C43" t="s">
        <v>1966</v>
      </c>
      <c r="D43" t="s">
        <v>5859</v>
      </c>
      <c r="E43">
        <v>13.51</v>
      </c>
      <c r="F43">
        <v>407358</v>
      </c>
      <c r="G43" s="660">
        <v>45217</v>
      </c>
      <c r="H43" t="s">
        <v>5930</v>
      </c>
    </row>
    <row r="44" spans="1:8">
      <c r="A44">
        <v>501060</v>
      </c>
      <c r="B44" t="s">
        <v>5931</v>
      </c>
      <c r="D44" t="s">
        <v>5859</v>
      </c>
      <c r="G44" s="660"/>
      <c r="H44" t="s">
        <v>5932</v>
      </c>
    </row>
    <row r="45" spans="1:8">
      <c r="A45">
        <v>501063</v>
      </c>
      <c r="B45" t="s">
        <v>5933</v>
      </c>
      <c r="C45" t="s">
        <v>5442</v>
      </c>
      <c r="D45" t="s">
        <v>5859</v>
      </c>
      <c r="E45">
        <v>1.2036</v>
      </c>
      <c r="F45">
        <v>410280</v>
      </c>
      <c r="G45" s="660">
        <v>45784</v>
      </c>
      <c r="H45" t="s">
        <v>5934</v>
      </c>
    </row>
    <row r="46" spans="1:8">
      <c r="A46">
        <v>501067</v>
      </c>
      <c r="B46" t="s">
        <v>5935</v>
      </c>
      <c r="C46" t="s">
        <v>1966</v>
      </c>
      <c r="D46" t="s">
        <v>5859</v>
      </c>
      <c r="E46">
        <v>14.24</v>
      </c>
      <c r="F46">
        <v>407599</v>
      </c>
      <c r="G46" s="660">
        <v>45266</v>
      </c>
      <c r="H46" t="s">
        <v>5936</v>
      </c>
    </row>
    <row r="47" spans="1:8">
      <c r="A47">
        <v>501069</v>
      </c>
      <c r="B47" t="s">
        <v>5937</v>
      </c>
      <c r="C47" t="s">
        <v>5867</v>
      </c>
      <c r="D47" t="s">
        <v>5868</v>
      </c>
      <c r="E47">
        <v>178.35</v>
      </c>
      <c r="F47">
        <v>405299</v>
      </c>
      <c r="G47" s="660">
        <v>44755</v>
      </c>
      <c r="H47" t="s">
        <v>5938</v>
      </c>
    </row>
    <row r="48" spans="1:8">
      <c r="A48">
        <v>501070</v>
      </c>
      <c r="B48" t="s">
        <v>790</v>
      </c>
      <c r="C48" t="s">
        <v>1966</v>
      </c>
      <c r="D48" t="s">
        <v>5859</v>
      </c>
      <c r="E48">
        <v>12.81</v>
      </c>
      <c r="F48">
        <v>410185</v>
      </c>
      <c r="G48" s="660">
        <v>45764</v>
      </c>
      <c r="H48" t="s">
        <v>5939</v>
      </c>
    </row>
    <row r="49" spans="1:8">
      <c r="A49">
        <v>501071</v>
      </c>
      <c r="B49" t="s">
        <v>5940</v>
      </c>
      <c r="C49" t="s">
        <v>5941</v>
      </c>
      <c r="D49" t="s">
        <v>5859</v>
      </c>
      <c r="E49">
        <v>3.47</v>
      </c>
      <c r="F49">
        <v>401055</v>
      </c>
      <c r="G49" s="660">
        <v>44032</v>
      </c>
      <c r="H49" t="s">
        <v>5942</v>
      </c>
    </row>
    <row r="50" spans="1:8">
      <c r="A50">
        <v>501077</v>
      </c>
      <c r="B50" t="s">
        <v>5943</v>
      </c>
      <c r="C50" t="s">
        <v>5944</v>
      </c>
      <c r="D50" t="s">
        <v>5859</v>
      </c>
      <c r="E50">
        <v>8</v>
      </c>
      <c r="F50">
        <v>409495</v>
      </c>
      <c r="G50" s="660">
        <v>45617</v>
      </c>
      <c r="H50" t="s">
        <v>5945</v>
      </c>
    </row>
    <row r="51" spans="1:8">
      <c r="A51">
        <v>501082</v>
      </c>
      <c r="B51" t="s">
        <v>5946</v>
      </c>
      <c r="D51" t="s">
        <v>5859</v>
      </c>
      <c r="G51" s="660"/>
      <c r="H51" t="s">
        <v>5947</v>
      </c>
    </row>
    <row r="52" spans="1:8">
      <c r="A52">
        <v>501083</v>
      </c>
      <c r="B52" t="s">
        <v>5948</v>
      </c>
      <c r="C52" t="s">
        <v>1665</v>
      </c>
      <c r="D52" t="s">
        <v>5859</v>
      </c>
      <c r="E52">
        <v>620.35</v>
      </c>
      <c r="F52">
        <v>407029</v>
      </c>
      <c r="G52" s="660">
        <v>45156</v>
      </c>
      <c r="H52" t="s">
        <v>5949</v>
      </c>
    </row>
    <row r="53" spans="1:8">
      <c r="A53">
        <v>501084</v>
      </c>
      <c r="B53" t="s">
        <v>5950</v>
      </c>
      <c r="C53" t="s">
        <v>5951</v>
      </c>
      <c r="D53" t="s">
        <v>5859</v>
      </c>
      <c r="E53">
        <v>757.79</v>
      </c>
      <c r="F53">
        <v>408526</v>
      </c>
      <c r="G53" s="660">
        <v>45427</v>
      </c>
      <c r="H53" t="s">
        <v>5952</v>
      </c>
    </row>
    <row r="54" spans="1:8">
      <c r="A54">
        <v>501085</v>
      </c>
      <c r="B54" t="s">
        <v>5953</v>
      </c>
      <c r="C54" t="s">
        <v>1665</v>
      </c>
      <c r="D54" t="s">
        <v>5859</v>
      </c>
      <c r="E54">
        <v>385.09</v>
      </c>
      <c r="F54">
        <v>406004</v>
      </c>
      <c r="G54" s="660">
        <v>44929</v>
      </c>
      <c r="H54" t="s">
        <v>5954</v>
      </c>
    </row>
    <row r="55" spans="1:8">
      <c r="A55">
        <v>501086</v>
      </c>
      <c r="B55" t="s">
        <v>5955</v>
      </c>
      <c r="C55" t="s">
        <v>1665</v>
      </c>
      <c r="D55" t="s">
        <v>5859</v>
      </c>
      <c r="E55">
        <v>608.19000000000005</v>
      </c>
      <c r="F55">
        <v>404220</v>
      </c>
      <c r="G55" s="660">
        <v>44539</v>
      </c>
      <c r="H55" t="s">
        <v>5956</v>
      </c>
    </row>
    <row r="56" spans="1:8">
      <c r="A56">
        <v>501087</v>
      </c>
      <c r="B56" t="s">
        <v>5957</v>
      </c>
      <c r="C56" t="s">
        <v>1665</v>
      </c>
      <c r="D56" t="s">
        <v>5859</v>
      </c>
      <c r="E56">
        <v>633.91999999999996</v>
      </c>
      <c r="F56">
        <v>403547</v>
      </c>
      <c r="G56" s="660">
        <v>44404</v>
      </c>
      <c r="H56" t="s">
        <v>5958</v>
      </c>
    </row>
    <row r="57" spans="1:8">
      <c r="A57">
        <v>501088</v>
      </c>
      <c r="B57" t="s">
        <v>5959</v>
      </c>
      <c r="C57" t="s">
        <v>1665</v>
      </c>
      <c r="D57" t="s">
        <v>5859</v>
      </c>
      <c r="E57">
        <v>847.91</v>
      </c>
      <c r="F57">
        <v>409907</v>
      </c>
      <c r="G57" s="660">
        <v>45715</v>
      </c>
      <c r="H57" t="s">
        <v>5960</v>
      </c>
    </row>
    <row r="58" spans="1:8">
      <c r="A58">
        <v>501089</v>
      </c>
      <c r="B58" t="s">
        <v>5961</v>
      </c>
      <c r="C58" t="s">
        <v>1665</v>
      </c>
      <c r="D58" t="s">
        <v>5859</v>
      </c>
      <c r="E58">
        <v>633.91999999999996</v>
      </c>
      <c r="F58">
        <v>403547</v>
      </c>
      <c r="G58" s="660">
        <v>44404</v>
      </c>
      <c r="H58" t="s">
        <v>5962</v>
      </c>
    </row>
    <row r="59" spans="1:8">
      <c r="A59">
        <v>501090</v>
      </c>
      <c r="B59" t="s">
        <v>5963</v>
      </c>
      <c r="D59" t="s">
        <v>5859</v>
      </c>
      <c r="G59" s="660"/>
      <c r="H59" t="s">
        <v>5964</v>
      </c>
    </row>
    <row r="60" spans="1:8">
      <c r="A60">
        <v>501095</v>
      </c>
      <c r="B60" t="s">
        <v>5965</v>
      </c>
      <c r="C60" t="s">
        <v>1930</v>
      </c>
      <c r="D60" t="s">
        <v>5859</v>
      </c>
      <c r="E60">
        <v>32.130000000000003</v>
      </c>
      <c r="F60">
        <v>400767</v>
      </c>
      <c r="G60" s="660">
        <v>44005</v>
      </c>
      <c r="H60" t="s">
        <v>5966</v>
      </c>
    </row>
    <row r="61" spans="1:8">
      <c r="A61">
        <v>501096</v>
      </c>
      <c r="B61" t="s">
        <v>5967</v>
      </c>
      <c r="C61" t="s">
        <v>1930</v>
      </c>
      <c r="D61" t="s">
        <v>5859</v>
      </c>
      <c r="E61">
        <v>222.3</v>
      </c>
      <c r="F61">
        <v>405829</v>
      </c>
      <c r="G61" s="660">
        <v>44874</v>
      </c>
      <c r="H61" t="s">
        <v>5968</v>
      </c>
    </row>
    <row r="62" spans="1:8">
      <c r="A62">
        <v>501097</v>
      </c>
      <c r="B62" t="s">
        <v>5969</v>
      </c>
      <c r="C62" t="s">
        <v>1930</v>
      </c>
      <c r="D62" t="s">
        <v>5859</v>
      </c>
      <c r="E62">
        <v>194.25</v>
      </c>
      <c r="F62">
        <v>400767</v>
      </c>
      <c r="G62" s="660">
        <v>44005</v>
      </c>
      <c r="H62" t="s">
        <v>5970</v>
      </c>
    </row>
    <row r="63" spans="1:8">
      <c r="A63">
        <v>501098</v>
      </c>
      <c r="B63" t="s">
        <v>5971</v>
      </c>
      <c r="C63" t="s">
        <v>5972</v>
      </c>
      <c r="D63" t="s">
        <v>5859</v>
      </c>
      <c r="E63">
        <v>27.1</v>
      </c>
      <c r="F63">
        <v>408556</v>
      </c>
      <c r="G63" s="660">
        <v>45433</v>
      </c>
      <c r="H63" t="s">
        <v>5973</v>
      </c>
    </row>
    <row r="64" spans="1:8">
      <c r="A64">
        <v>501099</v>
      </c>
      <c r="B64" t="s">
        <v>5974</v>
      </c>
      <c r="C64" t="s">
        <v>1966</v>
      </c>
      <c r="D64" t="s">
        <v>5859</v>
      </c>
      <c r="E64">
        <v>15.44</v>
      </c>
      <c r="F64">
        <v>403886</v>
      </c>
      <c r="G64" s="660">
        <v>44474</v>
      </c>
      <c r="H64" t="s">
        <v>5975</v>
      </c>
    </row>
    <row r="65" spans="1:8">
      <c r="A65">
        <v>501100</v>
      </c>
      <c r="B65" t="s">
        <v>791</v>
      </c>
      <c r="C65" t="s">
        <v>1966</v>
      </c>
      <c r="D65" t="s">
        <v>5859</v>
      </c>
      <c r="E65">
        <v>21.56</v>
      </c>
      <c r="F65">
        <v>409322</v>
      </c>
      <c r="G65" s="660">
        <v>45587</v>
      </c>
      <c r="H65" t="s">
        <v>5976</v>
      </c>
    </row>
    <row r="66" spans="1:8">
      <c r="A66">
        <v>501101</v>
      </c>
      <c r="B66" t="s">
        <v>5977</v>
      </c>
      <c r="C66" t="s">
        <v>5864</v>
      </c>
      <c r="D66" t="s">
        <v>5859</v>
      </c>
      <c r="E66">
        <v>891</v>
      </c>
      <c r="F66">
        <v>410228</v>
      </c>
      <c r="G66" s="660">
        <v>45771</v>
      </c>
      <c r="H66" t="s">
        <v>5978</v>
      </c>
    </row>
    <row r="67" spans="1:8">
      <c r="A67">
        <v>501102</v>
      </c>
      <c r="B67" t="s">
        <v>5979</v>
      </c>
      <c r="C67" t="s">
        <v>1665</v>
      </c>
      <c r="D67" t="s">
        <v>5859</v>
      </c>
      <c r="E67">
        <v>635.69000000000005</v>
      </c>
      <c r="F67">
        <v>410227</v>
      </c>
      <c r="G67" s="660">
        <v>45771</v>
      </c>
      <c r="H67" t="s">
        <v>5980</v>
      </c>
    </row>
    <row r="68" spans="1:8">
      <c r="A68">
        <v>501103</v>
      </c>
      <c r="B68" t="s">
        <v>5981</v>
      </c>
      <c r="C68" t="s">
        <v>1966</v>
      </c>
      <c r="D68" t="s">
        <v>5859</v>
      </c>
      <c r="E68">
        <v>58.25</v>
      </c>
      <c r="F68">
        <v>406443</v>
      </c>
      <c r="G68" s="660">
        <v>45026</v>
      </c>
      <c r="H68" t="s">
        <v>5982</v>
      </c>
    </row>
    <row r="69" spans="1:8">
      <c r="A69">
        <v>501104</v>
      </c>
      <c r="B69" t="s">
        <v>5983</v>
      </c>
      <c r="D69" t="s">
        <v>5859</v>
      </c>
      <c r="G69" s="660"/>
      <c r="H69" t="s">
        <v>5984</v>
      </c>
    </row>
    <row r="70" spans="1:8">
      <c r="A70">
        <v>501105</v>
      </c>
      <c r="B70" t="s">
        <v>5985</v>
      </c>
      <c r="D70" t="s">
        <v>5859</v>
      </c>
      <c r="G70" s="660"/>
      <c r="H70" t="s">
        <v>5986</v>
      </c>
    </row>
    <row r="71" spans="1:8">
      <c r="A71">
        <v>501106</v>
      </c>
      <c r="B71" t="s">
        <v>5987</v>
      </c>
      <c r="C71" t="s">
        <v>1966</v>
      </c>
      <c r="D71" t="s">
        <v>5859</v>
      </c>
      <c r="E71">
        <v>60.17</v>
      </c>
      <c r="F71">
        <v>409977</v>
      </c>
      <c r="G71" s="660">
        <v>45727</v>
      </c>
      <c r="H71" t="s">
        <v>5988</v>
      </c>
    </row>
    <row r="72" spans="1:8">
      <c r="A72">
        <v>501107</v>
      </c>
      <c r="B72" t="s">
        <v>5989</v>
      </c>
      <c r="C72" t="s">
        <v>1966</v>
      </c>
      <c r="D72" t="s">
        <v>5859</v>
      </c>
      <c r="E72">
        <v>29.62</v>
      </c>
      <c r="F72">
        <v>410347</v>
      </c>
      <c r="G72" s="660">
        <v>45793</v>
      </c>
      <c r="H72" t="s">
        <v>5990</v>
      </c>
    </row>
    <row r="73" spans="1:8">
      <c r="A73">
        <v>501108</v>
      </c>
      <c r="B73" t="s">
        <v>5991</v>
      </c>
      <c r="C73" t="s">
        <v>5992</v>
      </c>
      <c r="D73" t="s">
        <v>5859</v>
      </c>
      <c r="E73">
        <v>452.8</v>
      </c>
      <c r="F73">
        <v>410226</v>
      </c>
      <c r="G73" s="660">
        <v>45771</v>
      </c>
      <c r="H73" t="s">
        <v>1331</v>
      </c>
    </row>
    <row r="74" spans="1:8">
      <c r="A74">
        <v>501109</v>
      </c>
      <c r="B74" t="s">
        <v>5993</v>
      </c>
      <c r="C74" t="s">
        <v>5442</v>
      </c>
      <c r="D74" t="s">
        <v>5859</v>
      </c>
      <c r="E74">
        <v>1.76</v>
      </c>
      <c r="F74">
        <v>407799</v>
      </c>
      <c r="G74" s="660">
        <v>45308</v>
      </c>
      <c r="H74" t="s">
        <v>2293</v>
      </c>
    </row>
    <row r="75" spans="1:8">
      <c r="A75">
        <v>501110</v>
      </c>
      <c r="B75" t="s">
        <v>5994</v>
      </c>
      <c r="C75" t="s">
        <v>5995</v>
      </c>
      <c r="D75" t="s">
        <v>5868</v>
      </c>
      <c r="E75">
        <v>890</v>
      </c>
      <c r="F75">
        <v>410225</v>
      </c>
      <c r="G75" s="660">
        <v>45771</v>
      </c>
      <c r="H75" t="s">
        <v>5996</v>
      </c>
    </row>
    <row r="76" spans="1:8">
      <c r="A76">
        <v>501111</v>
      </c>
      <c r="B76" t="s">
        <v>5997</v>
      </c>
      <c r="C76" t="s">
        <v>1665</v>
      </c>
      <c r="D76" t="s">
        <v>5859</v>
      </c>
      <c r="E76">
        <v>273.97000000000003</v>
      </c>
      <c r="F76">
        <v>400830</v>
      </c>
      <c r="G76" s="660">
        <v>44010</v>
      </c>
      <c r="H76" t="s">
        <v>5998</v>
      </c>
    </row>
    <row r="77" spans="1:8">
      <c r="A77">
        <v>501112</v>
      </c>
      <c r="B77" t="s">
        <v>5999</v>
      </c>
      <c r="C77" t="s">
        <v>1665</v>
      </c>
      <c r="D77" t="s">
        <v>5859</v>
      </c>
      <c r="E77">
        <v>742.07</v>
      </c>
      <c r="F77">
        <v>400830</v>
      </c>
      <c r="G77" s="660">
        <v>44010</v>
      </c>
      <c r="H77" t="s">
        <v>6000</v>
      </c>
    </row>
    <row r="78" spans="1:8">
      <c r="A78">
        <v>501113</v>
      </c>
      <c r="B78" t="s">
        <v>6001</v>
      </c>
      <c r="C78" t="s">
        <v>1665</v>
      </c>
      <c r="D78" t="s">
        <v>5859</v>
      </c>
      <c r="E78">
        <v>278</v>
      </c>
      <c r="F78">
        <v>407703</v>
      </c>
      <c r="G78" s="660">
        <v>45289</v>
      </c>
      <c r="H78" t="s">
        <v>6002</v>
      </c>
    </row>
    <row r="79" spans="1:8">
      <c r="A79">
        <v>501114</v>
      </c>
      <c r="B79" t="s">
        <v>6003</v>
      </c>
      <c r="C79" t="s">
        <v>6004</v>
      </c>
      <c r="D79" t="s">
        <v>5859</v>
      </c>
      <c r="E79">
        <v>18.309999999999999</v>
      </c>
      <c r="F79">
        <v>408850</v>
      </c>
      <c r="G79" s="660">
        <v>45491</v>
      </c>
      <c r="H79" t="s">
        <v>6005</v>
      </c>
    </row>
    <row r="80" spans="1:8">
      <c r="A80">
        <v>501115</v>
      </c>
      <c r="B80" t="s">
        <v>6006</v>
      </c>
      <c r="C80" t="s">
        <v>1966</v>
      </c>
      <c r="D80" t="s">
        <v>5859</v>
      </c>
      <c r="E80">
        <v>7.19</v>
      </c>
      <c r="F80">
        <v>402042</v>
      </c>
      <c r="G80" s="660">
        <v>44158</v>
      </c>
      <c r="H80" t="s">
        <v>6007</v>
      </c>
    </row>
    <row r="81" spans="1:8">
      <c r="A81">
        <v>501116</v>
      </c>
      <c r="B81" t="s">
        <v>6008</v>
      </c>
      <c r="C81" t="s">
        <v>5861</v>
      </c>
      <c r="D81" t="s">
        <v>5859</v>
      </c>
      <c r="E81">
        <v>72.358500000000006</v>
      </c>
      <c r="F81">
        <v>410213</v>
      </c>
      <c r="G81" s="660">
        <v>45769</v>
      </c>
      <c r="H81" t="s">
        <v>6009</v>
      </c>
    </row>
    <row r="82" spans="1:8">
      <c r="A82">
        <v>501117</v>
      </c>
      <c r="B82" t="s">
        <v>6010</v>
      </c>
      <c r="C82" t="s">
        <v>5861</v>
      </c>
      <c r="D82" t="s">
        <v>5859</v>
      </c>
      <c r="E82">
        <v>43.771500000000003</v>
      </c>
      <c r="F82">
        <v>409747</v>
      </c>
      <c r="G82" s="660">
        <v>45686</v>
      </c>
      <c r="H82" t="s">
        <v>6011</v>
      </c>
    </row>
    <row r="83" spans="1:8">
      <c r="A83">
        <v>501118</v>
      </c>
      <c r="B83" t="s">
        <v>6012</v>
      </c>
      <c r="C83" t="s">
        <v>6013</v>
      </c>
      <c r="D83" t="s">
        <v>5859</v>
      </c>
      <c r="E83">
        <v>947</v>
      </c>
      <c r="F83">
        <v>401626</v>
      </c>
      <c r="G83" s="660">
        <v>44097</v>
      </c>
      <c r="H83" t="s">
        <v>6014</v>
      </c>
    </row>
    <row r="84" spans="1:8">
      <c r="A84">
        <v>501119</v>
      </c>
      <c r="B84" t="s">
        <v>6015</v>
      </c>
      <c r="C84" t="s">
        <v>6013</v>
      </c>
      <c r="D84" t="s">
        <v>5859</v>
      </c>
      <c r="E84">
        <v>947</v>
      </c>
      <c r="F84">
        <v>401626</v>
      </c>
      <c r="G84" s="660">
        <v>44097</v>
      </c>
      <c r="H84" t="s">
        <v>2293</v>
      </c>
    </row>
    <row r="85" spans="1:8">
      <c r="A85">
        <v>501121</v>
      </c>
      <c r="B85" t="s">
        <v>6016</v>
      </c>
      <c r="C85" t="s">
        <v>1966</v>
      </c>
      <c r="D85" t="s">
        <v>5859</v>
      </c>
      <c r="E85">
        <v>55.14</v>
      </c>
      <c r="F85">
        <v>401063</v>
      </c>
      <c r="G85" s="660">
        <v>44033</v>
      </c>
      <c r="H85" t="s">
        <v>6017</v>
      </c>
    </row>
    <row r="86" spans="1:8">
      <c r="A86">
        <v>501122</v>
      </c>
      <c r="B86" t="s">
        <v>6018</v>
      </c>
      <c r="C86" t="s">
        <v>5808</v>
      </c>
      <c r="D86" t="s">
        <v>5859</v>
      </c>
      <c r="E86">
        <v>0.89</v>
      </c>
      <c r="F86">
        <v>406022</v>
      </c>
      <c r="G86" s="660">
        <v>44932</v>
      </c>
      <c r="H86" t="s">
        <v>6019</v>
      </c>
    </row>
    <row r="87" spans="1:8">
      <c r="A87">
        <v>501123</v>
      </c>
      <c r="B87" t="s">
        <v>6020</v>
      </c>
      <c r="C87" t="s">
        <v>5808</v>
      </c>
      <c r="D87" t="s">
        <v>5859</v>
      </c>
      <c r="E87">
        <v>3.23</v>
      </c>
      <c r="F87">
        <v>405704</v>
      </c>
      <c r="G87" s="660">
        <v>44841</v>
      </c>
      <c r="H87" t="s">
        <v>6021</v>
      </c>
    </row>
    <row r="88" spans="1:8">
      <c r="A88">
        <v>501124</v>
      </c>
      <c r="B88" t="s">
        <v>6022</v>
      </c>
      <c r="C88" t="s">
        <v>5808</v>
      </c>
      <c r="D88" t="s">
        <v>5859</v>
      </c>
      <c r="E88">
        <v>4.92</v>
      </c>
      <c r="F88">
        <v>405704</v>
      </c>
      <c r="G88" s="660">
        <v>44841</v>
      </c>
      <c r="H88" t="s">
        <v>6023</v>
      </c>
    </row>
    <row r="89" spans="1:8">
      <c r="A89">
        <v>501125</v>
      </c>
      <c r="B89" t="s">
        <v>6024</v>
      </c>
      <c r="C89" t="s">
        <v>1966</v>
      </c>
      <c r="D89" t="s">
        <v>5859</v>
      </c>
      <c r="E89">
        <v>5.22</v>
      </c>
      <c r="F89">
        <v>401717</v>
      </c>
      <c r="G89" s="660">
        <v>44106</v>
      </c>
      <c r="H89" t="s">
        <v>6025</v>
      </c>
    </row>
    <row r="90" spans="1:8">
      <c r="A90">
        <v>501126</v>
      </c>
      <c r="B90" t="s">
        <v>6026</v>
      </c>
      <c r="C90" t="s">
        <v>1966</v>
      </c>
      <c r="D90" t="s">
        <v>5859</v>
      </c>
      <c r="E90">
        <v>54.15</v>
      </c>
      <c r="F90">
        <v>403600</v>
      </c>
      <c r="G90" s="660">
        <v>44413</v>
      </c>
      <c r="H90" t="s">
        <v>6027</v>
      </c>
    </row>
    <row r="91" spans="1:8">
      <c r="A91">
        <v>501127</v>
      </c>
      <c r="B91" t="s">
        <v>6028</v>
      </c>
      <c r="C91" t="s">
        <v>1966</v>
      </c>
      <c r="D91" t="s">
        <v>5859</v>
      </c>
      <c r="E91">
        <v>1.992</v>
      </c>
      <c r="F91">
        <v>404453</v>
      </c>
      <c r="G91" s="660">
        <v>44593</v>
      </c>
      <c r="H91" t="s">
        <v>6029</v>
      </c>
    </row>
    <row r="92" spans="1:8">
      <c r="A92">
        <v>501128</v>
      </c>
      <c r="B92" t="s">
        <v>6030</v>
      </c>
      <c r="C92" t="s">
        <v>6031</v>
      </c>
      <c r="D92" t="s">
        <v>5859</v>
      </c>
      <c r="E92">
        <v>341.72449999999998</v>
      </c>
      <c r="F92">
        <v>408099</v>
      </c>
      <c r="G92" s="660">
        <v>45356</v>
      </c>
      <c r="H92" t="s">
        <v>6032</v>
      </c>
    </row>
    <row r="93" spans="1:8">
      <c r="A93">
        <v>501130</v>
      </c>
      <c r="B93" t="s">
        <v>6033</v>
      </c>
      <c r="C93" t="s">
        <v>1665</v>
      </c>
      <c r="D93" t="s">
        <v>5859</v>
      </c>
      <c r="E93">
        <v>1981.17</v>
      </c>
      <c r="F93">
        <v>401849</v>
      </c>
      <c r="G93" s="660">
        <v>44125</v>
      </c>
      <c r="H93" t="s">
        <v>6034</v>
      </c>
    </row>
    <row r="94" spans="1:8">
      <c r="A94">
        <v>501131</v>
      </c>
      <c r="B94" t="s">
        <v>6035</v>
      </c>
      <c r="D94" t="s">
        <v>5859</v>
      </c>
      <c r="G94" s="660"/>
      <c r="H94" t="s">
        <v>6036</v>
      </c>
    </row>
    <row r="95" spans="1:8">
      <c r="A95">
        <v>501132</v>
      </c>
      <c r="B95" t="s">
        <v>6037</v>
      </c>
      <c r="C95" t="s">
        <v>5995</v>
      </c>
      <c r="D95" t="s">
        <v>5868</v>
      </c>
      <c r="E95">
        <v>955</v>
      </c>
      <c r="F95">
        <v>410225</v>
      </c>
      <c r="G95" s="660">
        <v>45771</v>
      </c>
      <c r="H95" t="s">
        <v>6038</v>
      </c>
    </row>
    <row r="96" spans="1:8">
      <c r="A96">
        <v>501133</v>
      </c>
      <c r="B96" t="s">
        <v>6039</v>
      </c>
      <c r="C96" t="s">
        <v>2460</v>
      </c>
      <c r="D96" t="s">
        <v>5859</v>
      </c>
      <c r="E96">
        <v>1.3975</v>
      </c>
      <c r="F96">
        <v>405641</v>
      </c>
      <c r="G96" s="660">
        <v>44824</v>
      </c>
      <c r="H96" t="s">
        <v>6040</v>
      </c>
    </row>
    <row r="97" spans="1:8">
      <c r="A97">
        <v>501134</v>
      </c>
      <c r="B97" t="s">
        <v>6041</v>
      </c>
      <c r="C97" t="s">
        <v>1966</v>
      </c>
      <c r="D97" t="s">
        <v>5859</v>
      </c>
      <c r="E97">
        <v>1.002</v>
      </c>
      <c r="F97">
        <v>401482</v>
      </c>
      <c r="G97" s="660">
        <v>44077</v>
      </c>
      <c r="H97" t="s">
        <v>6042</v>
      </c>
    </row>
    <row r="98" spans="1:8">
      <c r="A98">
        <v>501135</v>
      </c>
      <c r="B98" t="s">
        <v>6043</v>
      </c>
      <c r="C98" t="s">
        <v>1966</v>
      </c>
      <c r="D98" t="s">
        <v>5859</v>
      </c>
      <c r="E98">
        <v>58.08</v>
      </c>
      <c r="F98">
        <v>409486</v>
      </c>
      <c r="G98" s="660">
        <v>45616</v>
      </c>
      <c r="H98" t="s">
        <v>6044</v>
      </c>
    </row>
    <row r="99" spans="1:8">
      <c r="A99">
        <v>501136</v>
      </c>
      <c r="B99" t="s">
        <v>6045</v>
      </c>
      <c r="C99" t="s">
        <v>1966</v>
      </c>
      <c r="D99" t="s">
        <v>5859</v>
      </c>
      <c r="E99">
        <v>16.010000000000002</v>
      </c>
      <c r="F99">
        <v>410214</v>
      </c>
      <c r="G99" s="660">
        <v>45769</v>
      </c>
      <c r="H99" t="s">
        <v>6046</v>
      </c>
    </row>
    <row r="100" spans="1:8">
      <c r="A100">
        <v>501137</v>
      </c>
      <c r="B100" t="s">
        <v>6047</v>
      </c>
      <c r="C100" t="s">
        <v>1966</v>
      </c>
      <c r="D100" t="s">
        <v>5859</v>
      </c>
      <c r="E100">
        <v>5.22</v>
      </c>
      <c r="F100">
        <v>401034</v>
      </c>
      <c r="G100" s="660">
        <v>44032</v>
      </c>
      <c r="H100" t="s">
        <v>6048</v>
      </c>
    </row>
    <row r="101" spans="1:8">
      <c r="A101">
        <v>501138</v>
      </c>
      <c r="B101" t="s">
        <v>6049</v>
      </c>
      <c r="C101" t="s">
        <v>1966</v>
      </c>
      <c r="D101" t="s">
        <v>5859</v>
      </c>
      <c r="E101">
        <v>10.6</v>
      </c>
      <c r="F101">
        <v>402661</v>
      </c>
      <c r="G101" s="660">
        <v>44256</v>
      </c>
      <c r="H101" t="s">
        <v>6050</v>
      </c>
    </row>
    <row r="102" spans="1:8">
      <c r="A102">
        <v>501139</v>
      </c>
      <c r="B102" t="s">
        <v>6051</v>
      </c>
      <c r="D102" t="s">
        <v>5859</v>
      </c>
      <c r="G102" s="660"/>
      <c r="H102" t="s">
        <v>6052</v>
      </c>
    </row>
    <row r="103" spans="1:8">
      <c r="A103">
        <v>501141</v>
      </c>
      <c r="B103" t="s">
        <v>6053</v>
      </c>
      <c r="C103" t="s">
        <v>1966</v>
      </c>
      <c r="D103" t="s">
        <v>5859</v>
      </c>
      <c r="E103">
        <v>2.52</v>
      </c>
      <c r="F103">
        <v>401326</v>
      </c>
      <c r="G103" s="660">
        <v>44059</v>
      </c>
      <c r="H103" t="s">
        <v>6054</v>
      </c>
    </row>
    <row r="104" spans="1:8">
      <c r="A104">
        <v>501142</v>
      </c>
      <c r="B104" t="s">
        <v>6055</v>
      </c>
      <c r="C104" t="s">
        <v>1966</v>
      </c>
      <c r="D104" t="s">
        <v>5859</v>
      </c>
      <c r="E104">
        <v>1.67</v>
      </c>
      <c r="F104">
        <v>404636</v>
      </c>
      <c r="G104" s="660">
        <v>44628</v>
      </c>
      <c r="H104" t="s">
        <v>6056</v>
      </c>
    </row>
    <row r="105" spans="1:8">
      <c r="A105">
        <v>501143</v>
      </c>
      <c r="B105" t="s">
        <v>792</v>
      </c>
      <c r="C105" t="s">
        <v>1665</v>
      </c>
      <c r="D105" t="s">
        <v>5859</v>
      </c>
      <c r="E105">
        <v>59.31</v>
      </c>
      <c r="F105">
        <v>408525</v>
      </c>
      <c r="G105" s="660">
        <v>45427</v>
      </c>
      <c r="H105" t="s">
        <v>6057</v>
      </c>
    </row>
    <row r="106" spans="1:8">
      <c r="A106">
        <v>501145</v>
      </c>
      <c r="B106" t="s">
        <v>6058</v>
      </c>
      <c r="C106" t="s">
        <v>1966</v>
      </c>
      <c r="D106" t="s">
        <v>5859</v>
      </c>
      <c r="E106">
        <v>139.13</v>
      </c>
      <c r="F106">
        <v>401120</v>
      </c>
      <c r="G106" s="660">
        <v>44041</v>
      </c>
      <c r="H106" t="s">
        <v>6059</v>
      </c>
    </row>
    <row r="107" spans="1:8">
      <c r="A107">
        <v>501146</v>
      </c>
      <c r="B107" t="s">
        <v>6060</v>
      </c>
      <c r="C107" t="s">
        <v>1966</v>
      </c>
      <c r="D107" t="s">
        <v>5859</v>
      </c>
      <c r="E107">
        <v>7.1</v>
      </c>
      <c r="F107">
        <v>408300</v>
      </c>
      <c r="G107" s="660">
        <v>45391</v>
      </c>
      <c r="H107" t="s">
        <v>6061</v>
      </c>
    </row>
    <row r="108" spans="1:8">
      <c r="A108">
        <v>501147</v>
      </c>
      <c r="B108" t="s">
        <v>6062</v>
      </c>
      <c r="C108" t="s">
        <v>1966</v>
      </c>
      <c r="D108" t="s">
        <v>5859</v>
      </c>
      <c r="E108">
        <v>60.91</v>
      </c>
      <c r="F108">
        <v>402152</v>
      </c>
      <c r="G108" s="660">
        <v>44181</v>
      </c>
      <c r="H108" t="s">
        <v>6063</v>
      </c>
    </row>
    <row r="109" spans="1:8">
      <c r="A109">
        <v>501153</v>
      </c>
      <c r="B109" t="s">
        <v>6064</v>
      </c>
      <c r="C109" t="s">
        <v>6013</v>
      </c>
      <c r="D109" t="s">
        <v>5859</v>
      </c>
      <c r="E109">
        <v>34.729999999999997</v>
      </c>
      <c r="F109">
        <v>403224</v>
      </c>
      <c r="G109" s="660">
        <v>44351</v>
      </c>
      <c r="H109" t="s">
        <v>2293</v>
      </c>
    </row>
    <row r="110" spans="1:8">
      <c r="A110">
        <v>501154</v>
      </c>
      <c r="B110" t="s">
        <v>6065</v>
      </c>
      <c r="C110" t="s">
        <v>6013</v>
      </c>
      <c r="D110" t="s">
        <v>5859</v>
      </c>
      <c r="E110">
        <v>34.729999999999997</v>
      </c>
      <c r="F110">
        <v>403224</v>
      </c>
      <c r="G110" s="660">
        <v>44351</v>
      </c>
      <c r="H110" t="s">
        <v>2293</v>
      </c>
    </row>
    <row r="111" spans="1:8">
      <c r="A111">
        <v>501155</v>
      </c>
      <c r="B111" t="s">
        <v>6066</v>
      </c>
      <c r="D111" t="s">
        <v>5859</v>
      </c>
      <c r="G111" s="660"/>
      <c r="H111" t="s">
        <v>6067</v>
      </c>
    </row>
    <row r="112" spans="1:8">
      <c r="A112">
        <v>501157</v>
      </c>
      <c r="B112" t="s">
        <v>6068</v>
      </c>
      <c r="C112" t="s">
        <v>1930</v>
      </c>
      <c r="D112" t="s">
        <v>5859</v>
      </c>
      <c r="E112">
        <v>20.6</v>
      </c>
      <c r="F112">
        <v>401312</v>
      </c>
      <c r="G112" s="660">
        <v>44057</v>
      </c>
      <c r="H112" t="s">
        <v>6069</v>
      </c>
    </row>
    <row r="113" spans="1:8">
      <c r="A113">
        <v>501158</v>
      </c>
      <c r="B113" t="s">
        <v>6070</v>
      </c>
      <c r="C113" t="s">
        <v>5344</v>
      </c>
      <c r="D113" t="s">
        <v>2814</v>
      </c>
      <c r="E113">
        <v>5</v>
      </c>
      <c r="F113">
        <v>401316</v>
      </c>
      <c r="G113" s="660">
        <v>44057</v>
      </c>
      <c r="H113" t="s">
        <v>6071</v>
      </c>
    </row>
    <row r="114" spans="1:8">
      <c r="A114">
        <v>501159</v>
      </c>
      <c r="B114" t="s">
        <v>6072</v>
      </c>
      <c r="C114" t="s">
        <v>6013</v>
      </c>
      <c r="D114" t="s">
        <v>5859</v>
      </c>
      <c r="E114">
        <v>947</v>
      </c>
      <c r="F114">
        <v>401605</v>
      </c>
      <c r="G114" s="660">
        <v>44095</v>
      </c>
      <c r="H114" t="s">
        <v>6073</v>
      </c>
    </row>
    <row r="115" spans="1:8">
      <c r="A115">
        <v>501160</v>
      </c>
      <c r="B115" t="s">
        <v>6074</v>
      </c>
      <c r="C115" t="s">
        <v>6013</v>
      </c>
      <c r="D115" t="s">
        <v>5859</v>
      </c>
      <c r="E115">
        <v>947</v>
      </c>
      <c r="F115">
        <v>401605</v>
      </c>
      <c r="G115" s="660">
        <v>44095</v>
      </c>
      <c r="H115" t="s">
        <v>6073</v>
      </c>
    </row>
    <row r="116" spans="1:8">
      <c r="A116">
        <v>501161</v>
      </c>
      <c r="B116" t="s">
        <v>6075</v>
      </c>
      <c r="C116" t="s">
        <v>1665</v>
      </c>
      <c r="D116" t="s">
        <v>5859</v>
      </c>
      <c r="E116">
        <v>227.18</v>
      </c>
      <c r="F116">
        <v>409870</v>
      </c>
      <c r="G116" s="660">
        <v>45708</v>
      </c>
      <c r="H116" t="s">
        <v>6076</v>
      </c>
    </row>
    <row r="117" spans="1:8">
      <c r="A117">
        <v>501163</v>
      </c>
      <c r="B117" t="s">
        <v>6077</v>
      </c>
      <c r="C117" t="s">
        <v>6078</v>
      </c>
      <c r="D117" t="s">
        <v>5868</v>
      </c>
      <c r="E117">
        <v>1977</v>
      </c>
      <c r="F117">
        <v>401008</v>
      </c>
      <c r="G117" s="660">
        <v>44027</v>
      </c>
      <c r="H117" t="s">
        <v>6079</v>
      </c>
    </row>
    <row r="118" spans="1:8">
      <c r="A118">
        <v>501164</v>
      </c>
      <c r="B118" t="s">
        <v>6080</v>
      </c>
      <c r="C118" t="s">
        <v>6078</v>
      </c>
      <c r="D118" t="s">
        <v>5868</v>
      </c>
      <c r="E118">
        <v>2264</v>
      </c>
      <c r="F118">
        <v>401008</v>
      </c>
      <c r="G118" s="660">
        <v>44027</v>
      </c>
      <c r="H118" t="s">
        <v>6081</v>
      </c>
    </row>
    <row r="119" spans="1:8">
      <c r="A119">
        <v>501165</v>
      </c>
      <c r="B119" t="s">
        <v>6082</v>
      </c>
      <c r="C119" t="s">
        <v>1966</v>
      </c>
      <c r="D119" t="s">
        <v>5859</v>
      </c>
      <c r="E119">
        <v>15.5</v>
      </c>
      <c r="F119">
        <v>401964</v>
      </c>
      <c r="G119" s="660">
        <v>44138</v>
      </c>
      <c r="H119" t="s">
        <v>6083</v>
      </c>
    </row>
    <row r="120" spans="1:8">
      <c r="A120">
        <v>501166</v>
      </c>
      <c r="B120" t="s">
        <v>6084</v>
      </c>
      <c r="C120" t="s">
        <v>1966</v>
      </c>
      <c r="D120" t="s">
        <v>5859</v>
      </c>
      <c r="E120">
        <v>84.16</v>
      </c>
      <c r="F120">
        <v>401964</v>
      </c>
      <c r="G120" s="660">
        <v>44138</v>
      </c>
      <c r="H120" t="s">
        <v>6085</v>
      </c>
    </row>
    <row r="121" spans="1:8">
      <c r="A121">
        <v>501167</v>
      </c>
      <c r="B121" t="s">
        <v>6086</v>
      </c>
      <c r="C121" t="s">
        <v>1966</v>
      </c>
      <c r="D121" t="s">
        <v>5859</v>
      </c>
      <c r="E121">
        <v>101.11</v>
      </c>
      <c r="F121">
        <v>401964</v>
      </c>
      <c r="G121" s="660">
        <v>44138</v>
      </c>
      <c r="H121" t="s">
        <v>6087</v>
      </c>
    </row>
    <row r="122" spans="1:8">
      <c r="A122">
        <v>501168</v>
      </c>
      <c r="B122" t="s">
        <v>6088</v>
      </c>
      <c r="C122" t="s">
        <v>5864</v>
      </c>
      <c r="D122" t="s">
        <v>5859</v>
      </c>
      <c r="E122">
        <v>1237.5</v>
      </c>
      <c r="F122">
        <v>408950</v>
      </c>
      <c r="G122" s="660">
        <v>45511</v>
      </c>
      <c r="H122" t="s">
        <v>6089</v>
      </c>
    </row>
    <row r="123" spans="1:8">
      <c r="A123">
        <v>501169</v>
      </c>
      <c r="B123" t="s">
        <v>6090</v>
      </c>
      <c r="C123" t="s">
        <v>1665</v>
      </c>
      <c r="D123" t="s">
        <v>5859</v>
      </c>
      <c r="E123">
        <v>1100.81</v>
      </c>
      <c r="F123">
        <v>401979</v>
      </c>
      <c r="G123" s="660">
        <v>44140</v>
      </c>
      <c r="H123" t="s">
        <v>6091</v>
      </c>
    </row>
    <row r="124" spans="1:8">
      <c r="A124">
        <v>501170</v>
      </c>
      <c r="B124" t="s">
        <v>6092</v>
      </c>
      <c r="C124" t="s">
        <v>5808</v>
      </c>
      <c r="D124" t="s">
        <v>5859</v>
      </c>
      <c r="E124">
        <v>3.5</v>
      </c>
      <c r="F124">
        <v>405704</v>
      </c>
      <c r="G124" s="660">
        <v>44841</v>
      </c>
      <c r="H124" t="s">
        <v>6093</v>
      </c>
    </row>
    <row r="125" spans="1:8">
      <c r="A125">
        <v>501171</v>
      </c>
      <c r="B125" t="s">
        <v>6094</v>
      </c>
      <c r="C125" t="s">
        <v>5808</v>
      </c>
      <c r="D125" t="s">
        <v>5859</v>
      </c>
      <c r="E125">
        <v>2.13</v>
      </c>
      <c r="F125">
        <v>405704</v>
      </c>
      <c r="G125" s="660">
        <v>44841</v>
      </c>
      <c r="H125" t="s">
        <v>6095</v>
      </c>
    </row>
    <row r="126" spans="1:8">
      <c r="A126">
        <v>501172</v>
      </c>
      <c r="B126" t="s">
        <v>6096</v>
      </c>
      <c r="C126" t="s">
        <v>1930</v>
      </c>
      <c r="D126" t="s">
        <v>5859</v>
      </c>
      <c r="E126">
        <v>8.82</v>
      </c>
      <c r="F126">
        <v>401182</v>
      </c>
      <c r="G126" s="660">
        <v>44047</v>
      </c>
      <c r="H126" t="s">
        <v>6097</v>
      </c>
    </row>
    <row r="127" spans="1:8">
      <c r="A127">
        <v>501174</v>
      </c>
      <c r="B127" t="s">
        <v>6098</v>
      </c>
      <c r="C127" t="s">
        <v>1930</v>
      </c>
      <c r="D127" t="s">
        <v>5859</v>
      </c>
      <c r="E127">
        <v>67.3</v>
      </c>
      <c r="F127">
        <v>407119</v>
      </c>
      <c r="G127" s="660">
        <v>45175</v>
      </c>
      <c r="H127" t="s">
        <v>6099</v>
      </c>
    </row>
    <row r="128" spans="1:8">
      <c r="A128">
        <v>501175</v>
      </c>
      <c r="B128" t="s">
        <v>6100</v>
      </c>
      <c r="C128" t="s">
        <v>1930</v>
      </c>
      <c r="D128" t="s">
        <v>5859</v>
      </c>
      <c r="E128">
        <v>80</v>
      </c>
      <c r="F128">
        <v>406824</v>
      </c>
      <c r="G128" s="660">
        <v>45106</v>
      </c>
      <c r="H128" t="s">
        <v>6101</v>
      </c>
    </row>
    <row r="129" spans="1:8">
      <c r="A129">
        <v>501176</v>
      </c>
      <c r="B129" t="s">
        <v>6102</v>
      </c>
      <c r="C129" t="s">
        <v>1930</v>
      </c>
      <c r="D129" t="s">
        <v>5859</v>
      </c>
      <c r="E129">
        <v>38.85</v>
      </c>
      <c r="F129">
        <v>401182</v>
      </c>
      <c r="G129" s="660">
        <v>44047</v>
      </c>
      <c r="H129" t="s">
        <v>6103</v>
      </c>
    </row>
    <row r="130" spans="1:8">
      <c r="A130">
        <v>501178</v>
      </c>
      <c r="B130" t="s">
        <v>6104</v>
      </c>
      <c r="C130" t="s">
        <v>1930</v>
      </c>
      <c r="D130" t="s">
        <v>5859</v>
      </c>
      <c r="E130">
        <v>183.2</v>
      </c>
      <c r="F130">
        <v>401182</v>
      </c>
      <c r="G130" s="660">
        <v>44047</v>
      </c>
      <c r="H130" t="s">
        <v>6105</v>
      </c>
    </row>
    <row r="131" spans="1:8">
      <c r="A131">
        <v>501179</v>
      </c>
      <c r="B131" t="s">
        <v>6106</v>
      </c>
      <c r="C131" t="s">
        <v>1930</v>
      </c>
      <c r="D131" t="s">
        <v>5859</v>
      </c>
      <c r="E131">
        <v>73.260000000000005</v>
      </c>
      <c r="F131">
        <v>407700</v>
      </c>
      <c r="G131" s="660">
        <v>45288</v>
      </c>
      <c r="H131" t="s">
        <v>6107</v>
      </c>
    </row>
    <row r="132" spans="1:8">
      <c r="A132">
        <v>501180</v>
      </c>
      <c r="B132" t="s">
        <v>6108</v>
      </c>
      <c r="C132" t="s">
        <v>1930</v>
      </c>
      <c r="D132" t="s">
        <v>5859</v>
      </c>
      <c r="E132">
        <v>7.37</v>
      </c>
      <c r="F132">
        <v>407119</v>
      </c>
      <c r="G132" s="660">
        <v>45175</v>
      </c>
      <c r="H132" t="s">
        <v>6109</v>
      </c>
    </row>
    <row r="133" spans="1:8">
      <c r="A133">
        <v>501181</v>
      </c>
      <c r="B133" t="s">
        <v>6110</v>
      </c>
      <c r="D133" t="s">
        <v>5859</v>
      </c>
      <c r="G133" s="660"/>
      <c r="H133" t="s">
        <v>6111</v>
      </c>
    </row>
    <row r="134" spans="1:8">
      <c r="A134">
        <v>501182</v>
      </c>
      <c r="B134" t="s">
        <v>6112</v>
      </c>
      <c r="C134" t="s">
        <v>1930</v>
      </c>
      <c r="D134" t="s">
        <v>5859</v>
      </c>
      <c r="E134">
        <v>5.34</v>
      </c>
      <c r="F134">
        <v>401182</v>
      </c>
      <c r="G134" s="660">
        <v>44047</v>
      </c>
      <c r="H134" t="s">
        <v>6113</v>
      </c>
    </row>
    <row r="135" spans="1:8">
      <c r="A135">
        <v>501184</v>
      </c>
      <c r="B135" t="s">
        <v>6114</v>
      </c>
      <c r="C135" t="s">
        <v>1930</v>
      </c>
      <c r="D135" t="s">
        <v>5859</v>
      </c>
      <c r="E135">
        <v>2.87</v>
      </c>
      <c r="F135">
        <v>402560</v>
      </c>
      <c r="G135" s="660">
        <v>44245</v>
      </c>
      <c r="H135" t="s">
        <v>6115</v>
      </c>
    </row>
    <row r="136" spans="1:8">
      <c r="A136">
        <v>501185</v>
      </c>
      <c r="B136" t="s">
        <v>6116</v>
      </c>
      <c r="C136" t="s">
        <v>1930</v>
      </c>
      <c r="D136" t="s">
        <v>5859</v>
      </c>
      <c r="E136">
        <v>24.6</v>
      </c>
      <c r="F136">
        <v>407119</v>
      </c>
      <c r="G136" s="660">
        <v>45175</v>
      </c>
      <c r="H136" t="s">
        <v>6117</v>
      </c>
    </row>
    <row r="137" spans="1:8">
      <c r="A137">
        <v>501186</v>
      </c>
      <c r="B137" t="s">
        <v>6118</v>
      </c>
      <c r="C137" t="s">
        <v>1966</v>
      </c>
      <c r="D137" t="s">
        <v>5859</v>
      </c>
      <c r="E137">
        <v>3.68</v>
      </c>
      <c r="F137">
        <v>406831</v>
      </c>
      <c r="G137" s="660">
        <v>45112</v>
      </c>
      <c r="H137" t="s">
        <v>6119</v>
      </c>
    </row>
    <row r="138" spans="1:8">
      <c r="A138">
        <v>501187</v>
      </c>
      <c r="B138" t="s">
        <v>6120</v>
      </c>
      <c r="C138" t="s">
        <v>1930</v>
      </c>
      <c r="D138" t="s">
        <v>5859</v>
      </c>
      <c r="E138">
        <v>5.1100000000000003</v>
      </c>
      <c r="F138">
        <v>401182</v>
      </c>
      <c r="G138" s="660">
        <v>44047</v>
      </c>
      <c r="H138" t="s">
        <v>6121</v>
      </c>
    </row>
    <row r="139" spans="1:8">
      <c r="A139">
        <v>501188</v>
      </c>
      <c r="B139" t="s">
        <v>6122</v>
      </c>
      <c r="C139" t="s">
        <v>1930</v>
      </c>
      <c r="D139" t="s">
        <v>5859</v>
      </c>
      <c r="E139">
        <v>3.23</v>
      </c>
      <c r="F139">
        <v>408485</v>
      </c>
      <c r="G139" s="660">
        <v>45420</v>
      </c>
      <c r="H139" t="s">
        <v>6123</v>
      </c>
    </row>
    <row r="140" spans="1:8">
      <c r="A140">
        <v>501189</v>
      </c>
      <c r="B140" t="s">
        <v>6124</v>
      </c>
      <c r="C140" t="s">
        <v>1930</v>
      </c>
      <c r="D140" t="s">
        <v>5859</v>
      </c>
      <c r="E140">
        <v>14.07</v>
      </c>
      <c r="F140">
        <v>401182</v>
      </c>
      <c r="G140" s="660">
        <v>44047</v>
      </c>
      <c r="H140" t="s">
        <v>6125</v>
      </c>
    </row>
    <row r="141" spans="1:8">
      <c r="A141">
        <v>501190</v>
      </c>
      <c r="B141" t="s">
        <v>6126</v>
      </c>
      <c r="C141" t="s">
        <v>1930</v>
      </c>
      <c r="D141" t="s">
        <v>5859</v>
      </c>
      <c r="E141">
        <v>20.66</v>
      </c>
      <c r="F141">
        <v>401182</v>
      </c>
      <c r="G141" s="660">
        <v>44047</v>
      </c>
      <c r="H141" t="s">
        <v>6127</v>
      </c>
    </row>
    <row r="142" spans="1:8">
      <c r="A142">
        <v>501191</v>
      </c>
      <c r="B142" t="s">
        <v>6128</v>
      </c>
      <c r="C142" t="s">
        <v>1966</v>
      </c>
      <c r="D142" t="s">
        <v>5859</v>
      </c>
      <c r="E142">
        <v>20.78</v>
      </c>
      <c r="F142">
        <v>401188</v>
      </c>
      <c r="G142" s="660">
        <v>44048</v>
      </c>
      <c r="H142" t="s">
        <v>6129</v>
      </c>
    </row>
    <row r="143" spans="1:8">
      <c r="A143">
        <v>501192</v>
      </c>
      <c r="B143" t="s">
        <v>6130</v>
      </c>
      <c r="C143" t="s">
        <v>6131</v>
      </c>
      <c r="D143" t="s">
        <v>5859</v>
      </c>
      <c r="E143">
        <v>143</v>
      </c>
      <c r="F143">
        <v>407007</v>
      </c>
      <c r="G143" s="660">
        <v>45149</v>
      </c>
      <c r="H143" t="s">
        <v>6132</v>
      </c>
    </row>
    <row r="144" spans="1:8">
      <c r="A144">
        <v>501193</v>
      </c>
      <c r="B144" t="s">
        <v>6133</v>
      </c>
      <c r="C144" t="s">
        <v>1930</v>
      </c>
      <c r="D144" t="s">
        <v>5859</v>
      </c>
      <c r="E144">
        <v>116.8</v>
      </c>
      <c r="F144">
        <v>401182</v>
      </c>
      <c r="G144" s="660">
        <v>44047</v>
      </c>
      <c r="H144" t="s">
        <v>6134</v>
      </c>
    </row>
    <row r="145" spans="1:8">
      <c r="A145">
        <v>501194</v>
      </c>
      <c r="B145" t="s">
        <v>6135</v>
      </c>
      <c r="C145" t="s">
        <v>1930</v>
      </c>
      <c r="D145" t="s">
        <v>5859</v>
      </c>
      <c r="E145">
        <v>9.34</v>
      </c>
      <c r="F145">
        <v>401182</v>
      </c>
      <c r="G145" s="660">
        <v>44047</v>
      </c>
      <c r="H145" t="s">
        <v>6136</v>
      </c>
    </row>
    <row r="146" spans="1:8">
      <c r="A146">
        <v>501195</v>
      </c>
      <c r="B146" t="s">
        <v>6137</v>
      </c>
      <c r="C146" t="s">
        <v>5442</v>
      </c>
      <c r="D146" t="s">
        <v>5859</v>
      </c>
      <c r="E146">
        <v>1141.4000000000001</v>
      </c>
      <c r="F146">
        <v>407701</v>
      </c>
      <c r="G146" s="660">
        <v>45288</v>
      </c>
      <c r="H146" t="s">
        <v>6138</v>
      </c>
    </row>
    <row r="147" spans="1:8">
      <c r="A147">
        <v>501196</v>
      </c>
      <c r="B147" t="s">
        <v>6139</v>
      </c>
      <c r="C147" t="s">
        <v>6140</v>
      </c>
      <c r="D147" t="s">
        <v>5859</v>
      </c>
      <c r="E147">
        <v>17140</v>
      </c>
      <c r="F147">
        <v>401192</v>
      </c>
      <c r="G147" s="660">
        <v>44048</v>
      </c>
      <c r="H147" t="s">
        <v>6141</v>
      </c>
    </row>
    <row r="148" spans="1:8">
      <c r="A148">
        <v>501197</v>
      </c>
      <c r="B148" t="s">
        <v>6142</v>
      </c>
      <c r="C148" t="s">
        <v>1930</v>
      </c>
      <c r="D148" t="s">
        <v>5859</v>
      </c>
      <c r="E148">
        <v>2.0699999999999998</v>
      </c>
      <c r="F148">
        <v>401182</v>
      </c>
      <c r="G148" s="660">
        <v>44047</v>
      </c>
      <c r="H148" t="s">
        <v>6143</v>
      </c>
    </row>
    <row r="149" spans="1:8">
      <c r="A149">
        <v>501198</v>
      </c>
      <c r="B149" t="s">
        <v>6144</v>
      </c>
      <c r="C149" t="s">
        <v>1930</v>
      </c>
      <c r="D149" t="s">
        <v>5859</v>
      </c>
      <c r="E149">
        <v>575</v>
      </c>
      <c r="F149">
        <v>401197</v>
      </c>
      <c r="G149" s="660">
        <v>44049</v>
      </c>
      <c r="H149" t="s">
        <v>6145</v>
      </c>
    </row>
    <row r="150" spans="1:8">
      <c r="A150">
        <v>501199</v>
      </c>
      <c r="B150" t="s">
        <v>6146</v>
      </c>
      <c r="C150" t="s">
        <v>1930</v>
      </c>
      <c r="D150" t="s">
        <v>5859</v>
      </c>
      <c r="E150">
        <v>2.97</v>
      </c>
      <c r="F150">
        <v>401182</v>
      </c>
      <c r="G150" s="660">
        <v>44047</v>
      </c>
      <c r="H150" t="s">
        <v>6147</v>
      </c>
    </row>
    <row r="151" spans="1:8">
      <c r="A151">
        <v>501200</v>
      </c>
      <c r="B151" t="s">
        <v>6148</v>
      </c>
      <c r="C151" t="s">
        <v>1930</v>
      </c>
      <c r="D151" t="s">
        <v>5859</v>
      </c>
      <c r="E151">
        <v>26.6</v>
      </c>
      <c r="F151">
        <v>407700</v>
      </c>
      <c r="G151" s="660">
        <v>45288</v>
      </c>
      <c r="H151" t="s">
        <v>6149</v>
      </c>
    </row>
    <row r="152" spans="1:8">
      <c r="A152">
        <v>501201</v>
      </c>
      <c r="B152" t="s">
        <v>6150</v>
      </c>
      <c r="C152" t="s">
        <v>1966</v>
      </c>
      <c r="D152" t="s">
        <v>5859</v>
      </c>
      <c r="E152">
        <v>33.65</v>
      </c>
      <c r="F152">
        <v>405932</v>
      </c>
      <c r="G152" s="660">
        <v>44900</v>
      </c>
      <c r="H152" t="s">
        <v>6151</v>
      </c>
    </row>
    <row r="153" spans="1:8">
      <c r="A153">
        <v>501202</v>
      </c>
      <c r="B153" t="s">
        <v>6152</v>
      </c>
      <c r="C153" t="s">
        <v>1930</v>
      </c>
      <c r="D153" t="s">
        <v>5859</v>
      </c>
      <c r="E153">
        <v>47.52</v>
      </c>
      <c r="F153">
        <v>401182</v>
      </c>
      <c r="G153" s="660">
        <v>44047</v>
      </c>
      <c r="H153" t="s">
        <v>6153</v>
      </c>
    </row>
    <row r="154" spans="1:8">
      <c r="A154">
        <v>501203</v>
      </c>
      <c r="B154" t="s">
        <v>6154</v>
      </c>
      <c r="C154" t="s">
        <v>1930</v>
      </c>
      <c r="D154" t="s">
        <v>5859</v>
      </c>
      <c r="E154">
        <v>33.299999999999997</v>
      </c>
      <c r="F154">
        <v>401182</v>
      </c>
      <c r="G154" s="660">
        <v>44047</v>
      </c>
      <c r="H154" t="s">
        <v>6155</v>
      </c>
    </row>
    <row r="155" spans="1:8">
      <c r="A155">
        <v>501205</v>
      </c>
      <c r="B155" t="s">
        <v>6156</v>
      </c>
      <c r="C155" t="s">
        <v>1930</v>
      </c>
      <c r="D155" t="s">
        <v>5859</v>
      </c>
      <c r="E155">
        <v>32.4</v>
      </c>
      <c r="F155">
        <v>401456</v>
      </c>
      <c r="G155" s="660">
        <v>44075</v>
      </c>
      <c r="H155" t="s">
        <v>6157</v>
      </c>
    </row>
    <row r="156" spans="1:8">
      <c r="A156">
        <v>501206</v>
      </c>
      <c r="B156" t="s">
        <v>6158</v>
      </c>
      <c r="C156" t="s">
        <v>1930</v>
      </c>
      <c r="D156" t="s">
        <v>5859</v>
      </c>
      <c r="E156">
        <v>105.3</v>
      </c>
      <c r="F156">
        <v>405014</v>
      </c>
      <c r="G156" s="660">
        <v>44697</v>
      </c>
      <c r="H156" t="s">
        <v>6159</v>
      </c>
    </row>
    <row r="157" spans="1:8">
      <c r="A157">
        <v>501207</v>
      </c>
      <c r="B157" t="s">
        <v>6160</v>
      </c>
      <c r="C157" t="s">
        <v>5808</v>
      </c>
      <c r="D157" t="s">
        <v>5859</v>
      </c>
      <c r="E157">
        <v>0.71</v>
      </c>
      <c r="F157">
        <v>410035</v>
      </c>
      <c r="G157" s="660">
        <v>45736</v>
      </c>
      <c r="H157" t="s">
        <v>6161</v>
      </c>
    </row>
    <row r="158" spans="1:8">
      <c r="A158">
        <v>501208</v>
      </c>
      <c r="B158" t="s">
        <v>6162</v>
      </c>
      <c r="C158" t="s">
        <v>5808</v>
      </c>
      <c r="D158" t="s">
        <v>5859</v>
      </c>
      <c r="E158">
        <v>0.81</v>
      </c>
      <c r="F158">
        <v>410035</v>
      </c>
      <c r="G158" s="660">
        <v>45736</v>
      </c>
      <c r="H158" t="s">
        <v>6163</v>
      </c>
    </row>
    <row r="159" spans="1:8">
      <c r="A159">
        <v>501209</v>
      </c>
      <c r="B159" t="s">
        <v>6164</v>
      </c>
      <c r="C159" t="s">
        <v>1966</v>
      </c>
      <c r="D159" t="s">
        <v>5859</v>
      </c>
      <c r="E159">
        <v>4.71</v>
      </c>
      <c r="F159">
        <v>404342</v>
      </c>
      <c r="G159" s="660">
        <v>44575</v>
      </c>
      <c r="H159" t="s">
        <v>6165</v>
      </c>
    </row>
    <row r="160" spans="1:8">
      <c r="A160">
        <v>501210</v>
      </c>
      <c r="B160" t="s">
        <v>6166</v>
      </c>
      <c r="C160" t="s">
        <v>6013</v>
      </c>
      <c r="D160" t="s">
        <v>5859</v>
      </c>
      <c r="E160">
        <v>1632.83</v>
      </c>
      <c r="F160">
        <v>404685</v>
      </c>
      <c r="G160" s="660">
        <v>44636</v>
      </c>
      <c r="H160" t="s">
        <v>6167</v>
      </c>
    </row>
    <row r="161" spans="1:8">
      <c r="A161">
        <v>501212</v>
      </c>
      <c r="B161" t="s">
        <v>6168</v>
      </c>
      <c r="C161" t="s">
        <v>6169</v>
      </c>
      <c r="D161" t="s">
        <v>5859</v>
      </c>
      <c r="E161">
        <v>1282</v>
      </c>
      <c r="F161">
        <v>402812</v>
      </c>
      <c r="G161" s="660">
        <v>44278</v>
      </c>
      <c r="H161" t="s">
        <v>6170</v>
      </c>
    </row>
    <row r="162" spans="1:8">
      <c r="A162">
        <v>501213</v>
      </c>
      <c r="B162" t="s">
        <v>6171</v>
      </c>
      <c r="C162" t="s">
        <v>6169</v>
      </c>
      <c r="D162" t="s">
        <v>5859</v>
      </c>
      <c r="E162">
        <v>1588</v>
      </c>
      <c r="F162">
        <v>402812</v>
      </c>
      <c r="G162" s="660">
        <v>44278</v>
      </c>
      <c r="H162" t="s">
        <v>6172</v>
      </c>
    </row>
    <row r="163" spans="1:8">
      <c r="A163">
        <v>501214</v>
      </c>
      <c r="B163" t="s">
        <v>6173</v>
      </c>
      <c r="C163" t="s">
        <v>6169</v>
      </c>
      <c r="D163" t="s">
        <v>5859</v>
      </c>
      <c r="E163">
        <v>2250</v>
      </c>
      <c r="F163">
        <v>404535</v>
      </c>
      <c r="G163" s="660">
        <v>44607</v>
      </c>
      <c r="H163" t="s">
        <v>6174</v>
      </c>
    </row>
    <row r="164" spans="1:8">
      <c r="A164">
        <v>501215</v>
      </c>
      <c r="B164" t="s">
        <v>6175</v>
      </c>
      <c r="C164" t="s">
        <v>5995</v>
      </c>
      <c r="D164" t="s">
        <v>5859</v>
      </c>
      <c r="E164">
        <v>1696</v>
      </c>
      <c r="F164">
        <v>402828</v>
      </c>
      <c r="G164" s="660">
        <v>44280</v>
      </c>
      <c r="H164" t="s">
        <v>6176</v>
      </c>
    </row>
    <row r="165" spans="1:8">
      <c r="A165">
        <v>501216</v>
      </c>
      <c r="B165" t="s">
        <v>6177</v>
      </c>
      <c r="C165" t="s">
        <v>5995</v>
      </c>
      <c r="D165" t="s">
        <v>5859</v>
      </c>
      <c r="E165">
        <v>1696</v>
      </c>
      <c r="F165">
        <v>402828</v>
      </c>
      <c r="G165" s="660">
        <v>44280</v>
      </c>
      <c r="H165" t="s">
        <v>6178</v>
      </c>
    </row>
    <row r="166" spans="1:8">
      <c r="A166">
        <v>501217</v>
      </c>
      <c r="B166" t="s">
        <v>6179</v>
      </c>
      <c r="C166" t="s">
        <v>5995</v>
      </c>
      <c r="D166" t="s">
        <v>5859</v>
      </c>
      <c r="E166">
        <v>1696</v>
      </c>
      <c r="F166">
        <v>402828</v>
      </c>
      <c r="G166" s="660">
        <v>44280</v>
      </c>
      <c r="H166" t="s">
        <v>6180</v>
      </c>
    </row>
    <row r="167" spans="1:8">
      <c r="A167">
        <v>501220</v>
      </c>
      <c r="B167" t="s">
        <v>6181</v>
      </c>
      <c r="C167" t="s">
        <v>1930</v>
      </c>
      <c r="D167" t="s">
        <v>5859</v>
      </c>
      <c r="E167">
        <v>3.37</v>
      </c>
      <c r="F167">
        <v>401182</v>
      </c>
      <c r="G167" s="660">
        <v>44047</v>
      </c>
      <c r="H167" t="s">
        <v>6182</v>
      </c>
    </row>
    <row r="168" spans="1:8">
      <c r="A168">
        <v>501221</v>
      </c>
      <c r="B168" t="s">
        <v>6183</v>
      </c>
      <c r="C168" t="s">
        <v>1930</v>
      </c>
      <c r="D168" t="s">
        <v>5859</v>
      </c>
      <c r="E168">
        <v>9.65</v>
      </c>
      <c r="F168">
        <v>401182</v>
      </c>
      <c r="G168" s="660">
        <v>44047</v>
      </c>
      <c r="H168" t="s">
        <v>6184</v>
      </c>
    </row>
    <row r="169" spans="1:8">
      <c r="A169">
        <v>501223</v>
      </c>
      <c r="B169" t="s">
        <v>6185</v>
      </c>
      <c r="C169" t="s">
        <v>1930</v>
      </c>
      <c r="D169" t="s">
        <v>5859</v>
      </c>
      <c r="E169">
        <v>106.2</v>
      </c>
      <c r="F169">
        <v>405014</v>
      </c>
      <c r="G169" s="660">
        <v>44697</v>
      </c>
      <c r="H169" t="s">
        <v>6186</v>
      </c>
    </row>
    <row r="170" spans="1:8">
      <c r="A170">
        <v>501224</v>
      </c>
      <c r="B170" t="s">
        <v>6187</v>
      </c>
      <c r="D170" t="s">
        <v>5859</v>
      </c>
      <c r="G170" s="660"/>
      <c r="H170" t="s">
        <v>6188</v>
      </c>
    </row>
    <row r="171" spans="1:8">
      <c r="A171">
        <v>501225</v>
      </c>
      <c r="B171" t="s">
        <v>6189</v>
      </c>
      <c r="C171" t="s">
        <v>1966</v>
      </c>
      <c r="D171" t="s">
        <v>5859</v>
      </c>
      <c r="E171">
        <v>11.82</v>
      </c>
      <c r="F171">
        <v>401131</v>
      </c>
      <c r="G171" s="660">
        <v>44052</v>
      </c>
      <c r="H171" t="s">
        <v>6190</v>
      </c>
    </row>
    <row r="172" spans="1:8">
      <c r="A172">
        <v>501226</v>
      </c>
      <c r="B172" t="s">
        <v>6191</v>
      </c>
      <c r="C172" t="s">
        <v>1852</v>
      </c>
      <c r="D172" t="s">
        <v>5859</v>
      </c>
      <c r="E172">
        <v>0.75</v>
      </c>
      <c r="F172">
        <v>408735</v>
      </c>
      <c r="G172" s="660">
        <v>45462</v>
      </c>
      <c r="H172" t="s">
        <v>6192</v>
      </c>
    </row>
    <row r="173" spans="1:8">
      <c r="A173">
        <v>501227</v>
      </c>
      <c r="B173" t="s">
        <v>6193</v>
      </c>
      <c r="C173" t="s">
        <v>1966</v>
      </c>
      <c r="D173" t="s">
        <v>5859</v>
      </c>
      <c r="E173">
        <v>7.98</v>
      </c>
      <c r="F173">
        <v>405582</v>
      </c>
      <c r="G173" s="660">
        <v>44817</v>
      </c>
      <c r="H173" t="s">
        <v>6194</v>
      </c>
    </row>
    <row r="174" spans="1:8">
      <c r="A174">
        <v>501228</v>
      </c>
      <c r="B174" t="s">
        <v>6195</v>
      </c>
      <c r="C174" t="s">
        <v>1665</v>
      </c>
      <c r="D174" t="s">
        <v>5859</v>
      </c>
      <c r="E174">
        <v>278</v>
      </c>
      <c r="F174">
        <v>402810</v>
      </c>
      <c r="G174" s="660">
        <v>44278</v>
      </c>
      <c r="H174" t="s">
        <v>6196</v>
      </c>
    </row>
    <row r="175" spans="1:8">
      <c r="A175">
        <v>501229</v>
      </c>
      <c r="B175" t="s">
        <v>6197</v>
      </c>
      <c r="C175" t="s">
        <v>6013</v>
      </c>
      <c r="D175" t="s">
        <v>5859</v>
      </c>
      <c r="E175">
        <v>1632.83</v>
      </c>
      <c r="F175">
        <v>404685</v>
      </c>
      <c r="G175" s="660">
        <v>44636</v>
      </c>
      <c r="H175" t="s">
        <v>6167</v>
      </c>
    </row>
    <row r="176" spans="1:8">
      <c r="A176">
        <v>501230</v>
      </c>
      <c r="B176" t="s">
        <v>6198</v>
      </c>
      <c r="C176" t="s">
        <v>6078</v>
      </c>
      <c r="D176" t="s">
        <v>5868</v>
      </c>
      <c r="E176">
        <v>1094</v>
      </c>
      <c r="F176">
        <v>401723</v>
      </c>
      <c r="G176" s="660">
        <v>44106</v>
      </c>
      <c r="H176" t="s">
        <v>6199</v>
      </c>
    </row>
    <row r="177" spans="1:8">
      <c r="A177">
        <v>501232</v>
      </c>
      <c r="B177" t="s">
        <v>6200</v>
      </c>
      <c r="C177" t="s">
        <v>1930</v>
      </c>
      <c r="D177" t="s">
        <v>5859</v>
      </c>
      <c r="E177">
        <v>1258</v>
      </c>
      <c r="F177">
        <v>407010</v>
      </c>
      <c r="G177" s="660">
        <v>45153</v>
      </c>
      <c r="H177" t="s">
        <v>6201</v>
      </c>
    </row>
    <row r="178" spans="1:8">
      <c r="A178">
        <v>501233</v>
      </c>
      <c r="B178" t="s">
        <v>6202</v>
      </c>
      <c r="C178" t="s">
        <v>5085</v>
      </c>
      <c r="D178" t="s">
        <v>5859</v>
      </c>
      <c r="E178">
        <v>79.41</v>
      </c>
      <c r="F178">
        <v>401236</v>
      </c>
      <c r="G178" s="660">
        <v>44052</v>
      </c>
      <c r="H178" t="s">
        <v>6203</v>
      </c>
    </row>
    <row r="179" spans="1:8">
      <c r="A179">
        <v>501234</v>
      </c>
      <c r="B179" t="s">
        <v>6204</v>
      </c>
      <c r="C179" t="s">
        <v>1966</v>
      </c>
      <c r="D179" t="s">
        <v>5859</v>
      </c>
      <c r="E179">
        <v>4.71</v>
      </c>
      <c r="F179">
        <v>401131</v>
      </c>
      <c r="G179" s="660">
        <v>44052</v>
      </c>
      <c r="H179" t="s">
        <v>6205</v>
      </c>
    </row>
    <row r="180" spans="1:8">
      <c r="A180">
        <v>501235</v>
      </c>
      <c r="B180" t="s">
        <v>6206</v>
      </c>
      <c r="C180" t="s">
        <v>1665</v>
      </c>
      <c r="D180" t="s">
        <v>5859</v>
      </c>
      <c r="E180">
        <v>215.64</v>
      </c>
      <c r="F180">
        <v>400830</v>
      </c>
      <c r="G180" s="660">
        <v>44010</v>
      </c>
      <c r="H180" t="s">
        <v>6207</v>
      </c>
    </row>
    <row r="181" spans="1:8">
      <c r="A181">
        <v>501237</v>
      </c>
      <c r="B181" t="s">
        <v>6208</v>
      </c>
      <c r="C181" t="s">
        <v>1930</v>
      </c>
      <c r="D181" t="s">
        <v>5859</v>
      </c>
      <c r="E181">
        <v>1.6</v>
      </c>
      <c r="F181">
        <v>406190</v>
      </c>
      <c r="G181" s="660">
        <v>44970</v>
      </c>
      <c r="H181" t="s">
        <v>6209</v>
      </c>
    </row>
    <row r="182" spans="1:8">
      <c r="A182">
        <v>501238</v>
      </c>
      <c r="B182" t="s">
        <v>6210</v>
      </c>
      <c r="C182" t="s">
        <v>1665</v>
      </c>
      <c r="D182" t="s">
        <v>5859</v>
      </c>
      <c r="E182">
        <v>76.25</v>
      </c>
      <c r="F182">
        <v>410084</v>
      </c>
      <c r="G182" s="660">
        <v>45748</v>
      </c>
      <c r="H182" t="s">
        <v>6211</v>
      </c>
    </row>
    <row r="183" spans="1:8">
      <c r="A183">
        <v>501239</v>
      </c>
      <c r="B183" t="s">
        <v>6212</v>
      </c>
      <c r="C183" t="s">
        <v>1966</v>
      </c>
      <c r="D183" t="s">
        <v>5859</v>
      </c>
      <c r="E183">
        <v>3.12</v>
      </c>
      <c r="F183">
        <v>401066</v>
      </c>
      <c r="G183" s="660">
        <v>44034</v>
      </c>
      <c r="H183" t="s">
        <v>6213</v>
      </c>
    </row>
    <row r="184" spans="1:8">
      <c r="A184">
        <v>501240</v>
      </c>
      <c r="B184" t="s">
        <v>6214</v>
      </c>
      <c r="C184" t="s">
        <v>1966</v>
      </c>
      <c r="D184" t="s">
        <v>5859</v>
      </c>
      <c r="E184">
        <v>1.78</v>
      </c>
      <c r="F184">
        <v>401066</v>
      </c>
      <c r="G184" s="660">
        <v>44034</v>
      </c>
      <c r="H184" t="s">
        <v>6215</v>
      </c>
    </row>
    <row r="185" spans="1:8">
      <c r="A185">
        <v>501241</v>
      </c>
      <c r="B185" t="s">
        <v>6216</v>
      </c>
      <c r="D185" t="s">
        <v>5859</v>
      </c>
      <c r="G185" s="660"/>
      <c r="H185" t="s">
        <v>6217</v>
      </c>
    </row>
    <row r="186" spans="1:8">
      <c r="A186">
        <v>501242</v>
      </c>
      <c r="B186" t="s">
        <v>6218</v>
      </c>
      <c r="C186" t="s">
        <v>6219</v>
      </c>
      <c r="D186" t="s">
        <v>5859</v>
      </c>
      <c r="E186">
        <v>1113.19</v>
      </c>
      <c r="F186">
        <v>404159</v>
      </c>
      <c r="G186" s="660">
        <v>44522</v>
      </c>
      <c r="H186" t="s">
        <v>6220</v>
      </c>
    </row>
    <row r="187" spans="1:8">
      <c r="A187">
        <v>501243</v>
      </c>
      <c r="B187" t="s">
        <v>6221</v>
      </c>
      <c r="C187" t="s">
        <v>1930</v>
      </c>
      <c r="D187" t="s">
        <v>5859</v>
      </c>
      <c r="E187">
        <v>13.95</v>
      </c>
      <c r="F187">
        <v>406822</v>
      </c>
      <c r="G187" s="660">
        <v>45106</v>
      </c>
      <c r="H187" t="s">
        <v>6222</v>
      </c>
    </row>
    <row r="188" spans="1:8">
      <c r="A188">
        <v>501244</v>
      </c>
      <c r="B188" t="s">
        <v>6223</v>
      </c>
      <c r="C188" t="s">
        <v>1930</v>
      </c>
      <c r="D188" t="s">
        <v>5859</v>
      </c>
      <c r="E188">
        <v>18.29</v>
      </c>
      <c r="F188">
        <v>406822</v>
      </c>
      <c r="G188" s="660">
        <v>45106</v>
      </c>
      <c r="H188" t="s">
        <v>6224</v>
      </c>
    </row>
    <row r="189" spans="1:8">
      <c r="A189">
        <v>501245</v>
      </c>
      <c r="B189" t="s">
        <v>6225</v>
      </c>
      <c r="C189" t="s">
        <v>1966</v>
      </c>
      <c r="D189" t="s">
        <v>5859</v>
      </c>
      <c r="E189">
        <v>4.8499999999999996</v>
      </c>
      <c r="F189">
        <v>401131</v>
      </c>
      <c r="G189" s="660">
        <v>44052</v>
      </c>
      <c r="H189" t="s">
        <v>6226</v>
      </c>
    </row>
    <row r="190" spans="1:8">
      <c r="A190">
        <v>501247</v>
      </c>
      <c r="B190" t="s">
        <v>6227</v>
      </c>
      <c r="C190" t="s">
        <v>1966</v>
      </c>
      <c r="D190" t="s">
        <v>5859</v>
      </c>
      <c r="E190">
        <v>3.55</v>
      </c>
      <c r="F190">
        <v>401131</v>
      </c>
      <c r="G190" s="660">
        <v>44052</v>
      </c>
      <c r="H190" t="s">
        <v>6228</v>
      </c>
    </row>
    <row r="191" spans="1:8">
      <c r="A191">
        <v>501248</v>
      </c>
      <c r="B191" t="s">
        <v>6229</v>
      </c>
      <c r="C191" t="s">
        <v>1930</v>
      </c>
      <c r="D191" t="s">
        <v>5859</v>
      </c>
      <c r="E191">
        <v>4.21</v>
      </c>
      <c r="F191">
        <v>402560</v>
      </c>
      <c r="G191" s="660">
        <v>44245</v>
      </c>
      <c r="H191" t="s">
        <v>6230</v>
      </c>
    </row>
    <row r="192" spans="1:8">
      <c r="A192">
        <v>501249</v>
      </c>
      <c r="B192" t="s">
        <v>6231</v>
      </c>
      <c r="C192" t="s">
        <v>1930</v>
      </c>
      <c r="D192" t="s">
        <v>5859</v>
      </c>
      <c r="E192">
        <v>5.69</v>
      </c>
      <c r="F192">
        <v>401182</v>
      </c>
      <c r="G192" s="660">
        <v>44047</v>
      </c>
      <c r="H192" t="s">
        <v>2293</v>
      </c>
    </row>
    <row r="193" spans="1:8">
      <c r="A193">
        <v>501250</v>
      </c>
      <c r="B193" t="s">
        <v>6232</v>
      </c>
      <c r="C193" t="s">
        <v>1930</v>
      </c>
      <c r="D193" t="s">
        <v>5859</v>
      </c>
      <c r="E193">
        <v>3.17</v>
      </c>
      <c r="F193">
        <v>401182</v>
      </c>
      <c r="G193" s="660">
        <v>44047</v>
      </c>
      <c r="H193" t="s">
        <v>6233</v>
      </c>
    </row>
    <row r="194" spans="1:8">
      <c r="A194">
        <v>501251</v>
      </c>
      <c r="B194" t="s">
        <v>6234</v>
      </c>
      <c r="C194" t="s">
        <v>1930</v>
      </c>
      <c r="D194" t="s">
        <v>5859</v>
      </c>
      <c r="E194">
        <v>9.84</v>
      </c>
      <c r="F194">
        <v>401182</v>
      </c>
      <c r="G194" s="660">
        <v>44047</v>
      </c>
      <c r="H194" t="s">
        <v>6235</v>
      </c>
    </row>
    <row r="195" spans="1:8">
      <c r="A195">
        <v>501252</v>
      </c>
      <c r="B195" t="s">
        <v>6236</v>
      </c>
      <c r="C195" t="s">
        <v>1966</v>
      </c>
      <c r="D195" t="s">
        <v>5859</v>
      </c>
      <c r="E195">
        <v>11.47</v>
      </c>
      <c r="F195">
        <v>407636</v>
      </c>
      <c r="G195" s="660">
        <v>45272</v>
      </c>
      <c r="H195" t="s">
        <v>6237</v>
      </c>
    </row>
    <row r="196" spans="1:8">
      <c r="A196">
        <v>501253</v>
      </c>
      <c r="B196" t="s">
        <v>6238</v>
      </c>
      <c r="C196" t="s">
        <v>1930</v>
      </c>
      <c r="D196" t="s">
        <v>5859</v>
      </c>
      <c r="E196">
        <v>4.92</v>
      </c>
      <c r="F196">
        <v>408328</v>
      </c>
      <c r="G196" s="660">
        <v>45398</v>
      </c>
      <c r="H196" t="s">
        <v>6239</v>
      </c>
    </row>
    <row r="197" spans="1:8">
      <c r="A197">
        <v>501254</v>
      </c>
      <c r="B197" t="s">
        <v>6240</v>
      </c>
      <c r="C197" t="s">
        <v>1665</v>
      </c>
      <c r="D197" t="s">
        <v>5859</v>
      </c>
      <c r="E197">
        <v>83</v>
      </c>
      <c r="F197">
        <v>408433</v>
      </c>
      <c r="G197" s="660">
        <v>45413</v>
      </c>
      <c r="H197" t="s">
        <v>6241</v>
      </c>
    </row>
    <row r="198" spans="1:8">
      <c r="A198">
        <v>501255</v>
      </c>
      <c r="B198" t="s">
        <v>6242</v>
      </c>
      <c r="C198" t="s">
        <v>1966</v>
      </c>
      <c r="D198" t="s">
        <v>5859</v>
      </c>
      <c r="E198">
        <v>14.15</v>
      </c>
      <c r="F198">
        <v>405075</v>
      </c>
      <c r="G198" s="660">
        <v>44706</v>
      </c>
      <c r="H198" t="s">
        <v>6243</v>
      </c>
    </row>
    <row r="199" spans="1:8">
      <c r="A199">
        <v>501257</v>
      </c>
      <c r="B199" t="s">
        <v>6244</v>
      </c>
      <c r="C199" t="s">
        <v>1966</v>
      </c>
      <c r="D199" t="s">
        <v>5859</v>
      </c>
      <c r="E199">
        <v>47.56</v>
      </c>
      <c r="F199">
        <v>401066</v>
      </c>
      <c r="G199" s="660">
        <v>44034</v>
      </c>
      <c r="H199" t="s">
        <v>2293</v>
      </c>
    </row>
    <row r="200" spans="1:8">
      <c r="A200">
        <v>501258</v>
      </c>
      <c r="B200" t="s">
        <v>6245</v>
      </c>
      <c r="C200" t="s">
        <v>1966</v>
      </c>
      <c r="D200" t="s">
        <v>5859</v>
      </c>
      <c r="E200">
        <v>79.23</v>
      </c>
      <c r="F200">
        <v>401965</v>
      </c>
      <c r="G200" s="660">
        <v>44138</v>
      </c>
      <c r="H200" t="s">
        <v>6246</v>
      </c>
    </row>
    <row r="201" spans="1:8">
      <c r="A201">
        <v>501260</v>
      </c>
      <c r="B201" t="s">
        <v>6247</v>
      </c>
      <c r="C201" t="s">
        <v>1966</v>
      </c>
      <c r="D201" t="s">
        <v>5859</v>
      </c>
      <c r="E201">
        <v>17.21</v>
      </c>
      <c r="F201">
        <v>408371</v>
      </c>
      <c r="G201" s="660">
        <v>45404</v>
      </c>
      <c r="H201" t="s">
        <v>6248</v>
      </c>
    </row>
    <row r="202" spans="1:8">
      <c r="A202">
        <v>501261</v>
      </c>
      <c r="B202" t="s">
        <v>6249</v>
      </c>
      <c r="C202" t="s">
        <v>1966</v>
      </c>
      <c r="D202" t="s">
        <v>5859</v>
      </c>
      <c r="E202">
        <v>4.3600000000000003</v>
      </c>
      <c r="F202">
        <v>408497</v>
      </c>
      <c r="G202" s="660">
        <v>45422</v>
      </c>
      <c r="H202" t="s">
        <v>6250</v>
      </c>
    </row>
    <row r="203" spans="1:8">
      <c r="A203">
        <v>501262</v>
      </c>
      <c r="B203" t="s">
        <v>6251</v>
      </c>
      <c r="C203" t="s">
        <v>1665</v>
      </c>
      <c r="D203" t="s">
        <v>5859</v>
      </c>
      <c r="E203">
        <v>55.32</v>
      </c>
      <c r="F203">
        <v>410333</v>
      </c>
      <c r="G203" s="660">
        <v>45792</v>
      </c>
      <c r="H203" t="s">
        <v>6252</v>
      </c>
    </row>
    <row r="204" spans="1:8">
      <c r="A204">
        <v>501263</v>
      </c>
      <c r="B204" t="s">
        <v>6253</v>
      </c>
      <c r="C204" t="s">
        <v>1665</v>
      </c>
      <c r="D204" t="s">
        <v>5859</v>
      </c>
      <c r="E204">
        <v>56.76</v>
      </c>
      <c r="F204">
        <v>410333</v>
      </c>
      <c r="G204" s="660">
        <v>45792</v>
      </c>
      <c r="H204" t="s">
        <v>6254</v>
      </c>
    </row>
    <row r="205" spans="1:8">
      <c r="A205">
        <v>501264</v>
      </c>
      <c r="B205" t="s">
        <v>6255</v>
      </c>
      <c r="C205" t="s">
        <v>1665</v>
      </c>
      <c r="D205" t="s">
        <v>5859</v>
      </c>
      <c r="E205">
        <v>84.73</v>
      </c>
      <c r="F205">
        <v>410330</v>
      </c>
      <c r="G205" s="660">
        <v>45792</v>
      </c>
      <c r="H205" t="s">
        <v>6256</v>
      </c>
    </row>
    <row r="206" spans="1:8">
      <c r="A206">
        <v>501265</v>
      </c>
      <c r="B206" t="s">
        <v>6257</v>
      </c>
      <c r="C206" t="s">
        <v>1930</v>
      </c>
      <c r="D206" t="s">
        <v>5859</v>
      </c>
      <c r="E206">
        <v>1.42</v>
      </c>
      <c r="F206">
        <v>400936</v>
      </c>
      <c r="G206" s="660">
        <v>44021</v>
      </c>
      <c r="H206" t="s">
        <v>6258</v>
      </c>
    </row>
    <row r="207" spans="1:8">
      <c r="A207">
        <v>501266</v>
      </c>
      <c r="B207" t="s">
        <v>6259</v>
      </c>
      <c r="D207" t="s">
        <v>5859</v>
      </c>
      <c r="G207" s="660"/>
      <c r="H207" t="s">
        <v>6260</v>
      </c>
    </row>
    <row r="208" spans="1:8">
      <c r="A208">
        <v>501267</v>
      </c>
      <c r="B208" t="s">
        <v>6261</v>
      </c>
      <c r="C208" t="s">
        <v>1930</v>
      </c>
      <c r="D208" t="s">
        <v>5859</v>
      </c>
      <c r="E208">
        <v>1.72</v>
      </c>
      <c r="F208">
        <v>401456</v>
      </c>
      <c r="G208" s="660">
        <v>44075</v>
      </c>
      <c r="H208" t="s">
        <v>6262</v>
      </c>
    </row>
    <row r="209" spans="1:8">
      <c r="A209">
        <v>501268</v>
      </c>
      <c r="B209" t="s">
        <v>6263</v>
      </c>
      <c r="C209" t="s">
        <v>1966</v>
      </c>
      <c r="D209" t="s">
        <v>5859</v>
      </c>
      <c r="E209">
        <v>1.7037</v>
      </c>
      <c r="F209">
        <v>408888</v>
      </c>
      <c r="G209" s="660">
        <v>45497</v>
      </c>
      <c r="H209" t="s">
        <v>6264</v>
      </c>
    </row>
    <row r="210" spans="1:8">
      <c r="A210">
        <v>501269</v>
      </c>
      <c r="B210" t="s">
        <v>6265</v>
      </c>
      <c r="C210" t="s">
        <v>1966</v>
      </c>
      <c r="D210" t="s">
        <v>5859</v>
      </c>
      <c r="E210">
        <v>1.6619999999999999</v>
      </c>
      <c r="F210">
        <v>406911</v>
      </c>
      <c r="G210" s="660">
        <v>45131</v>
      </c>
      <c r="H210" t="s">
        <v>6266</v>
      </c>
    </row>
    <row r="211" spans="1:8">
      <c r="A211">
        <v>501270</v>
      </c>
      <c r="B211" t="s">
        <v>6267</v>
      </c>
      <c r="D211" t="s">
        <v>1841</v>
      </c>
      <c r="G211" s="660"/>
      <c r="H211" t="s">
        <v>6268</v>
      </c>
    </row>
    <row r="212" spans="1:8">
      <c r="A212">
        <v>501274</v>
      </c>
      <c r="B212" t="s">
        <v>6269</v>
      </c>
      <c r="C212" t="s">
        <v>1930</v>
      </c>
      <c r="D212" t="s">
        <v>5859</v>
      </c>
      <c r="E212">
        <v>10.67</v>
      </c>
      <c r="F212">
        <v>406824</v>
      </c>
      <c r="G212" s="660">
        <v>45106</v>
      </c>
      <c r="H212" t="s">
        <v>6270</v>
      </c>
    </row>
    <row r="213" spans="1:8">
      <c r="A213">
        <v>501276</v>
      </c>
      <c r="B213" t="s">
        <v>6271</v>
      </c>
      <c r="C213" t="s">
        <v>5951</v>
      </c>
      <c r="D213" t="s">
        <v>5859</v>
      </c>
      <c r="E213">
        <v>42.2</v>
      </c>
      <c r="F213">
        <v>401134</v>
      </c>
      <c r="G213" s="660">
        <v>44042</v>
      </c>
      <c r="H213" t="s">
        <v>6272</v>
      </c>
    </row>
    <row r="214" spans="1:8">
      <c r="A214">
        <v>501277</v>
      </c>
      <c r="B214" t="s">
        <v>6273</v>
      </c>
      <c r="C214" t="s">
        <v>1665</v>
      </c>
      <c r="D214" t="s">
        <v>5859</v>
      </c>
      <c r="E214">
        <v>1664.56</v>
      </c>
      <c r="F214">
        <v>409993</v>
      </c>
      <c r="G214" s="660">
        <v>45728</v>
      </c>
      <c r="H214" t="s">
        <v>6274</v>
      </c>
    </row>
    <row r="215" spans="1:8">
      <c r="A215">
        <v>501278</v>
      </c>
      <c r="B215" t="s">
        <v>6275</v>
      </c>
      <c r="C215" t="s">
        <v>1665</v>
      </c>
      <c r="D215" t="s">
        <v>5859</v>
      </c>
      <c r="E215">
        <v>1981.61</v>
      </c>
      <c r="F215">
        <v>409993</v>
      </c>
      <c r="G215" s="660">
        <v>45728</v>
      </c>
      <c r="H215" t="s">
        <v>6276</v>
      </c>
    </row>
    <row r="216" spans="1:8">
      <c r="A216">
        <v>501280</v>
      </c>
      <c r="B216" t="s">
        <v>6277</v>
      </c>
      <c r="C216" t="s">
        <v>1966</v>
      </c>
      <c r="D216" t="s">
        <v>5859</v>
      </c>
      <c r="E216">
        <v>32.93</v>
      </c>
      <c r="F216">
        <v>401660</v>
      </c>
      <c r="G216" s="660">
        <v>44099</v>
      </c>
      <c r="H216" t="s">
        <v>6278</v>
      </c>
    </row>
    <row r="217" spans="1:8">
      <c r="A217">
        <v>501281</v>
      </c>
      <c r="B217" t="s">
        <v>6279</v>
      </c>
      <c r="C217" t="s">
        <v>1966</v>
      </c>
      <c r="D217" t="s">
        <v>5859</v>
      </c>
      <c r="E217">
        <v>18.45</v>
      </c>
      <c r="F217">
        <v>410185</v>
      </c>
      <c r="G217" s="660">
        <v>45764</v>
      </c>
      <c r="H217" t="s">
        <v>6280</v>
      </c>
    </row>
    <row r="218" spans="1:8">
      <c r="A218">
        <v>501282</v>
      </c>
      <c r="B218" t="s">
        <v>6281</v>
      </c>
      <c r="C218" t="s">
        <v>1966</v>
      </c>
      <c r="D218" t="s">
        <v>5859</v>
      </c>
      <c r="E218">
        <v>19.34</v>
      </c>
      <c r="F218">
        <v>404670</v>
      </c>
      <c r="G218" s="660">
        <v>44635</v>
      </c>
      <c r="H218" t="s">
        <v>6282</v>
      </c>
    </row>
    <row r="219" spans="1:8">
      <c r="A219">
        <v>501284</v>
      </c>
      <c r="B219" t="s">
        <v>6283</v>
      </c>
      <c r="C219" t="s">
        <v>1966</v>
      </c>
      <c r="D219" t="s">
        <v>5859</v>
      </c>
      <c r="E219">
        <v>17.809999999999999</v>
      </c>
      <c r="F219">
        <v>401660</v>
      </c>
      <c r="G219" s="660">
        <v>44099</v>
      </c>
      <c r="H219" t="s">
        <v>6284</v>
      </c>
    </row>
    <row r="220" spans="1:8">
      <c r="A220">
        <v>501288</v>
      </c>
      <c r="B220" t="s">
        <v>6285</v>
      </c>
      <c r="C220" t="s">
        <v>1966</v>
      </c>
      <c r="D220" t="s">
        <v>5859</v>
      </c>
      <c r="E220">
        <v>2.6</v>
      </c>
      <c r="F220">
        <v>410185</v>
      </c>
      <c r="G220" s="660">
        <v>45764</v>
      </c>
      <c r="H220" t="s">
        <v>6286</v>
      </c>
    </row>
    <row r="221" spans="1:8">
      <c r="A221">
        <v>501291</v>
      </c>
      <c r="B221" t="s">
        <v>6287</v>
      </c>
      <c r="D221" t="s">
        <v>5859</v>
      </c>
      <c r="G221" s="660"/>
      <c r="H221" t="s">
        <v>2293</v>
      </c>
    </row>
    <row r="222" spans="1:8">
      <c r="A222">
        <v>501292</v>
      </c>
      <c r="B222" t="s">
        <v>6288</v>
      </c>
      <c r="C222" t="s">
        <v>5412</v>
      </c>
      <c r="D222" t="s">
        <v>2814</v>
      </c>
      <c r="E222">
        <v>11.382999999999999</v>
      </c>
      <c r="F222">
        <v>407120</v>
      </c>
      <c r="G222" s="660">
        <v>45175</v>
      </c>
      <c r="H222" t="s">
        <v>2293</v>
      </c>
    </row>
    <row r="223" spans="1:8">
      <c r="A223">
        <v>501294</v>
      </c>
      <c r="B223" t="s">
        <v>6289</v>
      </c>
      <c r="C223" t="s">
        <v>5412</v>
      </c>
      <c r="D223" t="s">
        <v>2814</v>
      </c>
      <c r="E223">
        <v>9.3800000000000008</v>
      </c>
      <c r="F223">
        <v>406931</v>
      </c>
      <c r="G223" s="660">
        <v>45135</v>
      </c>
      <c r="H223" t="s">
        <v>2293</v>
      </c>
    </row>
    <row r="224" spans="1:8">
      <c r="A224">
        <v>501295</v>
      </c>
      <c r="B224" t="s">
        <v>6290</v>
      </c>
      <c r="C224" t="s">
        <v>5412</v>
      </c>
      <c r="D224" t="s">
        <v>2814</v>
      </c>
      <c r="E224">
        <v>9.93</v>
      </c>
      <c r="F224">
        <v>403527</v>
      </c>
      <c r="G224" s="660">
        <v>44398</v>
      </c>
      <c r="H224" t="s">
        <v>2293</v>
      </c>
    </row>
    <row r="225" spans="1:8">
      <c r="A225">
        <v>501297</v>
      </c>
      <c r="B225" t="s">
        <v>6291</v>
      </c>
      <c r="C225" t="s">
        <v>5412</v>
      </c>
      <c r="D225" t="s">
        <v>2814</v>
      </c>
      <c r="E225">
        <v>14.48</v>
      </c>
      <c r="F225">
        <v>402559</v>
      </c>
      <c r="G225" s="660">
        <v>44245</v>
      </c>
      <c r="H225" t="s">
        <v>2293</v>
      </c>
    </row>
    <row r="226" spans="1:8">
      <c r="A226">
        <v>501299</v>
      </c>
      <c r="B226" t="s">
        <v>6292</v>
      </c>
      <c r="C226" t="s">
        <v>5412</v>
      </c>
      <c r="D226" t="s">
        <v>2814</v>
      </c>
      <c r="E226">
        <v>19.72</v>
      </c>
      <c r="F226">
        <v>402559</v>
      </c>
      <c r="G226" s="660">
        <v>44245</v>
      </c>
      <c r="H226" t="s">
        <v>2293</v>
      </c>
    </row>
    <row r="227" spans="1:8">
      <c r="A227">
        <v>501300</v>
      </c>
      <c r="B227" t="s">
        <v>6293</v>
      </c>
      <c r="C227" t="s">
        <v>5412</v>
      </c>
      <c r="D227" t="s">
        <v>2814</v>
      </c>
      <c r="E227">
        <v>27.47</v>
      </c>
      <c r="F227">
        <v>404580</v>
      </c>
      <c r="G227" s="660">
        <v>44616</v>
      </c>
      <c r="H227" t="s">
        <v>2293</v>
      </c>
    </row>
    <row r="228" spans="1:8">
      <c r="A228">
        <v>501302</v>
      </c>
      <c r="B228" t="s">
        <v>6294</v>
      </c>
      <c r="D228" t="s">
        <v>5859</v>
      </c>
      <c r="G228" s="660"/>
      <c r="H228" t="s">
        <v>2293</v>
      </c>
    </row>
    <row r="229" spans="1:8">
      <c r="A229">
        <v>501304</v>
      </c>
      <c r="B229" t="s">
        <v>6295</v>
      </c>
      <c r="C229" t="s">
        <v>5412</v>
      </c>
      <c r="D229" t="s">
        <v>2814</v>
      </c>
      <c r="E229">
        <v>10.53</v>
      </c>
      <c r="F229">
        <v>407224</v>
      </c>
      <c r="G229" s="660">
        <v>45195</v>
      </c>
      <c r="H229" t="s">
        <v>2293</v>
      </c>
    </row>
    <row r="230" spans="1:8">
      <c r="A230">
        <v>501305</v>
      </c>
      <c r="B230" t="s">
        <v>6296</v>
      </c>
      <c r="D230" t="s">
        <v>2814</v>
      </c>
      <c r="G230" s="660"/>
      <c r="H230" t="s">
        <v>2293</v>
      </c>
    </row>
    <row r="231" spans="1:8">
      <c r="A231">
        <v>501306</v>
      </c>
      <c r="B231" t="s">
        <v>6297</v>
      </c>
      <c r="C231" t="s">
        <v>5412</v>
      </c>
      <c r="D231" t="s">
        <v>2814</v>
      </c>
      <c r="E231">
        <v>11.72</v>
      </c>
      <c r="F231">
        <v>404507</v>
      </c>
      <c r="G231" s="660">
        <v>44603</v>
      </c>
      <c r="H231" t="s">
        <v>2293</v>
      </c>
    </row>
    <row r="232" spans="1:8">
      <c r="A232">
        <v>501307</v>
      </c>
      <c r="B232" t="s">
        <v>6298</v>
      </c>
      <c r="C232" t="s">
        <v>5412</v>
      </c>
      <c r="D232" t="s">
        <v>2814</v>
      </c>
      <c r="E232">
        <v>20.238900000000001</v>
      </c>
      <c r="F232">
        <v>407120</v>
      </c>
      <c r="G232" s="660">
        <v>45175</v>
      </c>
      <c r="H232" t="s">
        <v>2293</v>
      </c>
    </row>
    <row r="233" spans="1:8">
      <c r="A233">
        <v>501308</v>
      </c>
      <c r="B233" t="s">
        <v>6299</v>
      </c>
      <c r="C233" t="s">
        <v>5412</v>
      </c>
      <c r="D233" t="s">
        <v>2814</v>
      </c>
      <c r="E233">
        <v>20.57</v>
      </c>
      <c r="F233">
        <v>405420</v>
      </c>
      <c r="G233" s="660">
        <v>44782</v>
      </c>
      <c r="H233" t="s">
        <v>2293</v>
      </c>
    </row>
    <row r="234" spans="1:8">
      <c r="A234">
        <v>501309</v>
      </c>
      <c r="B234" t="s">
        <v>6300</v>
      </c>
      <c r="C234" t="s">
        <v>5412</v>
      </c>
      <c r="D234" t="s">
        <v>2814</v>
      </c>
      <c r="E234">
        <v>30.41</v>
      </c>
      <c r="F234">
        <v>408780</v>
      </c>
      <c r="G234" s="660">
        <v>45474</v>
      </c>
      <c r="H234" t="s">
        <v>2293</v>
      </c>
    </row>
    <row r="235" spans="1:8">
      <c r="A235">
        <v>501310</v>
      </c>
      <c r="B235" t="s">
        <v>6301</v>
      </c>
      <c r="C235" t="s">
        <v>5412</v>
      </c>
      <c r="D235" t="s">
        <v>5859</v>
      </c>
      <c r="E235">
        <v>36.090000000000003</v>
      </c>
      <c r="F235">
        <v>407224</v>
      </c>
      <c r="G235" s="660">
        <v>45195</v>
      </c>
      <c r="H235" t="s">
        <v>2293</v>
      </c>
    </row>
    <row r="236" spans="1:8">
      <c r="A236">
        <v>501311</v>
      </c>
      <c r="B236" t="s">
        <v>6302</v>
      </c>
      <c r="C236" t="s">
        <v>5412</v>
      </c>
      <c r="D236" t="s">
        <v>2814</v>
      </c>
      <c r="E236">
        <v>36.090000000000003</v>
      </c>
      <c r="F236">
        <v>406931</v>
      </c>
      <c r="G236" s="660">
        <v>45135</v>
      </c>
      <c r="H236" t="s">
        <v>2293</v>
      </c>
    </row>
    <row r="237" spans="1:8">
      <c r="A237">
        <v>501312</v>
      </c>
      <c r="B237" t="s">
        <v>6303</v>
      </c>
      <c r="D237" t="s">
        <v>2814</v>
      </c>
      <c r="G237" s="660"/>
      <c r="H237" t="s">
        <v>2293</v>
      </c>
    </row>
    <row r="238" spans="1:8">
      <c r="A238">
        <v>501313</v>
      </c>
      <c r="B238" t="s">
        <v>6304</v>
      </c>
      <c r="D238" t="s">
        <v>5859</v>
      </c>
      <c r="G238" s="660"/>
      <c r="H238" t="s">
        <v>2293</v>
      </c>
    </row>
    <row r="239" spans="1:8">
      <c r="A239">
        <v>501315</v>
      </c>
      <c r="B239" t="s">
        <v>6305</v>
      </c>
      <c r="C239" t="s">
        <v>1966</v>
      </c>
      <c r="D239" t="s">
        <v>5859</v>
      </c>
      <c r="E239">
        <v>2.38</v>
      </c>
      <c r="F239">
        <v>401331</v>
      </c>
      <c r="G239" s="660">
        <v>44060</v>
      </c>
      <c r="H239" t="s">
        <v>6306</v>
      </c>
    </row>
    <row r="240" spans="1:8">
      <c r="A240">
        <v>501316</v>
      </c>
      <c r="B240" t="s">
        <v>6307</v>
      </c>
      <c r="C240" t="s">
        <v>1966</v>
      </c>
      <c r="D240" t="s">
        <v>5859</v>
      </c>
      <c r="E240">
        <v>3.7</v>
      </c>
      <c r="F240">
        <v>401331</v>
      </c>
      <c r="G240" s="660">
        <v>44060</v>
      </c>
      <c r="H240" t="s">
        <v>6308</v>
      </c>
    </row>
    <row r="241" spans="1:8">
      <c r="A241">
        <v>501317</v>
      </c>
      <c r="B241" t="s">
        <v>6309</v>
      </c>
      <c r="C241" t="s">
        <v>1966</v>
      </c>
      <c r="D241" t="s">
        <v>5859</v>
      </c>
      <c r="E241">
        <v>12.2</v>
      </c>
      <c r="F241">
        <v>401331</v>
      </c>
      <c r="G241" s="660">
        <v>44060</v>
      </c>
      <c r="H241" t="s">
        <v>6310</v>
      </c>
    </row>
    <row r="242" spans="1:8">
      <c r="A242">
        <v>501318</v>
      </c>
      <c r="B242" t="s">
        <v>6311</v>
      </c>
      <c r="C242" t="s">
        <v>1966</v>
      </c>
      <c r="D242" t="s">
        <v>5859</v>
      </c>
      <c r="E242">
        <v>1.1910000000000001</v>
      </c>
      <c r="F242">
        <v>410021</v>
      </c>
      <c r="G242" s="660">
        <v>45735</v>
      </c>
      <c r="H242" t="s">
        <v>6312</v>
      </c>
    </row>
    <row r="243" spans="1:8">
      <c r="A243">
        <v>501319</v>
      </c>
      <c r="B243" t="s">
        <v>6313</v>
      </c>
      <c r="C243" t="s">
        <v>1966</v>
      </c>
      <c r="D243" t="s">
        <v>5859</v>
      </c>
      <c r="E243">
        <v>19.29</v>
      </c>
      <c r="F243">
        <v>410185</v>
      </c>
      <c r="G243" s="660">
        <v>45764</v>
      </c>
      <c r="H243" t="s">
        <v>6314</v>
      </c>
    </row>
    <row r="244" spans="1:8">
      <c r="A244">
        <v>501320</v>
      </c>
      <c r="B244" t="s">
        <v>6315</v>
      </c>
      <c r="C244" t="s">
        <v>5951</v>
      </c>
      <c r="D244" t="s">
        <v>5859</v>
      </c>
      <c r="E244">
        <v>349.57</v>
      </c>
      <c r="F244">
        <v>409737</v>
      </c>
      <c r="G244" s="660">
        <v>45685</v>
      </c>
      <c r="H244" t="s">
        <v>6316</v>
      </c>
    </row>
    <row r="245" spans="1:8">
      <c r="A245">
        <v>501321</v>
      </c>
      <c r="B245" t="s">
        <v>6317</v>
      </c>
      <c r="C245" t="s">
        <v>5864</v>
      </c>
      <c r="D245" t="s">
        <v>5859</v>
      </c>
      <c r="E245">
        <v>809.6</v>
      </c>
      <c r="F245">
        <v>409200</v>
      </c>
      <c r="G245" s="660">
        <v>45561</v>
      </c>
      <c r="H245" t="s">
        <v>6318</v>
      </c>
    </row>
    <row r="246" spans="1:8">
      <c r="A246">
        <v>501322</v>
      </c>
      <c r="B246" t="s">
        <v>6319</v>
      </c>
      <c r="C246" t="s">
        <v>1930</v>
      </c>
      <c r="D246" t="s">
        <v>5859</v>
      </c>
      <c r="E246">
        <v>20.7</v>
      </c>
      <c r="F246">
        <v>408328</v>
      </c>
      <c r="G246" s="660">
        <v>45398</v>
      </c>
      <c r="H246" t="s">
        <v>6320</v>
      </c>
    </row>
    <row r="247" spans="1:8">
      <c r="A247">
        <v>501323</v>
      </c>
      <c r="B247" t="s">
        <v>6321</v>
      </c>
      <c r="D247" t="s">
        <v>962</v>
      </c>
      <c r="G247" s="660"/>
      <c r="H247" t="s">
        <v>6322</v>
      </c>
    </row>
    <row r="248" spans="1:8">
      <c r="A248">
        <v>501325</v>
      </c>
      <c r="B248" t="s">
        <v>6323</v>
      </c>
      <c r="C248" t="s">
        <v>1665</v>
      </c>
      <c r="D248" t="s">
        <v>5859</v>
      </c>
      <c r="E248">
        <v>50</v>
      </c>
      <c r="F248">
        <v>409294</v>
      </c>
      <c r="G248" s="660">
        <v>45582</v>
      </c>
      <c r="H248" t="s">
        <v>6324</v>
      </c>
    </row>
    <row r="249" spans="1:8">
      <c r="A249">
        <v>501326</v>
      </c>
      <c r="B249" t="s">
        <v>6325</v>
      </c>
      <c r="C249" t="s">
        <v>1665</v>
      </c>
      <c r="D249" t="s">
        <v>5859</v>
      </c>
      <c r="E249">
        <v>3.23</v>
      </c>
      <c r="F249">
        <v>402576</v>
      </c>
      <c r="G249" s="660">
        <v>44246</v>
      </c>
      <c r="H249" t="s">
        <v>6326</v>
      </c>
    </row>
    <row r="250" spans="1:8">
      <c r="A250">
        <v>501327</v>
      </c>
      <c r="B250" t="s">
        <v>6327</v>
      </c>
      <c r="C250" t="s">
        <v>1966</v>
      </c>
      <c r="D250" t="s">
        <v>5859</v>
      </c>
      <c r="E250">
        <v>6.69</v>
      </c>
      <c r="F250">
        <v>401240</v>
      </c>
      <c r="G250" s="660">
        <v>44053</v>
      </c>
      <c r="H250" t="s">
        <v>6328</v>
      </c>
    </row>
    <row r="251" spans="1:8">
      <c r="A251">
        <v>501328</v>
      </c>
      <c r="B251" t="s">
        <v>6329</v>
      </c>
      <c r="C251" t="s">
        <v>1665</v>
      </c>
      <c r="D251" t="s">
        <v>5859</v>
      </c>
      <c r="E251">
        <v>266.32</v>
      </c>
      <c r="F251">
        <v>405773</v>
      </c>
      <c r="G251" s="660">
        <v>44862</v>
      </c>
      <c r="H251" t="s">
        <v>6330</v>
      </c>
    </row>
    <row r="252" spans="1:8">
      <c r="A252">
        <v>501329</v>
      </c>
      <c r="B252" t="s">
        <v>6331</v>
      </c>
      <c r="C252" t="s">
        <v>5972</v>
      </c>
      <c r="D252" t="s">
        <v>5859</v>
      </c>
      <c r="E252">
        <v>12.28</v>
      </c>
      <c r="F252">
        <v>403940</v>
      </c>
      <c r="G252" s="660">
        <v>44482</v>
      </c>
      <c r="H252" t="s">
        <v>6332</v>
      </c>
    </row>
    <row r="253" spans="1:8">
      <c r="A253">
        <v>501330</v>
      </c>
      <c r="B253" t="s">
        <v>6333</v>
      </c>
      <c r="C253" t="s">
        <v>1966</v>
      </c>
      <c r="D253" t="s">
        <v>5859</v>
      </c>
      <c r="E253">
        <v>20.56</v>
      </c>
      <c r="F253">
        <v>402561</v>
      </c>
      <c r="G253" s="660">
        <v>44245</v>
      </c>
      <c r="H253" t="s">
        <v>6334</v>
      </c>
    </row>
    <row r="254" spans="1:8">
      <c r="A254">
        <v>501331</v>
      </c>
      <c r="B254" t="s">
        <v>6335</v>
      </c>
      <c r="C254" t="s">
        <v>6336</v>
      </c>
      <c r="D254" t="s">
        <v>5859</v>
      </c>
      <c r="E254">
        <v>64.37</v>
      </c>
      <c r="F254">
        <v>408437</v>
      </c>
      <c r="G254" s="660">
        <v>45413</v>
      </c>
      <c r="H254" t="s">
        <v>6337</v>
      </c>
    </row>
    <row r="255" spans="1:8">
      <c r="A255">
        <v>501332</v>
      </c>
      <c r="B255" t="s">
        <v>6338</v>
      </c>
      <c r="C255" t="s">
        <v>1966</v>
      </c>
      <c r="D255" t="s">
        <v>5859</v>
      </c>
      <c r="E255">
        <v>32.32</v>
      </c>
      <c r="F255">
        <v>410347</v>
      </c>
      <c r="G255" s="660">
        <v>45793</v>
      </c>
      <c r="H255" t="s">
        <v>6339</v>
      </c>
    </row>
    <row r="256" spans="1:8">
      <c r="A256">
        <v>501333</v>
      </c>
      <c r="B256" t="s">
        <v>6340</v>
      </c>
      <c r="C256" t="s">
        <v>1930</v>
      </c>
      <c r="D256" t="s">
        <v>5859</v>
      </c>
      <c r="E256">
        <v>2.0499999999999998</v>
      </c>
      <c r="F256">
        <v>402512</v>
      </c>
      <c r="G256" s="660">
        <v>44238</v>
      </c>
      <c r="H256" t="s">
        <v>6341</v>
      </c>
    </row>
    <row r="257" spans="1:8">
      <c r="A257">
        <v>501334</v>
      </c>
      <c r="B257" t="s">
        <v>6342</v>
      </c>
      <c r="C257" t="s">
        <v>1966</v>
      </c>
      <c r="D257" t="s">
        <v>5859</v>
      </c>
      <c r="E257">
        <v>16.940000000000001</v>
      </c>
      <c r="F257">
        <v>401314</v>
      </c>
      <c r="G257" s="660">
        <v>44057</v>
      </c>
      <c r="H257" t="s">
        <v>6343</v>
      </c>
    </row>
    <row r="258" spans="1:8">
      <c r="A258">
        <v>501335</v>
      </c>
      <c r="B258" t="s">
        <v>6344</v>
      </c>
      <c r="C258" t="s">
        <v>1930</v>
      </c>
      <c r="D258" t="s">
        <v>5859</v>
      </c>
      <c r="E258">
        <v>26.64</v>
      </c>
      <c r="F258">
        <v>401397</v>
      </c>
      <c r="G258" s="660">
        <v>44068</v>
      </c>
      <c r="H258" t="s">
        <v>6345</v>
      </c>
    </row>
    <row r="259" spans="1:8">
      <c r="A259">
        <v>501336</v>
      </c>
      <c r="B259" t="s">
        <v>6346</v>
      </c>
      <c r="C259" t="s">
        <v>6347</v>
      </c>
      <c r="D259" t="s">
        <v>5901</v>
      </c>
      <c r="E259">
        <v>3600</v>
      </c>
      <c r="F259">
        <v>402482</v>
      </c>
      <c r="G259" s="660">
        <v>44235</v>
      </c>
      <c r="H259" t="s">
        <v>6348</v>
      </c>
    </row>
    <row r="260" spans="1:8">
      <c r="A260">
        <v>501337</v>
      </c>
      <c r="B260" t="s">
        <v>793</v>
      </c>
      <c r="C260" t="s">
        <v>5808</v>
      </c>
      <c r="D260" t="s">
        <v>5859</v>
      </c>
      <c r="E260">
        <v>0.7</v>
      </c>
      <c r="F260">
        <v>406022</v>
      </c>
      <c r="G260" s="660">
        <v>44932</v>
      </c>
      <c r="H260" t="s">
        <v>6349</v>
      </c>
    </row>
    <row r="261" spans="1:8">
      <c r="A261">
        <v>501338</v>
      </c>
      <c r="B261" t="s">
        <v>794</v>
      </c>
      <c r="C261" t="s">
        <v>5808</v>
      </c>
      <c r="D261" t="s">
        <v>5859</v>
      </c>
      <c r="E261">
        <v>0.65</v>
      </c>
      <c r="F261">
        <v>406022</v>
      </c>
      <c r="G261" s="660">
        <v>44932</v>
      </c>
      <c r="H261" t="s">
        <v>6350</v>
      </c>
    </row>
    <row r="262" spans="1:8">
      <c r="A262">
        <v>501339</v>
      </c>
      <c r="B262" t="s">
        <v>6351</v>
      </c>
      <c r="C262" t="s">
        <v>6352</v>
      </c>
      <c r="D262" t="s">
        <v>5859</v>
      </c>
      <c r="E262">
        <v>23.65</v>
      </c>
      <c r="F262">
        <v>403384</v>
      </c>
      <c r="G262" s="660">
        <v>44375</v>
      </c>
      <c r="H262" t="s">
        <v>6353</v>
      </c>
    </row>
    <row r="263" spans="1:8">
      <c r="A263">
        <v>501340</v>
      </c>
      <c r="B263" t="s">
        <v>6354</v>
      </c>
      <c r="C263" t="s">
        <v>6352</v>
      </c>
      <c r="D263" t="s">
        <v>5859</v>
      </c>
      <c r="E263">
        <v>4.74</v>
      </c>
      <c r="F263">
        <v>403384</v>
      </c>
      <c r="G263" s="660">
        <v>44375</v>
      </c>
      <c r="H263" t="s">
        <v>6355</v>
      </c>
    </row>
    <row r="264" spans="1:8">
      <c r="A264">
        <v>501341</v>
      </c>
      <c r="B264" t="s">
        <v>6356</v>
      </c>
      <c r="C264" t="s">
        <v>1966</v>
      </c>
      <c r="D264" t="s">
        <v>5859</v>
      </c>
      <c r="E264">
        <v>0.29399999999999998</v>
      </c>
      <c r="F264">
        <v>406845</v>
      </c>
      <c r="G264" s="660">
        <v>45117</v>
      </c>
      <c r="H264" t="s">
        <v>6357</v>
      </c>
    </row>
    <row r="265" spans="1:8">
      <c r="A265">
        <v>501343</v>
      </c>
      <c r="B265" t="s">
        <v>6358</v>
      </c>
      <c r="C265" t="s">
        <v>5941</v>
      </c>
      <c r="D265" t="s">
        <v>5859</v>
      </c>
      <c r="E265">
        <v>28.31</v>
      </c>
      <c r="F265">
        <v>410187</v>
      </c>
      <c r="G265" s="660">
        <v>45764</v>
      </c>
      <c r="H265" t="s">
        <v>6359</v>
      </c>
    </row>
    <row r="266" spans="1:8">
      <c r="A266">
        <v>501344</v>
      </c>
      <c r="B266" t="s">
        <v>6360</v>
      </c>
      <c r="C266" t="s">
        <v>1665</v>
      </c>
      <c r="D266" t="s">
        <v>5859</v>
      </c>
      <c r="E266">
        <v>91.42</v>
      </c>
      <c r="F266">
        <v>402264</v>
      </c>
      <c r="G266" s="660">
        <v>44205</v>
      </c>
      <c r="H266" t="s">
        <v>6361</v>
      </c>
    </row>
    <row r="267" spans="1:8">
      <c r="A267">
        <v>501348</v>
      </c>
      <c r="B267" t="s">
        <v>6362</v>
      </c>
      <c r="C267" t="s">
        <v>1908</v>
      </c>
      <c r="D267" t="s">
        <v>5859</v>
      </c>
      <c r="E267">
        <v>0.52</v>
      </c>
      <c r="F267">
        <v>401689</v>
      </c>
      <c r="G267" s="660">
        <v>44103</v>
      </c>
      <c r="H267" t="s">
        <v>6363</v>
      </c>
    </row>
    <row r="268" spans="1:8">
      <c r="A268">
        <v>501350</v>
      </c>
      <c r="B268" t="s">
        <v>6364</v>
      </c>
      <c r="C268" t="s">
        <v>1908</v>
      </c>
      <c r="D268" t="s">
        <v>5859</v>
      </c>
      <c r="E268">
        <v>0.44</v>
      </c>
      <c r="F268">
        <v>401689</v>
      </c>
      <c r="G268" s="660">
        <v>44103</v>
      </c>
      <c r="H268" t="s">
        <v>6365</v>
      </c>
    </row>
    <row r="269" spans="1:8">
      <c r="A269">
        <v>501351</v>
      </c>
      <c r="B269" t="s">
        <v>6366</v>
      </c>
      <c r="C269" t="s">
        <v>1908</v>
      </c>
      <c r="D269" t="s">
        <v>5859</v>
      </c>
      <c r="E269">
        <v>0.42</v>
      </c>
      <c r="F269">
        <v>401689</v>
      </c>
      <c r="G269" s="660">
        <v>44103</v>
      </c>
      <c r="H269" t="s">
        <v>6367</v>
      </c>
    </row>
    <row r="270" spans="1:8">
      <c r="A270">
        <v>501352</v>
      </c>
      <c r="B270" t="s">
        <v>6368</v>
      </c>
      <c r="C270" t="s">
        <v>1908</v>
      </c>
      <c r="D270" t="s">
        <v>5859</v>
      </c>
      <c r="E270">
        <v>0.46</v>
      </c>
      <c r="F270">
        <v>401689</v>
      </c>
      <c r="G270" s="660">
        <v>44103</v>
      </c>
      <c r="H270" t="s">
        <v>6369</v>
      </c>
    </row>
    <row r="271" spans="1:8">
      <c r="A271">
        <v>501353</v>
      </c>
      <c r="B271" t="s">
        <v>6370</v>
      </c>
      <c r="C271" t="s">
        <v>1908</v>
      </c>
      <c r="D271" t="s">
        <v>5859</v>
      </c>
      <c r="E271">
        <v>0.43</v>
      </c>
      <c r="F271">
        <v>401689</v>
      </c>
      <c r="G271" s="660">
        <v>44103</v>
      </c>
      <c r="H271" t="s">
        <v>6371</v>
      </c>
    </row>
    <row r="272" spans="1:8">
      <c r="A272">
        <v>501354</v>
      </c>
      <c r="B272" t="s">
        <v>6372</v>
      </c>
      <c r="C272" t="s">
        <v>1908</v>
      </c>
      <c r="D272" t="s">
        <v>5859</v>
      </c>
      <c r="E272">
        <v>0.4</v>
      </c>
      <c r="F272">
        <v>401689</v>
      </c>
      <c r="G272" s="660">
        <v>44103</v>
      </c>
      <c r="H272" t="s">
        <v>6373</v>
      </c>
    </row>
    <row r="273" spans="1:8">
      <c r="A273">
        <v>501361</v>
      </c>
      <c r="B273" t="s">
        <v>6374</v>
      </c>
      <c r="C273" t="s">
        <v>5951</v>
      </c>
      <c r="D273" t="s">
        <v>5859</v>
      </c>
      <c r="E273">
        <v>238.93</v>
      </c>
      <c r="F273">
        <v>401962</v>
      </c>
      <c r="G273" s="660">
        <v>44138</v>
      </c>
      <c r="H273" t="s">
        <v>6375</v>
      </c>
    </row>
    <row r="274" spans="1:8">
      <c r="A274">
        <v>501362</v>
      </c>
      <c r="B274" t="s">
        <v>6376</v>
      </c>
      <c r="C274" t="s">
        <v>1665</v>
      </c>
      <c r="D274" t="s">
        <v>5859</v>
      </c>
      <c r="E274">
        <v>63.38</v>
      </c>
      <c r="F274">
        <v>402668</v>
      </c>
      <c r="G274" s="660">
        <v>44257</v>
      </c>
      <c r="H274" t="s">
        <v>6377</v>
      </c>
    </row>
    <row r="275" spans="1:8">
      <c r="A275">
        <v>501365</v>
      </c>
      <c r="B275" t="s">
        <v>6378</v>
      </c>
      <c r="C275" t="s">
        <v>1665</v>
      </c>
      <c r="D275" t="s">
        <v>5859</v>
      </c>
      <c r="E275">
        <v>109.24</v>
      </c>
      <c r="F275">
        <v>401979</v>
      </c>
      <c r="G275" s="660">
        <v>44140</v>
      </c>
      <c r="H275" t="s">
        <v>6379</v>
      </c>
    </row>
    <row r="276" spans="1:8">
      <c r="A276">
        <v>501366</v>
      </c>
      <c r="B276" t="s">
        <v>6380</v>
      </c>
      <c r="C276" t="s">
        <v>1665</v>
      </c>
      <c r="D276" t="s">
        <v>5859</v>
      </c>
      <c r="E276">
        <v>44.32</v>
      </c>
      <c r="F276">
        <v>401979</v>
      </c>
      <c r="G276" s="660">
        <v>44140</v>
      </c>
      <c r="H276" t="s">
        <v>6381</v>
      </c>
    </row>
    <row r="277" spans="1:8">
      <c r="A277">
        <v>501368</v>
      </c>
      <c r="B277" t="s">
        <v>6382</v>
      </c>
      <c r="C277" t="s">
        <v>1966</v>
      </c>
      <c r="D277" t="s">
        <v>5859</v>
      </c>
      <c r="E277">
        <v>19.3</v>
      </c>
      <c r="F277">
        <v>402135</v>
      </c>
      <c r="G277" s="660">
        <v>44179</v>
      </c>
      <c r="H277" t="s">
        <v>6383</v>
      </c>
    </row>
    <row r="278" spans="1:8">
      <c r="A278">
        <v>501370</v>
      </c>
      <c r="B278" t="s">
        <v>6384</v>
      </c>
      <c r="D278" t="s">
        <v>5859</v>
      </c>
      <c r="G278" s="660"/>
      <c r="H278" t="s">
        <v>6385</v>
      </c>
    </row>
    <row r="279" spans="1:8">
      <c r="A279">
        <v>501371</v>
      </c>
      <c r="B279" t="s">
        <v>6386</v>
      </c>
      <c r="C279" t="s">
        <v>1852</v>
      </c>
      <c r="D279" t="s">
        <v>5859</v>
      </c>
      <c r="E279">
        <v>2.74</v>
      </c>
      <c r="F279">
        <v>408735</v>
      </c>
      <c r="G279" s="660">
        <v>45462</v>
      </c>
      <c r="H279" t="s">
        <v>6387</v>
      </c>
    </row>
    <row r="280" spans="1:8">
      <c r="A280">
        <v>501372</v>
      </c>
      <c r="B280" t="s">
        <v>6388</v>
      </c>
      <c r="C280" t="s">
        <v>1930</v>
      </c>
      <c r="D280" t="s">
        <v>5859</v>
      </c>
      <c r="E280">
        <v>8.1300000000000008</v>
      </c>
      <c r="F280">
        <v>408328</v>
      </c>
      <c r="G280" s="660">
        <v>45398</v>
      </c>
      <c r="H280" t="s">
        <v>6389</v>
      </c>
    </row>
    <row r="281" spans="1:8">
      <c r="A281">
        <v>501373</v>
      </c>
      <c r="B281" t="s">
        <v>6390</v>
      </c>
      <c r="C281" t="s">
        <v>1930</v>
      </c>
      <c r="D281" t="s">
        <v>5859</v>
      </c>
      <c r="E281">
        <v>9.2200000000000006</v>
      </c>
      <c r="F281">
        <v>408435</v>
      </c>
      <c r="G281" s="660">
        <v>45413</v>
      </c>
      <c r="H281" t="s">
        <v>6391</v>
      </c>
    </row>
    <row r="282" spans="1:8">
      <c r="A282">
        <v>501375</v>
      </c>
      <c r="B282" t="s">
        <v>6392</v>
      </c>
      <c r="C282" t="s">
        <v>1930</v>
      </c>
      <c r="D282" t="s">
        <v>5859</v>
      </c>
      <c r="E282">
        <v>7.02</v>
      </c>
      <c r="F282">
        <v>402560</v>
      </c>
      <c r="G282" s="660">
        <v>44245</v>
      </c>
      <c r="H282" t="s">
        <v>6393</v>
      </c>
    </row>
    <row r="283" spans="1:8">
      <c r="A283">
        <v>501376</v>
      </c>
      <c r="B283" t="s">
        <v>6394</v>
      </c>
      <c r="C283" t="s">
        <v>1930</v>
      </c>
      <c r="D283" t="s">
        <v>5859</v>
      </c>
      <c r="E283">
        <v>1.71</v>
      </c>
      <c r="F283">
        <v>402560</v>
      </c>
      <c r="G283" s="660">
        <v>44245</v>
      </c>
      <c r="H283" t="s">
        <v>6395</v>
      </c>
    </row>
    <row r="284" spans="1:8">
      <c r="A284">
        <v>501377</v>
      </c>
      <c r="B284" t="s">
        <v>6396</v>
      </c>
      <c r="C284" t="s">
        <v>1930</v>
      </c>
      <c r="D284" t="s">
        <v>5859</v>
      </c>
      <c r="E284">
        <v>2.87</v>
      </c>
      <c r="F284">
        <v>402560</v>
      </c>
      <c r="G284" s="660">
        <v>44245</v>
      </c>
      <c r="H284" t="s">
        <v>6397</v>
      </c>
    </row>
    <row r="285" spans="1:8">
      <c r="A285">
        <v>501378</v>
      </c>
      <c r="B285" t="s">
        <v>6398</v>
      </c>
      <c r="C285" t="s">
        <v>1930</v>
      </c>
      <c r="D285" t="s">
        <v>5859</v>
      </c>
      <c r="E285">
        <v>4.72</v>
      </c>
      <c r="F285">
        <v>408328</v>
      </c>
      <c r="G285" s="660">
        <v>45398</v>
      </c>
      <c r="H285" t="s">
        <v>6399</v>
      </c>
    </row>
    <row r="286" spans="1:8">
      <c r="A286">
        <v>501379</v>
      </c>
      <c r="B286" t="s">
        <v>6400</v>
      </c>
      <c r="C286" t="s">
        <v>1930</v>
      </c>
      <c r="D286" t="s">
        <v>5859</v>
      </c>
      <c r="E286">
        <v>5.69</v>
      </c>
      <c r="F286">
        <v>408435</v>
      </c>
      <c r="G286" s="660">
        <v>45413</v>
      </c>
      <c r="H286" t="s">
        <v>6401</v>
      </c>
    </row>
    <row r="287" spans="1:8">
      <c r="A287">
        <v>501380</v>
      </c>
      <c r="B287" t="s">
        <v>6402</v>
      </c>
      <c r="C287" t="s">
        <v>1930</v>
      </c>
      <c r="D287" t="s">
        <v>5859</v>
      </c>
      <c r="E287">
        <v>25.28</v>
      </c>
      <c r="F287">
        <v>408435</v>
      </c>
      <c r="G287" s="660">
        <v>45413</v>
      </c>
      <c r="H287" t="s">
        <v>6403</v>
      </c>
    </row>
    <row r="288" spans="1:8">
      <c r="A288">
        <v>501381</v>
      </c>
      <c r="B288" t="s">
        <v>6404</v>
      </c>
      <c r="C288" t="s">
        <v>1930</v>
      </c>
      <c r="D288" t="s">
        <v>5859</v>
      </c>
      <c r="E288">
        <v>3.57</v>
      </c>
      <c r="F288">
        <v>408435</v>
      </c>
      <c r="G288" s="660">
        <v>45413</v>
      </c>
      <c r="H288" t="s">
        <v>6405</v>
      </c>
    </row>
    <row r="289" spans="1:8">
      <c r="A289">
        <v>501382</v>
      </c>
      <c r="B289" t="s">
        <v>6406</v>
      </c>
      <c r="C289" t="s">
        <v>1930</v>
      </c>
      <c r="D289" t="s">
        <v>5859</v>
      </c>
      <c r="E289">
        <v>3.69</v>
      </c>
      <c r="F289">
        <v>402560</v>
      </c>
      <c r="G289" s="660">
        <v>44245</v>
      </c>
      <c r="H289" t="s">
        <v>6407</v>
      </c>
    </row>
    <row r="290" spans="1:8">
      <c r="A290">
        <v>501383</v>
      </c>
      <c r="B290" t="s">
        <v>6408</v>
      </c>
      <c r="C290" t="s">
        <v>5412</v>
      </c>
      <c r="D290" t="s">
        <v>5859</v>
      </c>
      <c r="E290">
        <v>1.27</v>
      </c>
      <c r="F290">
        <v>408337</v>
      </c>
      <c r="G290" s="660">
        <v>45399</v>
      </c>
      <c r="H290" t="s">
        <v>6409</v>
      </c>
    </row>
    <row r="291" spans="1:8">
      <c r="A291">
        <v>501385</v>
      </c>
      <c r="B291" t="s">
        <v>6410</v>
      </c>
      <c r="C291" t="s">
        <v>1665</v>
      </c>
      <c r="D291" t="s">
        <v>5859</v>
      </c>
      <c r="E291">
        <v>30</v>
      </c>
      <c r="F291">
        <v>406131</v>
      </c>
      <c r="G291" s="660">
        <v>44957</v>
      </c>
      <c r="H291" t="s">
        <v>6411</v>
      </c>
    </row>
    <row r="292" spans="1:8">
      <c r="A292">
        <v>501388</v>
      </c>
      <c r="B292" t="s">
        <v>6412</v>
      </c>
      <c r="C292" t="s">
        <v>5864</v>
      </c>
      <c r="D292" t="s">
        <v>5859</v>
      </c>
      <c r="E292">
        <v>656.7</v>
      </c>
      <c r="F292">
        <v>409445</v>
      </c>
      <c r="G292" s="660">
        <v>45608</v>
      </c>
      <c r="H292" t="s">
        <v>6413</v>
      </c>
    </row>
    <row r="293" spans="1:8">
      <c r="A293">
        <v>501390</v>
      </c>
      <c r="B293" t="s">
        <v>6414</v>
      </c>
      <c r="C293" t="s">
        <v>5951</v>
      </c>
      <c r="D293" t="s">
        <v>5859</v>
      </c>
      <c r="E293">
        <v>539.65</v>
      </c>
      <c r="F293">
        <v>408526</v>
      </c>
      <c r="G293" s="660">
        <v>45427</v>
      </c>
      <c r="H293" t="s">
        <v>6415</v>
      </c>
    </row>
    <row r="294" spans="1:8">
      <c r="A294">
        <v>501391</v>
      </c>
      <c r="B294" t="s">
        <v>6416</v>
      </c>
      <c r="D294" t="s">
        <v>5859</v>
      </c>
      <c r="G294" s="660"/>
      <c r="H294" t="s">
        <v>6417</v>
      </c>
    </row>
    <row r="295" spans="1:8">
      <c r="A295">
        <v>501392</v>
      </c>
      <c r="B295" t="s">
        <v>6418</v>
      </c>
      <c r="C295" t="s">
        <v>5864</v>
      </c>
      <c r="D295" t="s">
        <v>5859</v>
      </c>
      <c r="E295">
        <v>1394.8</v>
      </c>
      <c r="F295">
        <v>401959</v>
      </c>
      <c r="G295" s="660">
        <v>44138</v>
      </c>
      <c r="H295" t="s">
        <v>6419</v>
      </c>
    </row>
    <row r="296" spans="1:8">
      <c r="A296">
        <v>501393</v>
      </c>
      <c r="B296" t="s">
        <v>6420</v>
      </c>
      <c r="C296" t="s">
        <v>1930</v>
      </c>
      <c r="D296" t="s">
        <v>5859</v>
      </c>
      <c r="E296">
        <v>196.14</v>
      </c>
      <c r="F296">
        <v>403922</v>
      </c>
      <c r="G296" s="660">
        <v>44480</v>
      </c>
      <c r="H296" t="s">
        <v>6421</v>
      </c>
    </row>
    <row r="297" spans="1:8">
      <c r="A297">
        <v>501395</v>
      </c>
      <c r="B297" t="s">
        <v>6422</v>
      </c>
      <c r="C297" t="s">
        <v>1665</v>
      </c>
      <c r="D297" t="s">
        <v>5859</v>
      </c>
      <c r="E297">
        <v>113.18</v>
      </c>
      <c r="F297">
        <v>409935</v>
      </c>
      <c r="G297" s="660">
        <v>45720</v>
      </c>
      <c r="H297" t="s">
        <v>6423</v>
      </c>
    </row>
    <row r="298" spans="1:8">
      <c r="A298">
        <v>501396</v>
      </c>
      <c r="B298" t="s">
        <v>6424</v>
      </c>
      <c r="C298" t="s">
        <v>1966</v>
      </c>
      <c r="D298" t="s">
        <v>5859</v>
      </c>
      <c r="E298">
        <v>78.5</v>
      </c>
      <c r="F298">
        <v>401894</v>
      </c>
      <c r="G298" s="660">
        <v>44131</v>
      </c>
      <c r="H298" t="s">
        <v>6425</v>
      </c>
    </row>
    <row r="299" spans="1:8">
      <c r="A299">
        <v>501397</v>
      </c>
      <c r="B299" t="s">
        <v>6426</v>
      </c>
      <c r="C299" t="s">
        <v>1665</v>
      </c>
      <c r="D299" t="s">
        <v>5859</v>
      </c>
      <c r="E299">
        <v>100.04</v>
      </c>
      <c r="F299">
        <v>406629</v>
      </c>
      <c r="G299" s="660">
        <v>45062</v>
      </c>
      <c r="H299" t="s">
        <v>6427</v>
      </c>
    </row>
    <row r="300" spans="1:8">
      <c r="A300">
        <v>501400</v>
      </c>
      <c r="B300" t="s">
        <v>1407</v>
      </c>
      <c r="C300" t="s">
        <v>1665</v>
      </c>
      <c r="D300" t="s">
        <v>5859</v>
      </c>
      <c r="E300">
        <v>462.31</v>
      </c>
      <c r="F300">
        <v>409350</v>
      </c>
      <c r="G300" s="660">
        <v>45593</v>
      </c>
      <c r="H300" t="s">
        <v>1408</v>
      </c>
    </row>
    <row r="301" spans="1:8">
      <c r="A301">
        <v>501401</v>
      </c>
      <c r="B301" t="s">
        <v>6428</v>
      </c>
      <c r="C301" t="s">
        <v>6013</v>
      </c>
      <c r="D301" t="s">
        <v>5859</v>
      </c>
      <c r="E301">
        <v>648.20000000000005</v>
      </c>
      <c r="F301">
        <v>408849</v>
      </c>
      <c r="G301" s="660">
        <v>45491</v>
      </c>
      <c r="H301" t="s">
        <v>6429</v>
      </c>
    </row>
    <row r="302" spans="1:8">
      <c r="A302">
        <v>501402</v>
      </c>
      <c r="B302" t="s">
        <v>6430</v>
      </c>
      <c r="C302" t="s">
        <v>1665</v>
      </c>
      <c r="D302" t="s">
        <v>5859</v>
      </c>
      <c r="E302">
        <v>608.19000000000005</v>
      </c>
      <c r="F302">
        <v>402279</v>
      </c>
      <c r="G302" s="660">
        <v>44210</v>
      </c>
      <c r="H302" t="s">
        <v>6431</v>
      </c>
    </row>
    <row r="303" spans="1:8">
      <c r="A303">
        <v>501404</v>
      </c>
      <c r="B303" t="s">
        <v>6432</v>
      </c>
      <c r="C303" t="s">
        <v>1930</v>
      </c>
      <c r="D303" t="s">
        <v>5859</v>
      </c>
      <c r="E303">
        <v>2</v>
      </c>
      <c r="F303">
        <v>401999</v>
      </c>
      <c r="G303" s="660">
        <v>44145</v>
      </c>
      <c r="H303" t="s">
        <v>6433</v>
      </c>
    </row>
    <row r="304" spans="1:8">
      <c r="A304">
        <v>501405</v>
      </c>
      <c r="B304" t="s">
        <v>6434</v>
      </c>
      <c r="C304" t="s">
        <v>1930</v>
      </c>
      <c r="D304" t="s">
        <v>5859</v>
      </c>
      <c r="E304">
        <v>3.8</v>
      </c>
      <c r="F304">
        <v>401999</v>
      </c>
      <c r="G304" s="660">
        <v>44145</v>
      </c>
      <c r="H304" t="s">
        <v>6435</v>
      </c>
    </row>
    <row r="305" spans="1:8">
      <c r="A305">
        <v>501406</v>
      </c>
      <c r="B305" t="s">
        <v>6436</v>
      </c>
      <c r="C305" t="s">
        <v>1966</v>
      </c>
      <c r="D305" t="s">
        <v>5859</v>
      </c>
      <c r="E305">
        <v>19.75</v>
      </c>
      <c r="F305">
        <v>407671</v>
      </c>
      <c r="G305" s="660">
        <v>45280</v>
      </c>
      <c r="H305" t="s">
        <v>6437</v>
      </c>
    </row>
    <row r="306" spans="1:8">
      <c r="A306">
        <v>501407</v>
      </c>
      <c r="B306" t="s">
        <v>6438</v>
      </c>
      <c r="C306" t="s">
        <v>1966</v>
      </c>
      <c r="D306" t="s">
        <v>5859</v>
      </c>
      <c r="E306">
        <v>42.75</v>
      </c>
      <c r="F306">
        <v>404065</v>
      </c>
      <c r="G306" s="660">
        <v>44502</v>
      </c>
      <c r="H306" t="s">
        <v>6439</v>
      </c>
    </row>
    <row r="307" spans="1:8">
      <c r="A307">
        <v>501408</v>
      </c>
      <c r="B307" t="s">
        <v>6440</v>
      </c>
      <c r="C307" t="s">
        <v>1966</v>
      </c>
      <c r="D307" t="s">
        <v>5859</v>
      </c>
      <c r="E307">
        <v>266.66000000000003</v>
      </c>
      <c r="F307">
        <v>401713</v>
      </c>
      <c r="G307" s="660">
        <v>44105</v>
      </c>
      <c r="H307" t="s">
        <v>6441</v>
      </c>
    </row>
    <row r="308" spans="1:8">
      <c r="A308">
        <v>501410</v>
      </c>
      <c r="B308" t="s">
        <v>6442</v>
      </c>
      <c r="C308" t="s">
        <v>5951</v>
      </c>
      <c r="D308" t="s">
        <v>5859</v>
      </c>
      <c r="E308">
        <v>917.36</v>
      </c>
      <c r="F308">
        <v>404703</v>
      </c>
      <c r="G308" s="660">
        <v>44636</v>
      </c>
      <c r="H308" t="s">
        <v>6443</v>
      </c>
    </row>
    <row r="309" spans="1:8">
      <c r="A309">
        <v>501412</v>
      </c>
      <c r="B309" t="s">
        <v>6444</v>
      </c>
      <c r="C309" t="s">
        <v>1966</v>
      </c>
      <c r="D309" t="s">
        <v>5859</v>
      </c>
      <c r="E309">
        <v>9.64</v>
      </c>
      <c r="F309">
        <v>407599</v>
      </c>
      <c r="G309" s="660">
        <v>45266</v>
      </c>
      <c r="H309" t="s">
        <v>6445</v>
      </c>
    </row>
    <row r="310" spans="1:8">
      <c r="A310">
        <v>501413</v>
      </c>
      <c r="B310" t="s">
        <v>6446</v>
      </c>
      <c r="C310" t="s">
        <v>1930</v>
      </c>
      <c r="D310" t="s">
        <v>5859</v>
      </c>
      <c r="E310">
        <v>697.92</v>
      </c>
      <c r="F310">
        <v>405793</v>
      </c>
      <c r="G310" s="660">
        <v>44867</v>
      </c>
      <c r="H310" t="s">
        <v>6447</v>
      </c>
    </row>
    <row r="311" spans="1:8">
      <c r="A311">
        <v>501415</v>
      </c>
      <c r="B311" t="s">
        <v>6448</v>
      </c>
      <c r="C311" t="s">
        <v>1966</v>
      </c>
      <c r="D311" t="s">
        <v>5859</v>
      </c>
      <c r="E311">
        <v>99.54</v>
      </c>
      <c r="F311">
        <v>406018</v>
      </c>
      <c r="G311" s="660">
        <v>44932</v>
      </c>
      <c r="H311" t="s">
        <v>6449</v>
      </c>
    </row>
    <row r="312" spans="1:8">
      <c r="A312">
        <v>501416</v>
      </c>
      <c r="B312" t="s">
        <v>6450</v>
      </c>
      <c r="C312" t="s">
        <v>1665</v>
      </c>
      <c r="D312" t="s">
        <v>5859</v>
      </c>
      <c r="E312">
        <v>105.2</v>
      </c>
      <c r="F312">
        <v>409435</v>
      </c>
      <c r="G312" s="660">
        <v>45608</v>
      </c>
      <c r="H312" t="s">
        <v>6451</v>
      </c>
    </row>
    <row r="313" spans="1:8">
      <c r="A313">
        <v>501417</v>
      </c>
      <c r="B313" t="s">
        <v>1263</v>
      </c>
      <c r="C313" t="s">
        <v>1665</v>
      </c>
      <c r="D313" t="s">
        <v>5859</v>
      </c>
      <c r="E313">
        <v>101.68</v>
      </c>
      <c r="F313">
        <v>409148</v>
      </c>
      <c r="G313" s="660">
        <v>45554</v>
      </c>
      <c r="H313" t="s">
        <v>6452</v>
      </c>
    </row>
    <row r="314" spans="1:8">
      <c r="A314">
        <v>501419</v>
      </c>
      <c r="B314" t="s">
        <v>6453</v>
      </c>
      <c r="C314" t="s">
        <v>1966</v>
      </c>
      <c r="D314" t="s">
        <v>5859</v>
      </c>
      <c r="E314">
        <v>3.46</v>
      </c>
      <c r="F314">
        <v>402157</v>
      </c>
      <c r="G314" s="660">
        <v>44181</v>
      </c>
      <c r="H314" t="s">
        <v>6454</v>
      </c>
    </row>
    <row r="315" spans="1:8">
      <c r="A315">
        <v>501420</v>
      </c>
      <c r="B315" t="s">
        <v>6455</v>
      </c>
      <c r="C315" t="s">
        <v>1930</v>
      </c>
      <c r="D315" t="s">
        <v>5859</v>
      </c>
      <c r="E315">
        <v>2.99</v>
      </c>
      <c r="F315">
        <v>405579</v>
      </c>
      <c r="G315" s="660">
        <v>44817</v>
      </c>
      <c r="H315" t="s">
        <v>6456</v>
      </c>
    </row>
    <row r="316" spans="1:8">
      <c r="A316">
        <v>501421</v>
      </c>
      <c r="B316" t="s">
        <v>6457</v>
      </c>
      <c r="C316" t="s">
        <v>1966</v>
      </c>
      <c r="D316" t="s">
        <v>5859</v>
      </c>
      <c r="E316">
        <v>19.739999999999998</v>
      </c>
      <c r="F316">
        <v>401747</v>
      </c>
      <c r="G316" s="660">
        <v>44111</v>
      </c>
      <c r="H316" t="s">
        <v>6458</v>
      </c>
    </row>
    <row r="317" spans="1:8">
      <c r="A317">
        <v>501422</v>
      </c>
      <c r="B317" t="s">
        <v>6459</v>
      </c>
      <c r="D317" t="s">
        <v>5859</v>
      </c>
      <c r="G317" s="660"/>
      <c r="H317" t="s">
        <v>6460</v>
      </c>
    </row>
    <row r="318" spans="1:8">
      <c r="A318">
        <v>501423</v>
      </c>
      <c r="B318" t="s">
        <v>795</v>
      </c>
      <c r="D318" t="s">
        <v>5859</v>
      </c>
      <c r="G318" s="660"/>
      <c r="H318" t="s">
        <v>6461</v>
      </c>
    </row>
    <row r="319" spans="1:8">
      <c r="A319">
        <v>501424</v>
      </c>
      <c r="B319" t="s">
        <v>6462</v>
      </c>
      <c r="C319" t="s">
        <v>1966</v>
      </c>
      <c r="D319" t="s">
        <v>5859</v>
      </c>
      <c r="E319">
        <v>2.8</v>
      </c>
      <c r="F319">
        <v>401964</v>
      </c>
      <c r="G319" s="660">
        <v>44138</v>
      </c>
      <c r="H319" t="s">
        <v>6463</v>
      </c>
    </row>
    <row r="320" spans="1:8">
      <c r="A320">
        <v>501425</v>
      </c>
      <c r="B320" t="s">
        <v>6464</v>
      </c>
      <c r="C320" t="s">
        <v>1966</v>
      </c>
      <c r="D320" t="s">
        <v>5859</v>
      </c>
      <c r="E320">
        <v>22.85</v>
      </c>
      <c r="F320">
        <v>406891</v>
      </c>
      <c r="G320" s="660">
        <v>45127</v>
      </c>
      <c r="H320" t="s">
        <v>6465</v>
      </c>
    </row>
    <row r="321" spans="1:8">
      <c r="A321">
        <v>501427</v>
      </c>
      <c r="B321" t="s">
        <v>6466</v>
      </c>
      <c r="C321" t="s">
        <v>6004</v>
      </c>
      <c r="D321" t="s">
        <v>5859</v>
      </c>
      <c r="E321">
        <v>19.25</v>
      </c>
      <c r="F321">
        <v>406505</v>
      </c>
      <c r="G321" s="660">
        <v>45040</v>
      </c>
      <c r="H321" t="s">
        <v>6467</v>
      </c>
    </row>
    <row r="322" spans="1:8">
      <c r="A322">
        <v>501428</v>
      </c>
      <c r="B322" t="s">
        <v>6468</v>
      </c>
      <c r="C322" t="s">
        <v>1930</v>
      </c>
      <c r="D322" t="s">
        <v>5859</v>
      </c>
      <c r="E322">
        <v>22.78</v>
      </c>
      <c r="F322">
        <v>402902</v>
      </c>
      <c r="G322" s="660">
        <v>44299</v>
      </c>
      <c r="H322" t="s">
        <v>6469</v>
      </c>
    </row>
    <row r="323" spans="1:8">
      <c r="A323">
        <v>501429</v>
      </c>
      <c r="B323" t="s">
        <v>6470</v>
      </c>
      <c r="C323" t="s">
        <v>1966</v>
      </c>
      <c r="D323" t="s">
        <v>5859</v>
      </c>
      <c r="E323">
        <v>39.729999999999997</v>
      </c>
      <c r="F323">
        <v>401775</v>
      </c>
      <c r="G323" s="660">
        <v>44117</v>
      </c>
      <c r="H323" t="s">
        <v>6471</v>
      </c>
    </row>
    <row r="324" spans="1:8">
      <c r="A324">
        <v>501430</v>
      </c>
      <c r="B324" t="s">
        <v>6472</v>
      </c>
      <c r="C324" t="s">
        <v>6473</v>
      </c>
      <c r="D324" t="s">
        <v>5859</v>
      </c>
      <c r="E324">
        <v>1203.75</v>
      </c>
      <c r="F324">
        <v>408753</v>
      </c>
      <c r="G324" s="660">
        <v>45469</v>
      </c>
      <c r="H324" t="s">
        <v>6474</v>
      </c>
    </row>
    <row r="325" spans="1:8">
      <c r="A325">
        <v>501431</v>
      </c>
      <c r="B325" t="s">
        <v>6475</v>
      </c>
      <c r="C325" t="s">
        <v>6336</v>
      </c>
      <c r="D325" t="s">
        <v>5859</v>
      </c>
      <c r="E325">
        <v>19.45</v>
      </c>
      <c r="F325">
        <v>401830</v>
      </c>
      <c r="G325" s="660">
        <v>44124</v>
      </c>
      <c r="H325" t="s">
        <v>6476</v>
      </c>
    </row>
    <row r="326" spans="1:8">
      <c r="A326">
        <v>501432</v>
      </c>
      <c r="B326" t="s">
        <v>6477</v>
      </c>
      <c r="C326" t="s">
        <v>6478</v>
      </c>
      <c r="D326" t="s">
        <v>5859</v>
      </c>
      <c r="E326">
        <v>770</v>
      </c>
      <c r="F326">
        <v>402612</v>
      </c>
      <c r="G326" s="660">
        <v>44256</v>
      </c>
      <c r="H326" t="s">
        <v>6479</v>
      </c>
    </row>
    <row r="327" spans="1:8">
      <c r="A327">
        <v>501433</v>
      </c>
      <c r="B327" t="s">
        <v>1409</v>
      </c>
      <c r="C327" t="s">
        <v>1665</v>
      </c>
      <c r="D327" t="s">
        <v>5859</v>
      </c>
      <c r="E327">
        <v>404.91</v>
      </c>
      <c r="F327">
        <v>409350</v>
      </c>
      <c r="G327" s="660">
        <v>45593</v>
      </c>
      <c r="H327" t="s">
        <v>1410</v>
      </c>
    </row>
    <row r="328" spans="1:8">
      <c r="A328">
        <v>501434</v>
      </c>
      <c r="B328" t="s">
        <v>6480</v>
      </c>
      <c r="C328" t="s">
        <v>6481</v>
      </c>
      <c r="D328" t="s">
        <v>5859</v>
      </c>
      <c r="E328">
        <v>384</v>
      </c>
      <c r="F328">
        <v>405511</v>
      </c>
      <c r="G328" s="660">
        <v>44799</v>
      </c>
      <c r="H328" t="s">
        <v>6482</v>
      </c>
    </row>
    <row r="329" spans="1:8">
      <c r="A329">
        <v>501435</v>
      </c>
      <c r="B329" t="s">
        <v>6483</v>
      </c>
      <c r="C329" t="s">
        <v>1930</v>
      </c>
      <c r="D329" t="s">
        <v>5859</v>
      </c>
      <c r="E329">
        <v>67.349999999999994</v>
      </c>
      <c r="F329">
        <v>402560</v>
      </c>
      <c r="G329" s="660">
        <v>44245</v>
      </c>
      <c r="H329" t="s">
        <v>6484</v>
      </c>
    </row>
    <row r="330" spans="1:8">
      <c r="A330">
        <v>501437</v>
      </c>
      <c r="B330" t="s">
        <v>6485</v>
      </c>
      <c r="C330" t="s">
        <v>1930</v>
      </c>
      <c r="D330" t="s">
        <v>5859</v>
      </c>
      <c r="E330">
        <v>34</v>
      </c>
      <c r="F330">
        <v>402560</v>
      </c>
      <c r="G330" s="660">
        <v>44245</v>
      </c>
      <c r="H330" t="s">
        <v>6486</v>
      </c>
    </row>
    <row r="331" spans="1:8">
      <c r="A331">
        <v>501439</v>
      </c>
      <c r="B331" t="s">
        <v>6487</v>
      </c>
      <c r="C331" t="s">
        <v>5995</v>
      </c>
      <c r="D331" t="s">
        <v>5859</v>
      </c>
      <c r="E331">
        <v>0</v>
      </c>
      <c r="F331">
        <v>406500</v>
      </c>
      <c r="G331" s="660">
        <v>45037</v>
      </c>
      <c r="H331" t="s">
        <v>6488</v>
      </c>
    </row>
    <row r="332" spans="1:8">
      <c r="A332">
        <v>501440</v>
      </c>
      <c r="B332" t="s">
        <v>6489</v>
      </c>
      <c r="C332" t="s">
        <v>6490</v>
      </c>
      <c r="D332" t="s">
        <v>5859</v>
      </c>
      <c r="E332">
        <v>121.6</v>
      </c>
      <c r="F332">
        <v>405716</v>
      </c>
      <c r="G332" s="660">
        <v>44848</v>
      </c>
      <c r="H332" t="s">
        <v>6491</v>
      </c>
    </row>
    <row r="333" spans="1:8">
      <c r="A333">
        <v>501441</v>
      </c>
      <c r="B333" t="s">
        <v>6492</v>
      </c>
      <c r="C333" t="s">
        <v>5951</v>
      </c>
      <c r="D333" t="s">
        <v>5859</v>
      </c>
      <c r="E333">
        <v>585.64</v>
      </c>
      <c r="F333">
        <v>405506</v>
      </c>
      <c r="G333" s="660">
        <v>44798</v>
      </c>
      <c r="H333" t="s">
        <v>6493</v>
      </c>
    </row>
    <row r="334" spans="1:8">
      <c r="A334">
        <v>501442</v>
      </c>
      <c r="B334" t="s">
        <v>6494</v>
      </c>
      <c r="C334" t="s">
        <v>5864</v>
      </c>
      <c r="D334" t="s">
        <v>5859</v>
      </c>
      <c r="E334">
        <v>991.1</v>
      </c>
      <c r="F334">
        <v>406419</v>
      </c>
      <c r="G334" s="660">
        <v>45011</v>
      </c>
      <c r="H334" t="s">
        <v>6495</v>
      </c>
    </row>
    <row r="335" spans="1:8">
      <c r="A335">
        <v>501443</v>
      </c>
      <c r="B335" t="s">
        <v>6496</v>
      </c>
      <c r="C335" t="s">
        <v>6497</v>
      </c>
      <c r="D335" t="s">
        <v>5868</v>
      </c>
      <c r="E335">
        <v>743.75</v>
      </c>
      <c r="F335">
        <v>401839</v>
      </c>
      <c r="G335" s="660">
        <v>44124</v>
      </c>
      <c r="H335" t="s">
        <v>6498</v>
      </c>
    </row>
    <row r="336" spans="1:8">
      <c r="A336">
        <v>501445</v>
      </c>
      <c r="B336" t="s">
        <v>6499</v>
      </c>
      <c r="C336" t="s">
        <v>1966</v>
      </c>
      <c r="D336" t="s">
        <v>5859</v>
      </c>
      <c r="E336">
        <v>14.15</v>
      </c>
      <c r="F336">
        <v>407671</v>
      </c>
      <c r="G336" s="660">
        <v>45280</v>
      </c>
      <c r="H336" t="s">
        <v>6500</v>
      </c>
    </row>
    <row r="337" spans="1:8">
      <c r="A337">
        <v>501446</v>
      </c>
      <c r="B337" t="s">
        <v>6501</v>
      </c>
      <c r="C337" t="s">
        <v>5972</v>
      </c>
      <c r="D337" t="s">
        <v>5859</v>
      </c>
      <c r="E337">
        <v>13.99</v>
      </c>
      <c r="F337">
        <v>402920</v>
      </c>
      <c r="G337" s="660">
        <v>44301</v>
      </c>
      <c r="H337" t="s">
        <v>6502</v>
      </c>
    </row>
    <row r="338" spans="1:8">
      <c r="A338">
        <v>501448</v>
      </c>
      <c r="B338" t="s">
        <v>6503</v>
      </c>
      <c r="C338" t="s">
        <v>6078</v>
      </c>
      <c r="D338" t="s">
        <v>5868</v>
      </c>
      <c r="E338">
        <v>2711</v>
      </c>
      <c r="F338">
        <v>408728</v>
      </c>
      <c r="G338" s="660">
        <v>45462</v>
      </c>
      <c r="H338" t="s">
        <v>6504</v>
      </c>
    </row>
    <row r="339" spans="1:8">
      <c r="A339">
        <v>501449</v>
      </c>
      <c r="B339" t="s">
        <v>6505</v>
      </c>
      <c r="C339" t="s">
        <v>5951</v>
      </c>
      <c r="D339" t="s">
        <v>5859</v>
      </c>
      <c r="E339">
        <v>1056.1199999999999</v>
      </c>
      <c r="F339">
        <v>404703</v>
      </c>
      <c r="G339" s="660">
        <v>44636</v>
      </c>
      <c r="H339" t="s">
        <v>6506</v>
      </c>
    </row>
    <row r="340" spans="1:8">
      <c r="A340">
        <v>501450</v>
      </c>
      <c r="B340" t="s">
        <v>6507</v>
      </c>
      <c r="C340" t="s">
        <v>5951</v>
      </c>
      <c r="D340" t="s">
        <v>5859</v>
      </c>
      <c r="E340">
        <v>228.93</v>
      </c>
      <c r="F340">
        <v>405776</v>
      </c>
      <c r="G340" s="660">
        <v>44862</v>
      </c>
      <c r="H340" t="s">
        <v>6508</v>
      </c>
    </row>
    <row r="341" spans="1:8">
      <c r="A341">
        <v>501455</v>
      </c>
      <c r="B341" t="s">
        <v>6509</v>
      </c>
      <c r="D341" t="s">
        <v>5859</v>
      </c>
      <c r="G341" s="660"/>
      <c r="H341" t="s">
        <v>6510</v>
      </c>
    </row>
    <row r="342" spans="1:8">
      <c r="A342">
        <v>501457</v>
      </c>
      <c r="B342" t="s">
        <v>6511</v>
      </c>
      <c r="C342" t="s">
        <v>1930</v>
      </c>
      <c r="D342" t="s">
        <v>5859</v>
      </c>
      <c r="E342">
        <v>2.15</v>
      </c>
      <c r="F342">
        <v>405579</v>
      </c>
      <c r="G342" s="660">
        <v>44817</v>
      </c>
      <c r="H342" t="s">
        <v>6512</v>
      </c>
    </row>
    <row r="343" spans="1:8">
      <c r="A343">
        <v>501458</v>
      </c>
      <c r="B343" t="s">
        <v>6513</v>
      </c>
      <c r="C343" t="s">
        <v>1966</v>
      </c>
      <c r="D343" t="s">
        <v>5859</v>
      </c>
      <c r="E343">
        <v>5.46</v>
      </c>
      <c r="F343">
        <v>406068</v>
      </c>
      <c r="G343" s="660">
        <v>44942</v>
      </c>
      <c r="H343" t="s">
        <v>6514</v>
      </c>
    </row>
    <row r="344" spans="1:8">
      <c r="A344">
        <v>501459</v>
      </c>
      <c r="B344" t="s">
        <v>1348</v>
      </c>
      <c r="C344" t="s">
        <v>6515</v>
      </c>
      <c r="D344" t="s">
        <v>5868</v>
      </c>
      <c r="E344">
        <v>195</v>
      </c>
      <c r="F344">
        <v>410379</v>
      </c>
      <c r="G344" s="660">
        <v>45799</v>
      </c>
      <c r="H344" t="s">
        <v>1349</v>
      </c>
    </row>
    <row r="345" spans="1:8">
      <c r="A345">
        <v>501460</v>
      </c>
      <c r="B345" t="s">
        <v>6516</v>
      </c>
      <c r="C345" t="s">
        <v>6515</v>
      </c>
      <c r="D345" t="s">
        <v>5868</v>
      </c>
      <c r="E345">
        <v>615</v>
      </c>
      <c r="F345">
        <v>410379</v>
      </c>
      <c r="G345" s="660">
        <v>45799</v>
      </c>
      <c r="H345" t="s">
        <v>1340</v>
      </c>
    </row>
    <row r="346" spans="1:8">
      <c r="A346">
        <v>501461</v>
      </c>
      <c r="B346" t="s">
        <v>6517</v>
      </c>
      <c r="C346" t="s">
        <v>1966</v>
      </c>
      <c r="D346" t="s">
        <v>5859</v>
      </c>
      <c r="E346">
        <v>4.6100000000000003</v>
      </c>
      <c r="F346">
        <v>409977</v>
      </c>
      <c r="G346" s="660">
        <v>45727</v>
      </c>
      <c r="H346" t="s">
        <v>6518</v>
      </c>
    </row>
    <row r="347" spans="1:8">
      <c r="A347">
        <v>501463</v>
      </c>
      <c r="B347" t="s">
        <v>6519</v>
      </c>
      <c r="D347" t="s">
        <v>5859</v>
      </c>
      <c r="G347" s="660"/>
      <c r="H347" t="s">
        <v>6520</v>
      </c>
    </row>
    <row r="348" spans="1:8">
      <c r="A348">
        <v>501464</v>
      </c>
      <c r="B348" t="s">
        <v>6521</v>
      </c>
      <c r="C348" t="s">
        <v>6078</v>
      </c>
      <c r="D348" t="s">
        <v>5868</v>
      </c>
      <c r="E348">
        <v>394</v>
      </c>
      <c r="F348">
        <v>401980</v>
      </c>
      <c r="G348" s="660">
        <v>44140</v>
      </c>
      <c r="H348" t="s">
        <v>6522</v>
      </c>
    </row>
    <row r="349" spans="1:8">
      <c r="A349">
        <v>501465</v>
      </c>
      <c r="B349" t="s">
        <v>6523</v>
      </c>
      <c r="C349" t="s">
        <v>6524</v>
      </c>
      <c r="D349" t="s">
        <v>5859</v>
      </c>
      <c r="E349">
        <v>14.35</v>
      </c>
      <c r="F349">
        <v>407690</v>
      </c>
      <c r="G349" s="660">
        <v>45282</v>
      </c>
      <c r="H349" t="s">
        <v>6525</v>
      </c>
    </row>
    <row r="350" spans="1:8">
      <c r="A350">
        <v>501466</v>
      </c>
      <c r="B350" t="s">
        <v>6526</v>
      </c>
      <c r="C350" t="s">
        <v>5951</v>
      </c>
      <c r="D350" t="s">
        <v>5859</v>
      </c>
      <c r="E350">
        <v>305.13</v>
      </c>
      <c r="F350">
        <v>405506</v>
      </c>
      <c r="G350" s="660">
        <v>44798</v>
      </c>
      <c r="H350" t="s">
        <v>6527</v>
      </c>
    </row>
    <row r="351" spans="1:8">
      <c r="A351">
        <v>501469</v>
      </c>
      <c r="B351" t="s">
        <v>6528</v>
      </c>
      <c r="C351" t="s">
        <v>1966</v>
      </c>
      <c r="D351" t="s">
        <v>5859</v>
      </c>
      <c r="E351">
        <v>6.3600000000000004E-2</v>
      </c>
      <c r="F351">
        <v>401948</v>
      </c>
      <c r="G351" s="660">
        <v>44137</v>
      </c>
      <c r="H351" t="s">
        <v>6529</v>
      </c>
    </row>
    <row r="352" spans="1:8">
      <c r="A352">
        <v>501471</v>
      </c>
      <c r="B352" t="s">
        <v>6530</v>
      </c>
      <c r="C352" t="s">
        <v>5951</v>
      </c>
      <c r="D352" t="s">
        <v>5859</v>
      </c>
      <c r="E352">
        <v>1048.92</v>
      </c>
      <c r="F352">
        <v>402142</v>
      </c>
      <c r="G352" s="660">
        <v>44180</v>
      </c>
      <c r="H352" t="s">
        <v>6531</v>
      </c>
    </row>
    <row r="353" spans="1:8">
      <c r="A353">
        <v>501473</v>
      </c>
      <c r="B353" t="s">
        <v>6532</v>
      </c>
      <c r="C353" t="s">
        <v>1665</v>
      </c>
      <c r="D353" t="s">
        <v>5859</v>
      </c>
      <c r="E353">
        <v>616.02</v>
      </c>
      <c r="F353">
        <v>403129</v>
      </c>
      <c r="G353" s="660">
        <v>44337</v>
      </c>
      <c r="H353" t="s">
        <v>6533</v>
      </c>
    </row>
    <row r="354" spans="1:8">
      <c r="A354">
        <v>501475</v>
      </c>
      <c r="B354" t="s">
        <v>6534</v>
      </c>
      <c r="C354" t="s">
        <v>1665</v>
      </c>
      <c r="D354" t="s">
        <v>5859</v>
      </c>
      <c r="E354">
        <v>565.39</v>
      </c>
      <c r="F354">
        <v>403129</v>
      </c>
      <c r="G354" s="660">
        <v>44337</v>
      </c>
      <c r="H354" t="s">
        <v>6535</v>
      </c>
    </row>
    <row r="355" spans="1:8">
      <c r="A355">
        <v>501477</v>
      </c>
      <c r="B355" t="s">
        <v>6536</v>
      </c>
      <c r="C355" t="s">
        <v>1930</v>
      </c>
      <c r="D355" t="s">
        <v>5859</v>
      </c>
      <c r="E355">
        <v>4.38</v>
      </c>
      <c r="F355">
        <v>406822</v>
      </c>
      <c r="G355" s="660">
        <v>45106</v>
      </c>
      <c r="H355" t="s">
        <v>6537</v>
      </c>
    </row>
    <row r="356" spans="1:8">
      <c r="A356">
        <v>501478</v>
      </c>
      <c r="B356" t="s">
        <v>6538</v>
      </c>
      <c r="C356" t="s">
        <v>1966</v>
      </c>
      <c r="D356" t="s">
        <v>5859</v>
      </c>
      <c r="E356">
        <v>25.62</v>
      </c>
      <c r="F356">
        <v>402219</v>
      </c>
      <c r="G356" s="660">
        <v>44200</v>
      </c>
      <c r="H356" t="s">
        <v>6539</v>
      </c>
    </row>
    <row r="357" spans="1:8">
      <c r="A357">
        <v>501480</v>
      </c>
      <c r="B357" t="s">
        <v>6540</v>
      </c>
      <c r="C357" t="s">
        <v>1665</v>
      </c>
      <c r="D357" t="s">
        <v>5859</v>
      </c>
      <c r="E357">
        <v>951.28</v>
      </c>
      <c r="F357">
        <v>403129</v>
      </c>
      <c r="G357" s="660">
        <v>44337</v>
      </c>
      <c r="H357" t="s">
        <v>6541</v>
      </c>
    </row>
    <row r="358" spans="1:8">
      <c r="A358">
        <v>501482</v>
      </c>
      <c r="B358" t="s">
        <v>6542</v>
      </c>
      <c r="C358" t="s">
        <v>1930</v>
      </c>
      <c r="D358" t="s">
        <v>5859</v>
      </c>
      <c r="E358">
        <v>6.93</v>
      </c>
      <c r="F358">
        <v>402301</v>
      </c>
      <c r="G358" s="660">
        <v>44208</v>
      </c>
      <c r="H358" t="s">
        <v>6543</v>
      </c>
    </row>
    <row r="359" spans="1:8">
      <c r="A359">
        <v>501483</v>
      </c>
      <c r="B359" t="s">
        <v>6544</v>
      </c>
      <c r="C359" t="s">
        <v>1930</v>
      </c>
      <c r="D359" t="s">
        <v>5859</v>
      </c>
      <c r="E359">
        <v>0</v>
      </c>
      <c r="F359">
        <v>402301</v>
      </c>
      <c r="G359" s="660">
        <v>44208</v>
      </c>
      <c r="H359" t="s">
        <v>6545</v>
      </c>
    </row>
    <row r="360" spans="1:8">
      <c r="A360">
        <v>501484</v>
      </c>
      <c r="B360" t="s">
        <v>6546</v>
      </c>
      <c r="C360" t="s">
        <v>1665</v>
      </c>
      <c r="D360" t="s">
        <v>5859</v>
      </c>
      <c r="E360">
        <v>742.25</v>
      </c>
      <c r="F360">
        <v>405262</v>
      </c>
      <c r="G360" s="660">
        <v>44750</v>
      </c>
      <c r="H360" t="s">
        <v>6547</v>
      </c>
    </row>
    <row r="361" spans="1:8">
      <c r="A361">
        <v>501485</v>
      </c>
      <c r="B361" t="s">
        <v>6548</v>
      </c>
      <c r="C361" t="s">
        <v>1665</v>
      </c>
      <c r="D361" t="s">
        <v>5859</v>
      </c>
      <c r="E361">
        <v>605.54</v>
      </c>
      <c r="F361">
        <v>407966</v>
      </c>
      <c r="G361" s="660">
        <v>45331</v>
      </c>
      <c r="H361" t="s">
        <v>6549</v>
      </c>
    </row>
    <row r="362" spans="1:8">
      <c r="A362">
        <v>501486</v>
      </c>
      <c r="B362" t="s">
        <v>6550</v>
      </c>
      <c r="C362" t="s">
        <v>1966</v>
      </c>
      <c r="D362" t="s">
        <v>5859</v>
      </c>
      <c r="E362">
        <v>172.04</v>
      </c>
      <c r="F362">
        <v>402210</v>
      </c>
      <c r="G362" s="660">
        <v>44194</v>
      </c>
      <c r="H362" t="s">
        <v>6551</v>
      </c>
    </row>
    <row r="363" spans="1:8">
      <c r="A363">
        <v>501487</v>
      </c>
      <c r="B363" t="s">
        <v>6552</v>
      </c>
      <c r="C363" t="s">
        <v>5951</v>
      </c>
      <c r="D363" t="s">
        <v>5859</v>
      </c>
      <c r="E363">
        <v>3159.51</v>
      </c>
      <c r="F363">
        <v>410318</v>
      </c>
      <c r="G363" s="660">
        <v>45791</v>
      </c>
      <c r="H363" t="s">
        <v>6553</v>
      </c>
    </row>
    <row r="364" spans="1:8">
      <c r="A364">
        <v>501490</v>
      </c>
      <c r="B364" t="s">
        <v>6554</v>
      </c>
      <c r="C364" t="s">
        <v>1665</v>
      </c>
      <c r="D364" t="s">
        <v>5859</v>
      </c>
      <c r="E364">
        <v>134.85</v>
      </c>
      <c r="F364">
        <v>404135</v>
      </c>
      <c r="G364" s="660">
        <v>44518</v>
      </c>
      <c r="H364" t="s">
        <v>6555</v>
      </c>
    </row>
    <row r="365" spans="1:8">
      <c r="A365">
        <v>501491</v>
      </c>
      <c r="B365" t="s">
        <v>6556</v>
      </c>
      <c r="C365" t="s">
        <v>6013</v>
      </c>
      <c r="D365" t="s">
        <v>5859</v>
      </c>
      <c r="E365">
        <v>123.14</v>
      </c>
      <c r="F365">
        <v>408565</v>
      </c>
      <c r="G365" s="660">
        <v>45433</v>
      </c>
      <c r="H365" t="s">
        <v>6557</v>
      </c>
    </row>
    <row r="366" spans="1:8">
      <c r="A366">
        <v>501493</v>
      </c>
      <c r="B366" t="s">
        <v>6558</v>
      </c>
      <c r="C366" t="s">
        <v>1966</v>
      </c>
      <c r="D366" t="s">
        <v>5859</v>
      </c>
      <c r="E366">
        <v>35.56</v>
      </c>
      <c r="F366">
        <v>402644</v>
      </c>
      <c r="G366" s="660">
        <v>44257</v>
      </c>
      <c r="H366" t="s">
        <v>6559</v>
      </c>
    </row>
    <row r="367" spans="1:8">
      <c r="A367">
        <v>501494</v>
      </c>
      <c r="B367" t="s">
        <v>796</v>
      </c>
      <c r="D367" t="s">
        <v>5859</v>
      </c>
      <c r="G367" s="660"/>
      <c r="H367" t="s">
        <v>6560</v>
      </c>
    </row>
    <row r="368" spans="1:8">
      <c r="A368">
        <v>501495</v>
      </c>
      <c r="B368" t="s">
        <v>6561</v>
      </c>
      <c r="C368" t="s">
        <v>1665</v>
      </c>
      <c r="D368" t="s">
        <v>5859</v>
      </c>
      <c r="E368">
        <v>563.29</v>
      </c>
      <c r="F368">
        <v>402189</v>
      </c>
      <c r="G368" s="660">
        <v>44183</v>
      </c>
      <c r="H368" t="s">
        <v>6549</v>
      </c>
    </row>
    <row r="369" spans="1:8">
      <c r="A369">
        <v>501497</v>
      </c>
      <c r="B369" t="s">
        <v>6562</v>
      </c>
      <c r="C369" t="s">
        <v>1665</v>
      </c>
      <c r="D369" t="s">
        <v>5859</v>
      </c>
      <c r="E369">
        <v>205.49</v>
      </c>
      <c r="F369">
        <v>409435</v>
      </c>
      <c r="G369" s="660">
        <v>45608</v>
      </c>
      <c r="H369" t="s">
        <v>6563</v>
      </c>
    </row>
    <row r="370" spans="1:8">
      <c r="A370">
        <v>501498</v>
      </c>
      <c r="B370" t="s">
        <v>6564</v>
      </c>
      <c r="C370" t="s">
        <v>1665</v>
      </c>
      <c r="D370" t="s">
        <v>5859</v>
      </c>
      <c r="E370">
        <v>153.81</v>
      </c>
      <c r="F370">
        <v>410024</v>
      </c>
      <c r="G370" s="660">
        <v>45735</v>
      </c>
      <c r="H370" t="s">
        <v>6565</v>
      </c>
    </row>
    <row r="371" spans="1:8">
      <c r="A371">
        <v>501499</v>
      </c>
      <c r="B371" t="s">
        <v>6566</v>
      </c>
      <c r="C371" t="s">
        <v>1665</v>
      </c>
      <c r="D371" t="s">
        <v>5859</v>
      </c>
      <c r="E371">
        <v>164.57</v>
      </c>
      <c r="F371">
        <v>410041</v>
      </c>
      <c r="G371" s="660">
        <v>45736</v>
      </c>
      <c r="H371" t="s">
        <v>6567</v>
      </c>
    </row>
    <row r="372" spans="1:8">
      <c r="A372">
        <v>501500</v>
      </c>
      <c r="B372" t="s">
        <v>1264</v>
      </c>
      <c r="C372" t="s">
        <v>1665</v>
      </c>
      <c r="D372" t="s">
        <v>5859</v>
      </c>
      <c r="E372">
        <v>208</v>
      </c>
      <c r="F372">
        <v>408232</v>
      </c>
      <c r="G372" s="660">
        <v>45378</v>
      </c>
      <c r="H372" t="s">
        <v>6568</v>
      </c>
    </row>
    <row r="373" spans="1:8">
      <c r="A373">
        <v>501502</v>
      </c>
      <c r="B373" t="s">
        <v>6569</v>
      </c>
      <c r="C373" t="s">
        <v>1665</v>
      </c>
      <c r="D373" t="s">
        <v>5859</v>
      </c>
      <c r="E373">
        <v>464.4</v>
      </c>
      <c r="F373">
        <v>410181</v>
      </c>
      <c r="G373" s="660">
        <v>45763</v>
      </c>
      <c r="H373" t="s">
        <v>6570</v>
      </c>
    </row>
    <row r="374" spans="1:8">
      <c r="A374">
        <v>501504</v>
      </c>
      <c r="B374" t="s">
        <v>6571</v>
      </c>
      <c r="C374" t="s">
        <v>6013</v>
      </c>
      <c r="D374" t="s">
        <v>5859</v>
      </c>
      <c r="E374">
        <v>39.380000000000003</v>
      </c>
      <c r="F374">
        <v>403303</v>
      </c>
      <c r="G374" s="660">
        <v>44362</v>
      </c>
      <c r="H374" t="s">
        <v>6572</v>
      </c>
    </row>
    <row r="375" spans="1:8">
      <c r="A375">
        <v>501505</v>
      </c>
      <c r="B375" t="s">
        <v>6573</v>
      </c>
      <c r="C375" t="s">
        <v>6013</v>
      </c>
      <c r="D375" t="s">
        <v>5859</v>
      </c>
      <c r="E375">
        <v>19.25</v>
      </c>
      <c r="F375">
        <v>403102</v>
      </c>
      <c r="G375" s="660">
        <v>44333</v>
      </c>
      <c r="H375" t="s">
        <v>6574</v>
      </c>
    </row>
    <row r="376" spans="1:8">
      <c r="A376">
        <v>501506</v>
      </c>
      <c r="B376" t="s">
        <v>6575</v>
      </c>
      <c r="D376" t="s">
        <v>5859</v>
      </c>
      <c r="G376" s="660"/>
      <c r="H376" t="s">
        <v>6576</v>
      </c>
    </row>
    <row r="377" spans="1:8">
      <c r="A377">
        <v>501507</v>
      </c>
      <c r="B377" t="s">
        <v>6577</v>
      </c>
      <c r="C377" t="s">
        <v>6481</v>
      </c>
      <c r="D377" t="s">
        <v>5859</v>
      </c>
      <c r="E377">
        <v>364.7</v>
      </c>
      <c r="F377">
        <v>402658</v>
      </c>
      <c r="G377" s="660">
        <v>44256</v>
      </c>
      <c r="H377" t="s">
        <v>6578</v>
      </c>
    </row>
    <row r="378" spans="1:8">
      <c r="A378">
        <v>501509</v>
      </c>
      <c r="B378" t="s">
        <v>6579</v>
      </c>
      <c r="C378" t="s">
        <v>1665</v>
      </c>
      <c r="D378" t="s">
        <v>5859</v>
      </c>
      <c r="E378">
        <v>270.29000000000002</v>
      </c>
      <c r="F378">
        <v>403129</v>
      </c>
      <c r="G378" s="660">
        <v>44337</v>
      </c>
      <c r="H378" t="s">
        <v>6580</v>
      </c>
    </row>
    <row r="379" spans="1:8">
      <c r="A379">
        <v>501510</v>
      </c>
      <c r="B379" t="s">
        <v>6581</v>
      </c>
      <c r="C379" t="s">
        <v>1665</v>
      </c>
      <c r="D379" t="s">
        <v>5859</v>
      </c>
      <c r="E379">
        <v>1142.81</v>
      </c>
      <c r="F379">
        <v>403129</v>
      </c>
      <c r="G379" s="660">
        <v>44337</v>
      </c>
      <c r="H379" t="s">
        <v>6582</v>
      </c>
    </row>
    <row r="380" spans="1:8">
      <c r="A380">
        <v>501511</v>
      </c>
      <c r="B380" t="s">
        <v>6583</v>
      </c>
      <c r="C380" t="s">
        <v>1665</v>
      </c>
      <c r="D380" t="s">
        <v>5859</v>
      </c>
      <c r="E380">
        <v>611.1</v>
      </c>
      <c r="F380">
        <v>409991</v>
      </c>
      <c r="G380" s="660">
        <v>45728</v>
      </c>
      <c r="H380" t="s">
        <v>6584</v>
      </c>
    </row>
    <row r="381" spans="1:8">
      <c r="A381">
        <v>501512</v>
      </c>
      <c r="B381" t="s">
        <v>1351</v>
      </c>
      <c r="C381" t="s">
        <v>6585</v>
      </c>
      <c r="D381" t="s">
        <v>5859</v>
      </c>
      <c r="E381">
        <v>592.28</v>
      </c>
      <c r="F381">
        <v>403131</v>
      </c>
      <c r="G381" s="660">
        <v>44337</v>
      </c>
      <c r="H381" t="s">
        <v>1352</v>
      </c>
    </row>
    <row r="382" spans="1:8">
      <c r="A382">
        <v>501514</v>
      </c>
      <c r="B382" t="s">
        <v>1353</v>
      </c>
      <c r="C382" t="s">
        <v>6585</v>
      </c>
      <c r="D382" t="s">
        <v>5859</v>
      </c>
      <c r="E382">
        <v>866.87</v>
      </c>
      <c r="F382">
        <v>409976</v>
      </c>
      <c r="G382" s="660">
        <v>45727</v>
      </c>
      <c r="H382" t="s">
        <v>6586</v>
      </c>
    </row>
    <row r="383" spans="1:8">
      <c r="A383">
        <v>501515</v>
      </c>
      <c r="B383" t="s">
        <v>1336</v>
      </c>
      <c r="C383" t="s">
        <v>5992</v>
      </c>
      <c r="D383" t="s">
        <v>5868</v>
      </c>
      <c r="E383">
        <v>352</v>
      </c>
      <c r="F383">
        <v>410150</v>
      </c>
      <c r="G383" s="660">
        <v>45756</v>
      </c>
      <c r="H383" t="s">
        <v>1337</v>
      </c>
    </row>
    <row r="384" spans="1:8">
      <c r="A384">
        <v>501516</v>
      </c>
      <c r="B384" t="s">
        <v>6587</v>
      </c>
      <c r="C384" t="s">
        <v>1966</v>
      </c>
      <c r="D384" t="s">
        <v>5859</v>
      </c>
      <c r="E384">
        <v>201.81</v>
      </c>
      <c r="F384">
        <v>402644</v>
      </c>
      <c r="G384" s="660">
        <v>44257</v>
      </c>
      <c r="H384" t="s">
        <v>6588</v>
      </c>
    </row>
    <row r="385" spans="1:8">
      <c r="A385">
        <v>501517</v>
      </c>
      <c r="B385" t="s">
        <v>6589</v>
      </c>
      <c r="C385" t="s">
        <v>6590</v>
      </c>
      <c r="D385" t="s">
        <v>5859</v>
      </c>
      <c r="E385">
        <v>184.75</v>
      </c>
      <c r="F385">
        <v>402416</v>
      </c>
      <c r="G385" s="660">
        <v>44224</v>
      </c>
      <c r="H385" t="s">
        <v>6591</v>
      </c>
    </row>
    <row r="386" spans="1:8">
      <c r="A386">
        <v>501518</v>
      </c>
      <c r="B386" t="s">
        <v>6592</v>
      </c>
      <c r="C386" t="s">
        <v>1966</v>
      </c>
      <c r="D386" t="s">
        <v>5859</v>
      </c>
      <c r="E386">
        <v>5.71</v>
      </c>
      <c r="F386">
        <v>402318</v>
      </c>
      <c r="G386" s="660">
        <v>44210</v>
      </c>
      <c r="H386" t="s">
        <v>6593</v>
      </c>
    </row>
    <row r="387" spans="1:8">
      <c r="A387">
        <v>501519</v>
      </c>
      <c r="B387" t="s">
        <v>6594</v>
      </c>
      <c r="C387" t="s">
        <v>1665</v>
      </c>
      <c r="D387" t="s">
        <v>5859</v>
      </c>
      <c r="E387">
        <v>1219.8399999999999</v>
      </c>
      <c r="F387">
        <v>403129</v>
      </c>
      <c r="G387" s="660">
        <v>44337</v>
      </c>
      <c r="H387" t="s">
        <v>6595</v>
      </c>
    </row>
    <row r="388" spans="1:8">
      <c r="A388">
        <v>501520</v>
      </c>
      <c r="B388" t="s">
        <v>6596</v>
      </c>
      <c r="C388" t="s">
        <v>1665</v>
      </c>
      <c r="D388" t="s">
        <v>5859</v>
      </c>
      <c r="E388">
        <v>313</v>
      </c>
      <c r="F388">
        <v>403129</v>
      </c>
      <c r="G388" s="660">
        <v>44337</v>
      </c>
      <c r="H388" t="s">
        <v>6597</v>
      </c>
    </row>
    <row r="389" spans="1:8">
      <c r="A389">
        <v>501521</v>
      </c>
      <c r="B389" t="s">
        <v>6598</v>
      </c>
      <c r="C389" t="s">
        <v>1966</v>
      </c>
      <c r="D389" t="s">
        <v>5859</v>
      </c>
      <c r="E389">
        <v>5.84</v>
      </c>
      <c r="F389">
        <v>402120</v>
      </c>
      <c r="G389" s="660">
        <v>44175</v>
      </c>
      <c r="H389" t="s">
        <v>6599</v>
      </c>
    </row>
    <row r="390" spans="1:8">
      <c r="A390">
        <v>501522</v>
      </c>
      <c r="B390" t="s">
        <v>6600</v>
      </c>
      <c r="C390" t="s">
        <v>5553</v>
      </c>
      <c r="D390" t="s">
        <v>5859</v>
      </c>
      <c r="E390">
        <v>237.64</v>
      </c>
      <c r="F390">
        <v>403231</v>
      </c>
      <c r="G390" s="660">
        <v>44354</v>
      </c>
      <c r="H390" t="s">
        <v>6601</v>
      </c>
    </row>
    <row r="391" spans="1:8">
      <c r="A391">
        <v>501523</v>
      </c>
      <c r="B391" t="s">
        <v>6602</v>
      </c>
      <c r="C391" t="s">
        <v>6603</v>
      </c>
      <c r="D391" t="s">
        <v>5859</v>
      </c>
      <c r="E391">
        <v>316.86</v>
      </c>
      <c r="F391">
        <v>404807</v>
      </c>
      <c r="G391" s="660">
        <v>44651</v>
      </c>
      <c r="H391" t="s">
        <v>6604</v>
      </c>
    </row>
    <row r="392" spans="1:8">
      <c r="A392">
        <v>501525</v>
      </c>
      <c r="B392" t="s">
        <v>6605</v>
      </c>
      <c r="C392" t="s">
        <v>1966</v>
      </c>
      <c r="D392" t="s">
        <v>5859</v>
      </c>
      <c r="E392">
        <v>3.47</v>
      </c>
      <c r="F392">
        <v>409621</v>
      </c>
      <c r="G392" s="660">
        <v>45663</v>
      </c>
      <c r="H392" t="s">
        <v>6606</v>
      </c>
    </row>
    <row r="393" spans="1:8">
      <c r="A393">
        <v>501526</v>
      </c>
      <c r="B393" t="s">
        <v>797</v>
      </c>
      <c r="C393" t="s">
        <v>1966</v>
      </c>
      <c r="D393" t="s">
        <v>5859</v>
      </c>
      <c r="E393">
        <v>28.63</v>
      </c>
      <c r="F393">
        <v>409977</v>
      </c>
      <c r="G393" s="660">
        <v>45727</v>
      </c>
      <c r="H393" t="s">
        <v>6607</v>
      </c>
    </row>
    <row r="394" spans="1:8">
      <c r="A394">
        <v>501528</v>
      </c>
      <c r="B394" t="s">
        <v>6608</v>
      </c>
      <c r="C394" t="s">
        <v>1966</v>
      </c>
      <c r="D394" t="s">
        <v>5859</v>
      </c>
      <c r="E394">
        <v>2.19</v>
      </c>
      <c r="F394">
        <v>402353</v>
      </c>
      <c r="G394" s="660">
        <v>44216</v>
      </c>
      <c r="H394" t="s">
        <v>6609</v>
      </c>
    </row>
    <row r="395" spans="1:8">
      <c r="A395">
        <v>501529</v>
      </c>
      <c r="B395" t="s">
        <v>6610</v>
      </c>
      <c r="C395" t="s">
        <v>1966</v>
      </c>
      <c r="D395" t="s">
        <v>5859</v>
      </c>
      <c r="E395">
        <v>11.65</v>
      </c>
      <c r="F395">
        <v>402219</v>
      </c>
      <c r="G395" s="660">
        <v>44200</v>
      </c>
      <c r="H395" t="s">
        <v>6611</v>
      </c>
    </row>
    <row r="396" spans="1:8">
      <c r="A396">
        <v>501530</v>
      </c>
      <c r="B396" t="s">
        <v>6612</v>
      </c>
      <c r="C396" t="s">
        <v>1966</v>
      </c>
      <c r="D396" t="s">
        <v>5859</v>
      </c>
      <c r="E396">
        <v>34.08</v>
      </c>
      <c r="F396">
        <v>402318</v>
      </c>
      <c r="G396" s="660">
        <v>44210</v>
      </c>
      <c r="H396" t="s">
        <v>6613</v>
      </c>
    </row>
    <row r="397" spans="1:8">
      <c r="A397">
        <v>501531</v>
      </c>
      <c r="B397" t="s">
        <v>6614</v>
      </c>
      <c r="C397" t="s">
        <v>1966</v>
      </c>
      <c r="D397" t="s">
        <v>5859</v>
      </c>
      <c r="E397">
        <v>88.13</v>
      </c>
      <c r="F397">
        <v>403071</v>
      </c>
      <c r="G397" s="660">
        <v>44327</v>
      </c>
      <c r="H397" t="s">
        <v>6615</v>
      </c>
    </row>
    <row r="398" spans="1:8">
      <c r="A398">
        <v>501532</v>
      </c>
      <c r="B398" t="s">
        <v>6616</v>
      </c>
      <c r="C398" t="s">
        <v>1966</v>
      </c>
      <c r="D398" t="s">
        <v>5859</v>
      </c>
      <c r="E398">
        <v>1.175</v>
      </c>
      <c r="F398">
        <v>402318</v>
      </c>
      <c r="G398" s="660">
        <v>44210</v>
      </c>
      <c r="H398" t="s">
        <v>6617</v>
      </c>
    </row>
    <row r="399" spans="1:8">
      <c r="A399">
        <v>501534</v>
      </c>
      <c r="B399" t="s">
        <v>6618</v>
      </c>
      <c r="C399" t="s">
        <v>5900</v>
      </c>
      <c r="D399" t="s">
        <v>5859</v>
      </c>
      <c r="E399">
        <v>2018.21</v>
      </c>
      <c r="F399">
        <v>410247</v>
      </c>
      <c r="G399" s="660">
        <v>45778</v>
      </c>
      <c r="H399" t="s">
        <v>6619</v>
      </c>
    </row>
    <row r="400" spans="1:8">
      <c r="A400">
        <v>501535</v>
      </c>
      <c r="B400" t="s">
        <v>6620</v>
      </c>
      <c r="C400" t="s">
        <v>1665</v>
      </c>
      <c r="D400" t="s">
        <v>5859</v>
      </c>
      <c r="E400">
        <v>582.99</v>
      </c>
      <c r="F400">
        <v>404021</v>
      </c>
      <c r="G400" s="660">
        <v>44503</v>
      </c>
      <c r="H400" t="s">
        <v>6621</v>
      </c>
    </row>
    <row r="401" spans="1:8">
      <c r="A401">
        <v>501537</v>
      </c>
      <c r="B401" t="s">
        <v>1355</v>
      </c>
      <c r="C401" t="s">
        <v>6585</v>
      </c>
      <c r="D401" t="s">
        <v>5859</v>
      </c>
      <c r="E401">
        <v>0</v>
      </c>
      <c r="F401">
        <v>410151</v>
      </c>
      <c r="G401" s="660">
        <v>45756</v>
      </c>
      <c r="H401" t="s">
        <v>6622</v>
      </c>
    </row>
    <row r="402" spans="1:8">
      <c r="A402">
        <v>501540</v>
      </c>
      <c r="B402" t="s">
        <v>798</v>
      </c>
      <c r="C402" t="s">
        <v>1966</v>
      </c>
      <c r="D402" t="s">
        <v>5859</v>
      </c>
      <c r="E402">
        <v>3.4615999999999998</v>
      </c>
      <c r="F402">
        <v>410095</v>
      </c>
      <c r="G402" s="660">
        <v>45750</v>
      </c>
      <c r="H402" t="s">
        <v>6623</v>
      </c>
    </row>
    <row r="403" spans="1:8">
      <c r="A403">
        <v>501543</v>
      </c>
      <c r="B403" t="s">
        <v>799</v>
      </c>
      <c r="C403" t="s">
        <v>1966</v>
      </c>
      <c r="D403" t="s">
        <v>5859</v>
      </c>
      <c r="E403">
        <v>15.67</v>
      </c>
      <c r="F403">
        <v>410095</v>
      </c>
      <c r="G403" s="660">
        <v>45750</v>
      </c>
      <c r="H403" t="s">
        <v>6624</v>
      </c>
    </row>
    <row r="404" spans="1:8">
      <c r="A404">
        <v>501544</v>
      </c>
      <c r="B404" t="s">
        <v>1357</v>
      </c>
      <c r="C404" t="s">
        <v>6585</v>
      </c>
      <c r="D404" t="s">
        <v>5859</v>
      </c>
      <c r="E404">
        <v>0</v>
      </c>
      <c r="F404">
        <v>410151</v>
      </c>
      <c r="G404" s="660">
        <v>45756</v>
      </c>
      <c r="H404" t="s">
        <v>1358</v>
      </c>
    </row>
    <row r="405" spans="1:8">
      <c r="A405">
        <v>501545</v>
      </c>
      <c r="B405" t="s">
        <v>6625</v>
      </c>
      <c r="C405" t="s">
        <v>1966</v>
      </c>
      <c r="D405" t="s">
        <v>5859</v>
      </c>
      <c r="E405">
        <v>1.78</v>
      </c>
      <c r="F405">
        <v>402288</v>
      </c>
      <c r="G405" s="660">
        <v>44207</v>
      </c>
      <c r="H405" t="s">
        <v>6626</v>
      </c>
    </row>
    <row r="406" spans="1:8">
      <c r="A406">
        <v>501546</v>
      </c>
      <c r="B406" t="s">
        <v>6627</v>
      </c>
      <c r="C406" t="s">
        <v>1966</v>
      </c>
      <c r="D406" t="s">
        <v>5859</v>
      </c>
      <c r="E406">
        <v>5.48</v>
      </c>
      <c r="F406">
        <v>402288</v>
      </c>
      <c r="G406" s="660">
        <v>44207</v>
      </c>
      <c r="H406" t="s">
        <v>6628</v>
      </c>
    </row>
    <row r="407" spans="1:8">
      <c r="A407">
        <v>501547</v>
      </c>
      <c r="B407" t="s">
        <v>6629</v>
      </c>
      <c r="C407" t="s">
        <v>1966</v>
      </c>
      <c r="D407" t="s">
        <v>5859</v>
      </c>
      <c r="E407">
        <v>64.680000000000007</v>
      </c>
      <c r="F407">
        <v>402291</v>
      </c>
      <c r="G407" s="660">
        <v>44207</v>
      </c>
      <c r="H407" t="s">
        <v>6630</v>
      </c>
    </row>
    <row r="408" spans="1:8">
      <c r="A408">
        <v>501548</v>
      </c>
      <c r="B408" t="s">
        <v>6631</v>
      </c>
      <c r="C408" t="s">
        <v>1966</v>
      </c>
      <c r="D408" t="s">
        <v>5859</v>
      </c>
      <c r="E408">
        <v>12.39</v>
      </c>
      <c r="F408">
        <v>402326</v>
      </c>
      <c r="G408" s="660">
        <v>44210</v>
      </c>
      <c r="H408" t="s">
        <v>6632</v>
      </c>
    </row>
    <row r="409" spans="1:8">
      <c r="A409">
        <v>501549</v>
      </c>
      <c r="B409" t="s">
        <v>6633</v>
      </c>
      <c r="C409" t="s">
        <v>1966</v>
      </c>
      <c r="D409" t="s">
        <v>5859</v>
      </c>
      <c r="E409">
        <v>14.86</v>
      </c>
      <c r="F409">
        <v>402326</v>
      </c>
      <c r="G409" s="660">
        <v>44210</v>
      </c>
      <c r="H409" t="s">
        <v>6634</v>
      </c>
    </row>
    <row r="410" spans="1:8">
      <c r="A410">
        <v>501550</v>
      </c>
      <c r="B410" t="s">
        <v>6635</v>
      </c>
      <c r="C410" t="s">
        <v>1930</v>
      </c>
      <c r="D410" t="s">
        <v>5859</v>
      </c>
      <c r="E410">
        <v>1.06</v>
      </c>
      <c r="F410">
        <v>405579</v>
      </c>
      <c r="G410" s="660">
        <v>44817</v>
      </c>
      <c r="H410" t="s">
        <v>6636</v>
      </c>
    </row>
    <row r="411" spans="1:8">
      <c r="A411">
        <v>501551</v>
      </c>
      <c r="B411" t="s">
        <v>6637</v>
      </c>
      <c r="C411" t="s">
        <v>1930</v>
      </c>
      <c r="D411" t="s">
        <v>5859</v>
      </c>
      <c r="E411">
        <v>1.74</v>
      </c>
      <c r="F411">
        <v>402325</v>
      </c>
      <c r="G411" s="660">
        <v>44210</v>
      </c>
      <c r="H411" t="s">
        <v>6638</v>
      </c>
    </row>
    <row r="412" spans="1:8">
      <c r="A412">
        <v>501552</v>
      </c>
      <c r="B412" t="s">
        <v>6639</v>
      </c>
      <c r="C412" t="s">
        <v>1930</v>
      </c>
      <c r="D412" t="s">
        <v>5859</v>
      </c>
      <c r="E412">
        <v>2.4300000000000002</v>
      </c>
      <c r="F412">
        <v>402325</v>
      </c>
      <c r="G412" s="660">
        <v>44210</v>
      </c>
      <c r="H412" t="s">
        <v>6640</v>
      </c>
    </row>
    <row r="413" spans="1:8">
      <c r="A413">
        <v>501553</v>
      </c>
      <c r="B413" t="s">
        <v>6641</v>
      </c>
      <c r="C413" t="s">
        <v>1930</v>
      </c>
      <c r="D413" t="s">
        <v>5859</v>
      </c>
      <c r="E413">
        <v>1.57</v>
      </c>
      <c r="F413">
        <v>402325</v>
      </c>
      <c r="G413" s="660">
        <v>44210</v>
      </c>
      <c r="H413" t="s">
        <v>6642</v>
      </c>
    </row>
    <row r="414" spans="1:8">
      <c r="A414">
        <v>501554</v>
      </c>
      <c r="B414" t="s">
        <v>6643</v>
      </c>
      <c r="D414" t="s">
        <v>5859</v>
      </c>
      <c r="G414" s="660"/>
      <c r="H414" t="s">
        <v>6644</v>
      </c>
    </row>
    <row r="415" spans="1:8">
      <c r="A415">
        <v>501555</v>
      </c>
      <c r="B415" t="s">
        <v>6645</v>
      </c>
      <c r="C415" t="s">
        <v>1930</v>
      </c>
      <c r="D415" t="s">
        <v>5859</v>
      </c>
      <c r="E415">
        <v>6.41</v>
      </c>
      <c r="F415">
        <v>402334</v>
      </c>
      <c r="G415" s="660">
        <v>44211</v>
      </c>
      <c r="H415" t="s">
        <v>6646</v>
      </c>
    </row>
    <row r="416" spans="1:8">
      <c r="A416">
        <v>501556</v>
      </c>
      <c r="B416" t="s">
        <v>6647</v>
      </c>
      <c r="C416" t="s">
        <v>1930</v>
      </c>
      <c r="D416" t="s">
        <v>5859</v>
      </c>
      <c r="E416">
        <v>4.4800000000000004</v>
      </c>
      <c r="F416">
        <v>402334</v>
      </c>
      <c r="G416" s="660">
        <v>44211</v>
      </c>
      <c r="H416" t="s">
        <v>6648</v>
      </c>
    </row>
    <row r="417" spans="1:8">
      <c r="A417">
        <v>501557</v>
      </c>
      <c r="B417" t="s">
        <v>6649</v>
      </c>
      <c r="C417" t="s">
        <v>1966</v>
      </c>
      <c r="D417" t="s">
        <v>5859</v>
      </c>
      <c r="E417">
        <v>21.55</v>
      </c>
      <c r="F417">
        <v>404595</v>
      </c>
      <c r="G417" s="660">
        <v>44620</v>
      </c>
      <c r="H417" t="s">
        <v>6650</v>
      </c>
    </row>
    <row r="418" spans="1:8">
      <c r="A418">
        <v>501559</v>
      </c>
      <c r="B418" t="s">
        <v>6651</v>
      </c>
      <c r="C418" t="s">
        <v>1966</v>
      </c>
      <c r="D418" t="s">
        <v>5859</v>
      </c>
      <c r="E418">
        <v>19.62</v>
      </c>
      <c r="F418">
        <v>404737</v>
      </c>
      <c r="G418" s="660">
        <v>44642</v>
      </c>
      <c r="H418" t="s">
        <v>6652</v>
      </c>
    </row>
    <row r="419" spans="1:8">
      <c r="A419">
        <v>501560</v>
      </c>
      <c r="B419" t="s">
        <v>6653</v>
      </c>
      <c r="C419" t="s">
        <v>1966</v>
      </c>
      <c r="D419" t="s">
        <v>5859</v>
      </c>
      <c r="E419">
        <v>1.0189999999999999</v>
      </c>
      <c r="F419">
        <v>403844</v>
      </c>
      <c r="G419" s="660">
        <v>44466</v>
      </c>
      <c r="H419" t="s">
        <v>6654</v>
      </c>
    </row>
    <row r="420" spans="1:8">
      <c r="A420">
        <v>501561</v>
      </c>
      <c r="B420" t="s">
        <v>6655</v>
      </c>
      <c r="C420" t="s">
        <v>6656</v>
      </c>
      <c r="D420" t="s">
        <v>5859</v>
      </c>
      <c r="E420">
        <v>333</v>
      </c>
      <c r="F420">
        <v>402649</v>
      </c>
      <c r="G420" s="660">
        <v>44257</v>
      </c>
      <c r="H420" t="s">
        <v>6657</v>
      </c>
    </row>
    <row r="421" spans="1:8">
      <c r="A421">
        <v>501562</v>
      </c>
      <c r="B421" t="s">
        <v>6658</v>
      </c>
      <c r="C421" t="s">
        <v>6656</v>
      </c>
      <c r="D421" t="s">
        <v>5859</v>
      </c>
      <c r="E421">
        <v>53.65</v>
      </c>
      <c r="F421">
        <v>402649</v>
      </c>
      <c r="G421" s="660">
        <v>44257</v>
      </c>
      <c r="H421" t="s">
        <v>6659</v>
      </c>
    </row>
    <row r="422" spans="1:8">
      <c r="A422">
        <v>501563</v>
      </c>
      <c r="B422" t="s">
        <v>6660</v>
      </c>
      <c r="C422" t="s">
        <v>6656</v>
      </c>
      <c r="D422" t="s">
        <v>5859</v>
      </c>
      <c r="E422">
        <v>392</v>
      </c>
      <c r="F422">
        <v>402649</v>
      </c>
      <c r="G422" s="660">
        <v>44257</v>
      </c>
      <c r="H422" t="s">
        <v>6661</v>
      </c>
    </row>
    <row r="423" spans="1:8">
      <c r="A423">
        <v>501564</v>
      </c>
      <c r="B423" t="s">
        <v>800</v>
      </c>
      <c r="C423" t="s">
        <v>1966</v>
      </c>
      <c r="D423" t="s">
        <v>5859</v>
      </c>
      <c r="E423">
        <v>4.4400000000000004</v>
      </c>
      <c r="F423">
        <v>410095</v>
      </c>
      <c r="G423" s="660">
        <v>45750</v>
      </c>
      <c r="H423" t="s">
        <v>6662</v>
      </c>
    </row>
    <row r="424" spans="1:8">
      <c r="A424">
        <v>501565</v>
      </c>
      <c r="B424" t="s">
        <v>6663</v>
      </c>
      <c r="C424" t="s">
        <v>1966</v>
      </c>
      <c r="D424" t="s">
        <v>5859</v>
      </c>
      <c r="E424">
        <v>19.47</v>
      </c>
      <c r="F424">
        <v>406000</v>
      </c>
      <c r="G424" s="660">
        <v>44929</v>
      </c>
      <c r="H424" t="s">
        <v>6664</v>
      </c>
    </row>
    <row r="425" spans="1:8">
      <c r="A425">
        <v>501566</v>
      </c>
      <c r="B425" t="s">
        <v>6665</v>
      </c>
      <c r="C425" t="s">
        <v>1966</v>
      </c>
      <c r="D425" t="s">
        <v>5859</v>
      </c>
      <c r="E425">
        <v>12.2</v>
      </c>
      <c r="F425">
        <v>402675</v>
      </c>
      <c r="G425" s="660">
        <v>44258</v>
      </c>
      <c r="H425" t="s">
        <v>6666</v>
      </c>
    </row>
    <row r="426" spans="1:8">
      <c r="A426">
        <v>501567</v>
      </c>
      <c r="B426" t="s">
        <v>6667</v>
      </c>
      <c r="C426" t="s">
        <v>6078</v>
      </c>
      <c r="D426" t="s">
        <v>5868</v>
      </c>
      <c r="E426">
        <v>2681</v>
      </c>
      <c r="F426">
        <v>405393</v>
      </c>
      <c r="G426" s="660">
        <v>44778</v>
      </c>
      <c r="H426" t="s">
        <v>6668</v>
      </c>
    </row>
    <row r="427" spans="1:8">
      <c r="A427">
        <v>501568</v>
      </c>
      <c r="B427" t="s">
        <v>6669</v>
      </c>
      <c r="C427" t="s">
        <v>6078</v>
      </c>
      <c r="D427" t="s">
        <v>5868</v>
      </c>
      <c r="E427">
        <v>688</v>
      </c>
      <c r="F427">
        <v>409378</v>
      </c>
      <c r="G427" s="660">
        <v>45597</v>
      </c>
      <c r="H427" t="s">
        <v>6670</v>
      </c>
    </row>
    <row r="428" spans="1:8">
      <c r="A428">
        <v>501569</v>
      </c>
      <c r="B428" t="s">
        <v>6671</v>
      </c>
      <c r="C428" t="s">
        <v>6078</v>
      </c>
      <c r="D428" t="s">
        <v>5868</v>
      </c>
      <c r="E428">
        <v>596</v>
      </c>
      <c r="F428">
        <v>409378</v>
      </c>
      <c r="G428" s="660">
        <v>45597</v>
      </c>
      <c r="H428" t="s">
        <v>6672</v>
      </c>
    </row>
    <row r="429" spans="1:8">
      <c r="A429">
        <v>501570</v>
      </c>
      <c r="B429" t="s">
        <v>6673</v>
      </c>
      <c r="C429" t="s">
        <v>1930</v>
      </c>
      <c r="D429" t="s">
        <v>5859</v>
      </c>
      <c r="E429">
        <v>6.7</v>
      </c>
      <c r="F429">
        <v>402627</v>
      </c>
      <c r="G429" s="660">
        <v>44252</v>
      </c>
      <c r="H429" t="s">
        <v>6674</v>
      </c>
    </row>
    <row r="430" spans="1:8">
      <c r="A430">
        <v>501571</v>
      </c>
      <c r="B430" t="s">
        <v>6675</v>
      </c>
      <c r="C430" t="s">
        <v>5442</v>
      </c>
      <c r="D430" t="s">
        <v>5859</v>
      </c>
      <c r="E430">
        <v>29.99</v>
      </c>
      <c r="F430">
        <v>408071</v>
      </c>
      <c r="G430" s="660">
        <v>45351</v>
      </c>
      <c r="H430" t="s">
        <v>6676</v>
      </c>
    </row>
    <row r="431" spans="1:8">
      <c r="A431">
        <v>501572</v>
      </c>
      <c r="B431" t="s">
        <v>6677</v>
      </c>
      <c r="C431" t="s">
        <v>1966</v>
      </c>
      <c r="D431" t="s">
        <v>5859</v>
      </c>
      <c r="E431">
        <v>7.92</v>
      </c>
      <c r="F431">
        <v>402595</v>
      </c>
      <c r="G431" s="660">
        <v>44250</v>
      </c>
      <c r="H431" t="s">
        <v>6678</v>
      </c>
    </row>
    <row r="432" spans="1:8">
      <c r="A432">
        <v>501573</v>
      </c>
      <c r="B432" t="s">
        <v>6679</v>
      </c>
      <c r="C432" t="s">
        <v>1966</v>
      </c>
      <c r="D432" t="s">
        <v>5859</v>
      </c>
      <c r="E432">
        <v>19.739999999999998</v>
      </c>
      <c r="F432">
        <v>402595</v>
      </c>
      <c r="G432" s="660">
        <v>44250</v>
      </c>
      <c r="H432" t="s">
        <v>6680</v>
      </c>
    </row>
    <row r="433" spans="1:8">
      <c r="A433">
        <v>501574</v>
      </c>
      <c r="B433" t="s">
        <v>6681</v>
      </c>
      <c r="C433" t="s">
        <v>6013</v>
      </c>
      <c r="D433" t="s">
        <v>5859</v>
      </c>
      <c r="E433">
        <v>854.82</v>
      </c>
      <c r="F433">
        <v>406897</v>
      </c>
      <c r="G433" s="660">
        <v>45127</v>
      </c>
      <c r="H433" t="s">
        <v>6682</v>
      </c>
    </row>
    <row r="434" spans="1:8">
      <c r="A434">
        <v>501575</v>
      </c>
      <c r="B434" t="s">
        <v>6683</v>
      </c>
      <c r="C434" t="s">
        <v>6684</v>
      </c>
      <c r="D434" t="s">
        <v>5859</v>
      </c>
      <c r="E434">
        <v>339.61</v>
      </c>
      <c r="F434">
        <v>404340</v>
      </c>
      <c r="G434" s="660">
        <v>44573</v>
      </c>
      <c r="H434" t="s">
        <v>6685</v>
      </c>
    </row>
    <row r="435" spans="1:8">
      <c r="A435">
        <v>501577</v>
      </c>
      <c r="B435" t="s">
        <v>801</v>
      </c>
      <c r="C435" t="s">
        <v>1930</v>
      </c>
      <c r="D435" t="s">
        <v>5859</v>
      </c>
      <c r="E435">
        <v>28.47</v>
      </c>
      <c r="F435">
        <v>410094</v>
      </c>
      <c r="G435" s="660">
        <v>45750</v>
      </c>
      <c r="H435" t="s">
        <v>6686</v>
      </c>
    </row>
    <row r="436" spans="1:8">
      <c r="A436">
        <v>501578</v>
      </c>
      <c r="B436" t="s">
        <v>6687</v>
      </c>
      <c r="C436" t="s">
        <v>6347</v>
      </c>
      <c r="D436" t="s">
        <v>5859</v>
      </c>
      <c r="E436">
        <v>870</v>
      </c>
      <c r="F436">
        <v>404348</v>
      </c>
      <c r="G436" s="660">
        <v>44578</v>
      </c>
      <c r="H436" t="s">
        <v>6688</v>
      </c>
    </row>
    <row r="437" spans="1:8">
      <c r="A437">
        <v>501579</v>
      </c>
      <c r="B437" t="s">
        <v>6689</v>
      </c>
      <c r="C437" t="s">
        <v>6347</v>
      </c>
      <c r="D437" t="s">
        <v>2293</v>
      </c>
      <c r="E437">
        <v>906</v>
      </c>
      <c r="F437">
        <v>409333</v>
      </c>
      <c r="G437" s="660">
        <v>45588</v>
      </c>
      <c r="H437" t="s">
        <v>6690</v>
      </c>
    </row>
    <row r="438" spans="1:8">
      <c r="A438">
        <v>501581</v>
      </c>
      <c r="B438" t="s">
        <v>6691</v>
      </c>
      <c r="D438" t="s">
        <v>5859</v>
      </c>
      <c r="G438" s="660"/>
      <c r="H438" t="s">
        <v>2293</v>
      </c>
    </row>
    <row r="439" spans="1:8">
      <c r="A439">
        <v>501583</v>
      </c>
      <c r="B439" t="s">
        <v>802</v>
      </c>
      <c r="C439" t="s">
        <v>1930</v>
      </c>
      <c r="D439" t="s">
        <v>5859</v>
      </c>
      <c r="E439">
        <v>4.63</v>
      </c>
      <c r="F439">
        <v>404755</v>
      </c>
      <c r="G439" s="660">
        <v>44644</v>
      </c>
      <c r="H439" t="s">
        <v>6692</v>
      </c>
    </row>
    <row r="440" spans="1:8">
      <c r="A440">
        <v>501585</v>
      </c>
      <c r="B440" t="s">
        <v>6693</v>
      </c>
      <c r="C440" t="s">
        <v>1930</v>
      </c>
      <c r="D440" t="s">
        <v>5859</v>
      </c>
      <c r="E440">
        <v>3.66</v>
      </c>
      <c r="F440">
        <v>404151</v>
      </c>
      <c r="G440" s="660">
        <v>44522</v>
      </c>
      <c r="H440" t="s">
        <v>6694</v>
      </c>
    </row>
    <row r="441" spans="1:8">
      <c r="A441">
        <v>501587</v>
      </c>
      <c r="B441" t="s">
        <v>803</v>
      </c>
      <c r="C441" t="s">
        <v>1930</v>
      </c>
      <c r="D441" t="s">
        <v>5859</v>
      </c>
      <c r="E441">
        <v>29.26</v>
      </c>
      <c r="F441">
        <v>404063</v>
      </c>
      <c r="G441" s="660">
        <v>44502</v>
      </c>
      <c r="H441" t="s">
        <v>6695</v>
      </c>
    </row>
    <row r="442" spans="1:8">
      <c r="A442">
        <v>501588</v>
      </c>
      <c r="B442" t="s">
        <v>804</v>
      </c>
      <c r="C442" t="s">
        <v>1930</v>
      </c>
      <c r="D442" t="s">
        <v>5859</v>
      </c>
      <c r="E442">
        <v>11.15</v>
      </c>
      <c r="F442">
        <v>404755</v>
      </c>
      <c r="G442" s="660">
        <v>44644</v>
      </c>
      <c r="H442" t="s">
        <v>6696</v>
      </c>
    </row>
    <row r="443" spans="1:8">
      <c r="A443">
        <v>501589</v>
      </c>
      <c r="B443" t="s">
        <v>805</v>
      </c>
      <c r="C443" t="s">
        <v>1930</v>
      </c>
      <c r="D443" t="s">
        <v>5859</v>
      </c>
      <c r="E443">
        <v>13.59</v>
      </c>
      <c r="F443">
        <v>410094</v>
      </c>
      <c r="G443" s="660">
        <v>45750</v>
      </c>
      <c r="H443" t="s">
        <v>6697</v>
      </c>
    </row>
    <row r="444" spans="1:8">
      <c r="A444">
        <v>501590</v>
      </c>
      <c r="B444" t="s">
        <v>6698</v>
      </c>
      <c r="C444" t="s">
        <v>1966</v>
      </c>
      <c r="D444" t="s">
        <v>5859</v>
      </c>
      <c r="E444">
        <v>24.23</v>
      </c>
      <c r="F444">
        <v>402480</v>
      </c>
      <c r="G444" s="660">
        <v>44235</v>
      </c>
      <c r="H444" t="s">
        <v>6699</v>
      </c>
    </row>
    <row r="445" spans="1:8">
      <c r="A445">
        <v>501591</v>
      </c>
      <c r="B445" t="s">
        <v>6700</v>
      </c>
      <c r="C445" t="s">
        <v>1966</v>
      </c>
      <c r="D445" t="s">
        <v>5859</v>
      </c>
      <c r="E445">
        <v>13.64</v>
      </c>
      <c r="F445">
        <v>402480</v>
      </c>
      <c r="G445" s="660">
        <v>44235</v>
      </c>
      <c r="H445" t="s">
        <v>6701</v>
      </c>
    </row>
    <row r="446" spans="1:8">
      <c r="A446">
        <v>501592</v>
      </c>
      <c r="B446" t="s">
        <v>6702</v>
      </c>
      <c r="C446" t="s">
        <v>1966</v>
      </c>
      <c r="D446" t="s">
        <v>5859</v>
      </c>
      <c r="E446">
        <v>10.55</v>
      </c>
      <c r="F446">
        <v>402480</v>
      </c>
      <c r="G446" s="660">
        <v>44235</v>
      </c>
      <c r="H446" t="s">
        <v>6703</v>
      </c>
    </row>
    <row r="447" spans="1:8">
      <c r="A447">
        <v>501596</v>
      </c>
      <c r="B447" t="s">
        <v>806</v>
      </c>
      <c r="C447" t="s">
        <v>1966</v>
      </c>
      <c r="D447" t="s">
        <v>5859</v>
      </c>
      <c r="E447">
        <v>0.375</v>
      </c>
      <c r="F447">
        <v>406283</v>
      </c>
      <c r="G447" s="660">
        <v>44986</v>
      </c>
      <c r="H447" t="s">
        <v>6704</v>
      </c>
    </row>
    <row r="448" spans="1:8">
      <c r="A448">
        <v>501598</v>
      </c>
      <c r="B448" t="s">
        <v>807</v>
      </c>
      <c r="C448" t="s">
        <v>1966</v>
      </c>
      <c r="D448" t="s">
        <v>5859</v>
      </c>
      <c r="E448">
        <v>1.804</v>
      </c>
      <c r="F448">
        <v>409900</v>
      </c>
      <c r="G448" s="660">
        <v>45714</v>
      </c>
      <c r="H448" t="s">
        <v>6705</v>
      </c>
    </row>
    <row r="449" spans="1:8">
      <c r="A449">
        <v>501599</v>
      </c>
      <c r="B449" t="s">
        <v>6706</v>
      </c>
      <c r="C449" t="s">
        <v>6078</v>
      </c>
      <c r="D449" t="s">
        <v>5868</v>
      </c>
      <c r="E449">
        <v>2056</v>
      </c>
      <c r="F449">
        <v>402363</v>
      </c>
      <c r="G449" s="660">
        <v>44217</v>
      </c>
      <c r="H449" t="s">
        <v>6707</v>
      </c>
    </row>
    <row r="450" spans="1:8">
      <c r="A450">
        <v>501600</v>
      </c>
      <c r="B450" t="s">
        <v>808</v>
      </c>
      <c r="C450" t="s">
        <v>1665</v>
      </c>
      <c r="D450" t="s">
        <v>5859</v>
      </c>
      <c r="E450">
        <v>199.53</v>
      </c>
      <c r="F450">
        <v>409140</v>
      </c>
      <c r="G450" s="660">
        <v>45552</v>
      </c>
      <c r="H450" t="s">
        <v>6708</v>
      </c>
    </row>
    <row r="451" spans="1:8">
      <c r="A451">
        <v>501601</v>
      </c>
      <c r="B451" t="s">
        <v>6709</v>
      </c>
      <c r="C451" t="s">
        <v>5995</v>
      </c>
      <c r="D451" t="s">
        <v>6710</v>
      </c>
      <c r="E451">
        <v>86.98</v>
      </c>
      <c r="F451">
        <v>402645</v>
      </c>
      <c r="G451" s="660">
        <v>44253</v>
      </c>
      <c r="H451" t="s">
        <v>6711</v>
      </c>
    </row>
    <row r="452" spans="1:8">
      <c r="A452">
        <v>501604</v>
      </c>
      <c r="B452" t="s">
        <v>6712</v>
      </c>
      <c r="C452" t="s">
        <v>1966</v>
      </c>
      <c r="D452" t="s">
        <v>5859</v>
      </c>
      <c r="E452">
        <v>9.27</v>
      </c>
      <c r="F452">
        <v>407599</v>
      </c>
      <c r="G452" s="660">
        <v>45266</v>
      </c>
      <c r="H452" t="s">
        <v>6713</v>
      </c>
    </row>
    <row r="453" spans="1:8">
      <c r="A453">
        <v>501605</v>
      </c>
      <c r="B453" t="s">
        <v>809</v>
      </c>
      <c r="C453" t="s">
        <v>1930</v>
      </c>
      <c r="D453" t="s">
        <v>5859</v>
      </c>
      <c r="E453">
        <v>7.4</v>
      </c>
      <c r="F453">
        <v>406872</v>
      </c>
      <c r="G453" s="660">
        <v>45120</v>
      </c>
      <c r="H453" t="s">
        <v>6714</v>
      </c>
    </row>
    <row r="454" spans="1:8">
      <c r="A454">
        <v>501607</v>
      </c>
      <c r="B454" t="s">
        <v>6715</v>
      </c>
      <c r="C454" t="s">
        <v>1930</v>
      </c>
      <c r="D454" t="s">
        <v>5859</v>
      </c>
      <c r="E454">
        <v>22.07</v>
      </c>
      <c r="F454">
        <v>402512</v>
      </c>
      <c r="G454" s="660">
        <v>44238</v>
      </c>
      <c r="H454" t="s">
        <v>6716</v>
      </c>
    </row>
    <row r="455" spans="1:8">
      <c r="A455">
        <v>501608</v>
      </c>
      <c r="B455" t="s">
        <v>6717</v>
      </c>
      <c r="C455" t="s">
        <v>5941</v>
      </c>
      <c r="D455" t="s">
        <v>5859</v>
      </c>
      <c r="E455">
        <v>19.850000000000001</v>
      </c>
      <c r="F455">
        <v>402670</v>
      </c>
      <c r="G455" s="660">
        <v>44257</v>
      </c>
      <c r="H455" t="s">
        <v>6718</v>
      </c>
    </row>
    <row r="456" spans="1:8">
      <c r="A456">
        <v>501610</v>
      </c>
      <c r="B456" t="s">
        <v>6719</v>
      </c>
      <c r="C456" t="s">
        <v>6013</v>
      </c>
      <c r="D456" t="s">
        <v>5859</v>
      </c>
      <c r="E456">
        <v>1087.9000000000001</v>
      </c>
      <c r="F456">
        <v>403444</v>
      </c>
      <c r="G456" s="660">
        <v>44383</v>
      </c>
      <c r="H456" t="s">
        <v>6720</v>
      </c>
    </row>
    <row r="457" spans="1:8">
      <c r="A457">
        <v>501611</v>
      </c>
      <c r="B457" t="s">
        <v>6721</v>
      </c>
      <c r="C457" t="s">
        <v>6013</v>
      </c>
      <c r="D457" t="s">
        <v>5859</v>
      </c>
      <c r="E457">
        <v>840.79</v>
      </c>
      <c r="F457">
        <v>403444</v>
      </c>
      <c r="G457" s="660">
        <v>44383</v>
      </c>
      <c r="H457" t="s">
        <v>6722</v>
      </c>
    </row>
    <row r="458" spans="1:8">
      <c r="A458">
        <v>501612</v>
      </c>
      <c r="B458" t="s">
        <v>6723</v>
      </c>
      <c r="C458" t="s">
        <v>1966</v>
      </c>
      <c r="D458" t="s">
        <v>5859</v>
      </c>
      <c r="E458">
        <v>166.84</v>
      </c>
      <c r="F458">
        <v>402538</v>
      </c>
      <c r="G458" s="660">
        <v>44243</v>
      </c>
      <c r="H458" t="s">
        <v>6724</v>
      </c>
    </row>
    <row r="459" spans="1:8">
      <c r="A459">
        <v>501613</v>
      </c>
      <c r="B459" t="s">
        <v>6725</v>
      </c>
      <c r="C459" t="s">
        <v>1966</v>
      </c>
      <c r="D459" t="s">
        <v>5859</v>
      </c>
      <c r="E459">
        <v>76.3</v>
      </c>
      <c r="F459">
        <v>402538</v>
      </c>
      <c r="G459" s="660">
        <v>44243</v>
      </c>
      <c r="H459" t="s">
        <v>6726</v>
      </c>
    </row>
    <row r="460" spans="1:8">
      <c r="A460">
        <v>501614</v>
      </c>
      <c r="B460" t="s">
        <v>6727</v>
      </c>
      <c r="C460" t="s">
        <v>1966</v>
      </c>
      <c r="D460" t="s">
        <v>5859</v>
      </c>
      <c r="E460">
        <v>18.850000000000001</v>
      </c>
      <c r="F460">
        <v>406134</v>
      </c>
      <c r="G460" s="660">
        <v>44957</v>
      </c>
      <c r="H460" t="s">
        <v>6728</v>
      </c>
    </row>
    <row r="461" spans="1:8">
      <c r="A461">
        <v>501617</v>
      </c>
      <c r="B461" t="s">
        <v>6729</v>
      </c>
      <c r="D461" t="s">
        <v>5901</v>
      </c>
      <c r="G461" s="660"/>
      <c r="H461" t="s">
        <v>6730</v>
      </c>
    </row>
    <row r="462" spans="1:8">
      <c r="A462">
        <v>501618</v>
      </c>
      <c r="B462" t="s">
        <v>6731</v>
      </c>
      <c r="D462" t="s">
        <v>5901</v>
      </c>
      <c r="G462" s="660"/>
      <c r="H462" t="s">
        <v>6730</v>
      </c>
    </row>
    <row r="463" spans="1:8">
      <c r="A463">
        <v>501619</v>
      </c>
      <c r="B463" t="s">
        <v>6732</v>
      </c>
      <c r="C463" t="s">
        <v>1966</v>
      </c>
      <c r="D463" t="s">
        <v>5859</v>
      </c>
      <c r="E463">
        <v>3.54</v>
      </c>
      <c r="F463">
        <v>405161</v>
      </c>
      <c r="G463" s="660">
        <v>44727</v>
      </c>
      <c r="H463" t="s">
        <v>6733</v>
      </c>
    </row>
    <row r="464" spans="1:8">
      <c r="A464">
        <v>501621</v>
      </c>
      <c r="B464" t="s">
        <v>6734</v>
      </c>
      <c r="C464" t="s">
        <v>1665</v>
      </c>
      <c r="D464" t="s">
        <v>5859</v>
      </c>
      <c r="E464">
        <v>73.650000000000006</v>
      </c>
      <c r="F464">
        <v>402583</v>
      </c>
      <c r="G464" s="660">
        <v>44246</v>
      </c>
      <c r="H464" t="s">
        <v>6735</v>
      </c>
    </row>
    <row r="465" spans="1:8">
      <c r="A465">
        <v>501622</v>
      </c>
      <c r="B465" t="s">
        <v>6736</v>
      </c>
      <c r="C465" t="s">
        <v>1966</v>
      </c>
      <c r="D465" t="s">
        <v>5859</v>
      </c>
      <c r="E465">
        <v>3</v>
      </c>
      <c r="F465">
        <v>402595</v>
      </c>
      <c r="G465" s="660">
        <v>44250</v>
      </c>
      <c r="H465" t="s">
        <v>6737</v>
      </c>
    </row>
    <row r="466" spans="1:8">
      <c r="A466">
        <v>501623</v>
      </c>
      <c r="B466" t="s">
        <v>6738</v>
      </c>
      <c r="C466" t="s">
        <v>1966</v>
      </c>
      <c r="D466" t="s">
        <v>5859</v>
      </c>
      <c r="E466">
        <v>4.59</v>
      </c>
      <c r="F466">
        <v>403071</v>
      </c>
      <c r="G466" s="660">
        <v>44327</v>
      </c>
      <c r="H466" t="s">
        <v>6739</v>
      </c>
    </row>
    <row r="467" spans="1:8">
      <c r="A467">
        <v>501624</v>
      </c>
      <c r="B467" t="s">
        <v>6740</v>
      </c>
      <c r="C467" t="s">
        <v>5442</v>
      </c>
      <c r="D467" t="s">
        <v>5868</v>
      </c>
      <c r="E467">
        <v>300.29000000000002</v>
      </c>
      <c r="F467">
        <v>403471</v>
      </c>
      <c r="G467" s="660">
        <v>44386</v>
      </c>
      <c r="H467" t="s">
        <v>6741</v>
      </c>
    </row>
    <row r="468" spans="1:8">
      <c r="A468">
        <v>501626</v>
      </c>
      <c r="B468" t="s">
        <v>6742</v>
      </c>
      <c r="C468" t="s">
        <v>1966</v>
      </c>
      <c r="D468" t="s">
        <v>5859</v>
      </c>
      <c r="E468">
        <v>119.14</v>
      </c>
      <c r="F468">
        <v>402641</v>
      </c>
      <c r="G468" s="660">
        <v>44253</v>
      </c>
      <c r="H468" t="s">
        <v>6743</v>
      </c>
    </row>
    <row r="469" spans="1:8">
      <c r="A469">
        <v>501627</v>
      </c>
      <c r="B469" t="s">
        <v>6744</v>
      </c>
      <c r="C469" t="s">
        <v>6078</v>
      </c>
      <c r="D469" t="s">
        <v>5868</v>
      </c>
      <c r="E469">
        <v>423</v>
      </c>
      <c r="F469">
        <v>408728</v>
      </c>
      <c r="G469" s="660">
        <v>45462</v>
      </c>
      <c r="H469" t="s">
        <v>6745</v>
      </c>
    </row>
    <row r="470" spans="1:8">
      <c r="A470">
        <v>501628</v>
      </c>
      <c r="B470" t="s">
        <v>6746</v>
      </c>
      <c r="C470" t="s">
        <v>6684</v>
      </c>
      <c r="D470" t="s">
        <v>5859</v>
      </c>
      <c r="E470">
        <v>37.659999999999997</v>
      </c>
      <c r="F470">
        <v>403132</v>
      </c>
      <c r="G470" s="660">
        <v>44337</v>
      </c>
      <c r="H470" t="s">
        <v>6747</v>
      </c>
    </row>
    <row r="471" spans="1:8">
      <c r="A471">
        <v>501629</v>
      </c>
      <c r="B471" t="s">
        <v>6748</v>
      </c>
      <c r="C471" t="s">
        <v>1966</v>
      </c>
      <c r="D471" t="s">
        <v>5859</v>
      </c>
      <c r="E471">
        <v>38.31</v>
      </c>
      <c r="F471">
        <v>403122</v>
      </c>
      <c r="G471" s="660">
        <v>44335</v>
      </c>
      <c r="H471" t="s">
        <v>6749</v>
      </c>
    </row>
    <row r="472" spans="1:8">
      <c r="A472">
        <v>501630</v>
      </c>
      <c r="B472" t="s">
        <v>6750</v>
      </c>
      <c r="C472" t="s">
        <v>1930</v>
      </c>
      <c r="D472" t="s">
        <v>5859</v>
      </c>
      <c r="E472">
        <v>71.099999999999994</v>
      </c>
      <c r="F472">
        <v>405829</v>
      </c>
      <c r="G472" s="660">
        <v>44874</v>
      </c>
      <c r="H472" t="s">
        <v>6751</v>
      </c>
    </row>
    <row r="473" spans="1:8">
      <c r="A473">
        <v>501632</v>
      </c>
      <c r="B473" t="s">
        <v>6752</v>
      </c>
      <c r="C473" t="s">
        <v>1930</v>
      </c>
      <c r="D473" t="s">
        <v>5859</v>
      </c>
      <c r="E473">
        <v>2.85</v>
      </c>
      <c r="F473">
        <v>409192</v>
      </c>
      <c r="G473" s="660">
        <v>45561</v>
      </c>
      <c r="H473" t="s">
        <v>6753</v>
      </c>
    </row>
    <row r="474" spans="1:8">
      <c r="A474">
        <v>501633</v>
      </c>
      <c r="B474" t="s">
        <v>6754</v>
      </c>
      <c r="C474" t="s">
        <v>1930</v>
      </c>
      <c r="D474" t="s">
        <v>5859</v>
      </c>
      <c r="E474">
        <v>415.45</v>
      </c>
      <c r="F474">
        <v>404561</v>
      </c>
      <c r="G474" s="660">
        <v>44615</v>
      </c>
      <c r="H474" t="s">
        <v>6755</v>
      </c>
    </row>
    <row r="475" spans="1:8">
      <c r="A475">
        <v>501634</v>
      </c>
      <c r="B475" t="s">
        <v>6756</v>
      </c>
      <c r="C475" t="s">
        <v>1665</v>
      </c>
      <c r="D475" t="s">
        <v>5859</v>
      </c>
      <c r="E475">
        <v>220</v>
      </c>
      <c r="F475">
        <v>407946</v>
      </c>
      <c r="G475" s="660">
        <v>45328</v>
      </c>
      <c r="H475" t="s">
        <v>6196</v>
      </c>
    </row>
    <row r="476" spans="1:8">
      <c r="A476">
        <v>501635</v>
      </c>
      <c r="B476" t="s">
        <v>6757</v>
      </c>
      <c r="C476" t="s">
        <v>1930</v>
      </c>
      <c r="D476" t="s">
        <v>5859</v>
      </c>
      <c r="E476">
        <v>535</v>
      </c>
      <c r="F476">
        <v>404276</v>
      </c>
      <c r="G476" s="660">
        <v>44564</v>
      </c>
      <c r="H476" t="s">
        <v>6758</v>
      </c>
    </row>
    <row r="477" spans="1:8">
      <c r="A477">
        <v>501636</v>
      </c>
      <c r="B477" t="s">
        <v>6759</v>
      </c>
      <c r="C477" t="s">
        <v>1665</v>
      </c>
      <c r="D477" t="s">
        <v>5859</v>
      </c>
      <c r="E477">
        <v>72.319999999999993</v>
      </c>
      <c r="F477">
        <v>408770</v>
      </c>
      <c r="G477" s="660">
        <v>45471</v>
      </c>
      <c r="H477" t="s">
        <v>6377</v>
      </c>
    </row>
    <row r="478" spans="1:8">
      <c r="A478">
        <v>501637</v>
      </c>
      <c r="B478" t="s">
        <v>6760</v>
      </c>
      <c r="D478" t="s">
        <v>5859</v>
      </c>
      <c r="G478" s="660"/>
      <c r="H478" t="s">
        <v>6377</v>
      </c>
    </row>
    <row r="479" spans="1:8">
      <c r="A479">
        <v>501638</v>
      </c>
      <c r="B479" t="s">
        <v>6761</v>
      </c>
      <c r="C479" t="s">
        <v>6004</v>
      </c>
      <c r="D479" t="s">
        <v>5859</v>
      </c>
      <c r="E479">
        <v>6.75</v>
      </c>
      <c r="F479">
        <v>403745</v>
      </c>
      <c r="G479" s="660">
        <v>44440</v>
      </c>
      <c r="H479" t="s">
        <v>6762</v>
      </c>
    </row>
    <row r="480" spans="1:8">
      <c r="A480">
        <v>501640</v>
      </c>
      <c r="B480" t="s">
        <v>6763</v>
      </c>
      <c r="C480" t="s">
        <v>6078</v>
      </c>
      <c r="D480" t="s">
        <v>5868</v>
      </c>
      <c r="E480">
        <v>3226</v>
      </c>
      <c r="F480">
        <v>409378</v>
      </c>
      <c r="G480" s="660">
        <v>45597</v>
      </c>
      <c r="H480" t="s">
        <v>6764</v>
      </c>
    </row>
    <row r="481" spans="1:8">
      <c r="A481">
        <v>501642</v>
      </c>
      <c r="B481" t="s">
        <v>1417</v>
      </c>
      <c r="C481" t="s">
        <v>1665</v>
      </c>
      <c r="D481" t="s">
        <v>5859</v>
      </c>
      <c r="E481">
        <v>643.87</v>
      </c>
      <c r="F481">
        <v>409991</v>
      </c>
      <c r="G481" s="660">
        <v>45728</v>
      </c>
      <c r="H481" t="s">
        <v>1418</v>
      </c>
    </row>
    <row r="482" spans="1:8">
      <c r="A482">
        <v>501643</v>
      </c>
      <c r="B482" t="s">
        <v>1415</v>
      </c>
      <c r="C482" t="s">
        <v>1665</v>
      </c>
      <c r="D482" t="s">
        <v>5859</v>
      </c>
      <c r="E482">
        <v>716.42</v>
      </c>
      <c r="F482">
        <v>409991</v>
      </c>
      <c r="G482" s="660">
        <v>45728</v>
      </c>
      <c r="H482" t="s">
        <v>1416</v>
      </c>
    </row>
    <row r="483" spans="1:8">
      <c r="A483">
        <v>501644</v>
      </c>
      <c r="B483" t="s">
        <v>6765</v>
      </c>
      <c r="C483" t="s">
        <v>1665</v>
      </c>
      <c r="D483" t="s">
        <v>5859</v>
      </c>
      <c r="E483">
        <v>715.39</v>
      </c>
      <c r="F483">
        <v>409991</v>
      </c>
      <c r="G483" s="660">
        <v>45728</v>
      </c>
      <c r="H483" t="s">
        <v>6766</v>
      </c>
    </row>
    <row r="484" spans="1:8">
      <c r="A484">
        <v>501647</v>
      </c>
      <c r="B484" t="s">
        <v>1334</v>
      </c>
      <c r="C484" t="s">
        <v>5992</v>
      </c>
      <c r="D484" t="s">
        <v>5868</v>
      </c>
      <c r="E484">
        <v>456</v>
      </c>
      <c r="F484">
        <v>409198</v>
      </c>
      <c r="G484" s="660">
        <v>45561</v>
      </c>
      <c r="H484" t="s">
        <v>1335</v>
      </c>
    </row>
    <row r="485" spans="1:8">
      <c r="A485">
        <v>501648</v>
      </c>
      <c r="B485" t="s">
        <v>6767</v>
      </c>
      <c r="C485" t="s">
        <v>1665</v>
      </c>
      <c r="D485" t="s">
        <v>5859</v>
      </c>
      <c r="E485">
        <v>574.1</v>
      </c>
      <c r="F485">
        <v>404691</v>
      </c>
      <c r="G485" s="660">
        <v>44636</v>
      </c>
      <c r="H485" t="s">
        <v>6768</v>
      </c>
    </row>
    <row r="486" spans="1:8">
      <c r="A486">
        <v>501649</v>
      </c>
      <c r="B486" t="s">
        <v>6769</v>
      </c>
      <c r="C486" t="s">
        <v>1665</v>
      </c>
      <c r="D486" t="s">
        <v>5859</v>
      </c>
      <c r="E486">
        <v>1016.83</v>
      </c>
      <c r="F486">
        <v>409991</v>
      </c>
      <c r="G486" s="660">
        <v>45728</v>
      </c>
      <c r="H486" t="s">
        <v>6770</v>
      </c>
    </row>
    <row r="487" spans="1:8">
      <c r="A487">
        <v>501651</v>
      </c>
      <c r="B487" t="s">
        <v>6771</v>
      </c>
      <c r="C487" t="s">
        <v>1930</v>
      </c>
      <c r="D487" t="s">
        <v>5859</v>
      </c>
      <c r="E487">
        <v>109.46</v>
      </c>
      <c r="F487">
        <v>405829</v>
      </c>
      <c r="G487" s="660">
        <v>44874</v>
      </c>
      <c r="H487" t="s">
        <v>6772</v>
      </c>
    </row>
    <row r="488" spans="1:8">
      <c r="A488">
        <v>501654</v>
      </c>
      <c r="B488" t="s">
        <v>6773</v>
      </c>
      <c r="C488" t="s">
        <v>1930</v>
      </c>
      <c r="D488" t="s">
        <v>5859</v>
      </c>
      <c r="E488">
        <v>16.100000000000001</v>
      </c>
      <c r="F488">
        <v>410369</v>
      </c>
      <c r="G488" s="660">
        <v>45798</v>
      </c>
      <c r="H488" t="s">
        <v>6774</v>
      </c>
    </row>
    <row r="489" spans="1:8">
      <c r="A489">
        <v>501655</v>
      </c>
      <c r="B489" t="s">
        <v>6775</v>
      </c>
      <c r="C489" t="s">
        <v>6336</v>
      </c>
      <c r="D489" t="s">
        <v>5859</v>
      </c>
      <c r="E489">
        <v>22.61</v>
      </c>
      <c r="F489">
        <v>410371</v>
      </c>
      <c r="G489" s="660">
        <v>45798</v>
      </c>
      <c r="H489" t="s">
        <v>6776</v>
      </c>
    </row>
    <row r="490" spans="1:8">
      <c r="A490">
        <v>501656</v>
      </c>
      <c r="B490" t="s">
        <v>6777</v>
      </c>
      <c r="C490" t="s">
        <v>1966</v>
      </c>
      <c r="D490" t="s">
        <v>5859</v>
      </c>
      <c r="E490">
        <v>7.76</v>
      </c>
      <c r="F490">
        <v>409977</v>
      </c>
      <c r="G490" s="660">
        <v>45727</v>
      </c>
      <c r="H490" t="s">
        <v>6778</v>
      </c>
    </row>
    <row r="491" spans="1:8">
      <c r="A491">
        <v>501657</v>
      </c>
      <c r="B491" t="s">
        <v>6779</v>
      </c>
      <c r="C491" t="s">
        <v>1930</v>
      </c>
      <c r="D491" t="s">
        <v>5859</v>
      </c>
      <c r="E491">
        <v>217</v>
      </c>
      <c r="F491">
        <v>402821</v>
      </c>
      <c r="G491" s="660">
        <v>44280</v>
      </c>
      <c r="H491" t="s">
        <v>6780</v>
      </c>
    </row>
    <row r="492" spans="1:8">
      <c r="A492">
        <v>501658</v>
      </c>
      <c r="B492" t="s">
        <v>6781</v>
      </c>
      <c r="C492" t="s">
        <v>1930</v>
      </c>
      <c r="D492" t="s">
        <v>5859</v>
      </c>
      <c r="E492">
        <v>28</v>
      </c>
      <c r="F492">
        <v>402821</v>
      </c>
      <c r="G492" s="660">
        <v>44280</v>
      </c>
      <c r="H492" t="s">
        <v>2293</v>
      </c>
    </row>
    <row r="493" spans="1:8">
      <c r="A493">
        <v>501660</v>
      </c>
      <c r="B493" t="s">
        <v>6782</v>
      </c>
      <c r="C493" t="s">
        <v>5951</v>
      </c>
      <c r="D493" t="s">
        <v>5859</v>
      </c>
      <c r="E493">
        <v>2195.8000000000002</v>
      </c>
      <c r="F493">
        <v>407395</v>
      </c>
      <c r="G493" s="660">
        <v>45223</v>
      </c>
      <c r="H493" t="s">
        <v>6783</v>
      </c>
    </row>
    <row r="494" spans="1:8">
      <c r="A494">
        <v>501661</v>
      </c>
      <c r="B494" t="s">
        <v>6784</v>
      </c>
      <c r="C494" t="s">
        <v>5941</v>
      </c>
      <c r="D494" t="s">
        <v>5859</v>
      </c>
      <c r="E494">
        <v>51.8</v>
      </c>
      <c r="F494">
        <v>405635</v>
      </c>
      <c r="G494" s="660">
        <v>44823</v>
      </c>
      <c r="H494" t="s">
        <v>6785</v>
      </c>
    </row>
    <row r="495" spans="1:8">
      <c r="A495">
        <v>501662</v>
      </c>
      <c r="B495" t="s">
        <v>6786</v>
      </c>
      <c r="C495" t="s">
        <v>5941</v>
      </c>
      <c r="D495" t="s">
        <v>5859</v>
      </c>
      <c r="E495">
        <v>52.9</v>
      </c>
      <c r="F495">
        <v>407445</v>
      </c>
      <c r="G495" s="660">
        <v>45231</v>
      </c>
      <c r="H495" t="s">
        <v>6787</v>
      </c>
    </row>
    <row r="496" spans="1:8">
      <c r="A496">
        <v>501663</v>
      </c>
      <c r="B496" t="s">
        <v>6788</v>
      </c>
      <c r="C496" t="s">
        <v>6078</v>
      </c>
      <c r="D496" t="s">
        <v>5868</v>
      </c>
      <c r="E496">
        <v>3512</v>
      </c>
      <c r="F496">
        <v>405691</v>
      </c>
      <c r="G496" s="660">
        <v>44838</v>
      </c>
      <c r="H496" t="s">
        <v>6789</v>
      </c>
    </row>
    <row r="497" spans="1:8">
      <c r="A497">
        <v>501665</v>
      </c>
      <c r="B497" t="s">
        <v>6790</v>
      </c>
      <c r="C497" t="s">
        <v>6078</v>
      </c>
      <c r="D497" t="s">
        <v>5868</v>
      </c>
      <c r="E497">
        <v>3092</v>
      </c>
      <c r="F497">
        <v>407146</v>
      </c>
      <c r="G497" s="660">
        <v>45182</v>
      </c>
      <c r="H497" t="s">
        <v>6764</v>
      </c>
    </row>
    <row r="498" spans="1:8">
      <c r="A498">
        <v>501667</v>
      </c>
      <c r="B498" t="s">
        <v>6791</v>
      </c>
      <c r="C498" t="s">
        <v>1665</v>
      </c>
      <c r="D498" t="s">
        <v>5859</v>
      </c>
      <c r="E498">
        <v>1964.74</v>
      </c>
      <c r="F498">
        <v>402906</v>
      </c>
      <c r="G498" s="660">
        <v>44299</v>
      </c>
      <c r="H498" t="s">
        <v>6792</v>
      </c>
    </row>
    <row r="499" spans="1:8">
      <c r="A499">
        <v>501668</v>
      </c>
      <c r="B499" t="s">
        <v>6793</v>
      </c>
      <c r="C499" t="s">
        <v>5992</v>
      </c>
      <c r="D499" t="s">
        <v>5859</v>
      </c>
      <c r="E499">
        <v>620</v>
      </c>
      <c r="F499">
        <v>407212</v>
      </c>
      <c r="G499" s="660">
        <v>45191</v>
      </c>
      <c r="H499" t="s">
        <v>1327</v>
      </c>
    </row>
    <row r="500" spans="1:8">
      <c r="A500">
        <v>501669</v>
      </c>
      <c r="B500" t="s">
        <v>6794</v>
      </c>
      <c r="C500" t="s">
        <v>6497</v>
      </c>
      <c r="D500" t="s">
        <v>5868</v>
      </c>
      <c r="E500">
        <v>1009.8</v>
      </c>
      <c r="F500">
        <v>409779</v>
      </c>
      <c r="G500" s="660">
        <v>45693</v>
      </c>
      <c r="H500" t="s">
        <v>6795</v>
      </c>
    </row>
    <row r="501" spans="1:8">
      <c r="A501">
        <v>501670</v>
      </c>
      <c r="B501" t="s">
        <v>6796</v>
      </c>
      <c r="C501" t="s">
        <v>1966</v>
      </c>
      <c r="D501" t="s">
        <v>5859</v>
      </c>
      <c r="E501">
        <v>50.17</v>
      </c>
      <c r="F501">
        <v>405362</v>
      </c>
      <c r="G501" s="660">
        <v>44773</v>
      </c>
      <c r="H501" t="s">
        <v>6797</v>
      </c>
    </row>
    <row r="502" spans="1:8">
      <c r="A502">
        <v>501671</v>
      </c>
      <c r="B502" t="s">
        <v>6798</v>
      </c>
      <c r="C502" t="s">
        <v>1930</v>
      </c>
      <c r="D502" t="s">
        <v>5859</v>
      </c>
      <c r="E502">
        <v>46.25</v>
      </c>
      <c r="F502">
        <v>402894</v>
      </c>
      <c r="G502" s="660">
        <v>44295</v>
      </c>
      <c r="H502" t="s">
        <v>6799</v>
      </c>
    </row>
    <row r="503" spans="1:8">
      <c r="A503">
        <v>501672</v>
      </c>
      <c r="B503" t="s">
        <v>6800</v>
      </c>
      <c r="C503" t="s">
        <v>6078</v>
      </c>
      <c r="D503" t="s">
        <v>5868</v>
      </c>
      <c r="E503">
        <v>2325</v>
      </c>
      <c r="F503">
        <v>403559</v>
      </c>
      <c r="G503" s="660">
        <v>44404</v>
      </c>
      <c r="H503" t="s">
        <v>6801</v>
      </c>
    </row>
    <row r="504" spans="1:8">
      <c r="A504">
        <v>501673</v>
      </c>
      <c r="B504" t="s">
        <v>6802</v>
      </c>
      <c r="C504" t="s">
        <v>6497</v>
      </c>
      <c r="D504" t="s">
        <v>5868</v>
      </c>
      <c r="E504">
        <v>163.19999999999999</v>
      </c>
      <c r="F504">
        <v>408727</v>
      </c>
      <c r="G504" s="660">
        <v>45462</v>
      </c>
      <c r="H504" t="s">
        <v>6803</v>
      </c>
    </row>
    <row r="505" spans="1:8">
      <c r="A505">
        <v>501674</v>
      </c>
      <c r="B505" t="s">
        <v>6804</v>
      </c>
      <c r="C505" t="s">
        <v>6497</v>
      </c>
      <c r="D505" t="s">
        <v>5868</v>
      </c>
      <c r="E505">
        <v>1098.2</v>
      </c>
      <c r="F505">
        <v>408727</v>
      </c>
      <c r="G505" s="660">
        <v>45462</v>
      </c>
      <c r="H505" t="s">
        <v>6805</v>
      </c>
    </row>
    <row r="506" spans="1:8">
      <c r="A506">
        <v>501676</v>
      </c>
      <c r="B506" t="s">
        <v>6806</v>
      </c>
      <c r="C506" t="s">
        <v>1966</v>
      </c>
      <c r="D506" t="s">
        <v>5859</v>
      </c>
      <c r="E506">
        <v>25.4</v>
      </c>
      <c r="F506">
        <v>404670</v>
      </c>
      <c r="G506" s="660">
        <v>44635</v>
      </c>
      <c r="H506" t="s">
        <v>6807</v>
      </c>
    </row>
    <row r="507" spans="1:8">
      <c r="A507">
        <v>501677</v>
      </c>
      <c r="B507" t="s">
        <v>6808</v>
      </c>
      <c r="D507" t="s">
        <v>5859</v>
      </c>
      <c r="G507" s="660"/>
      <c r="H507" t="s">
        <v>6809</v>
      </c>
    </row>
    <row r="508" spans="1:8">
      <c r="A508">
        <v>501678</v>
      </c>
      <c r="B508" t="s">
        <v>6810</v>
      </c>
      <c r="D508" t="s">
        <v>5859</v>
      </c>
      <c r="G508" s="660"/>
      <c r="H508" t="s">
        <v>6811</v>
      </c>
    </row>
    <row r="509" spans="1:8">
      <c r="A509">
        <v>501679</v>
      </c>
      <c r="B509" t="s">
        <v>6812</v>
      </c>
      <c r="C509" t="s">
        <v>1930</v>
      </c>
      <c r="D509" t="s">
        <v>5859</v>
      </c>
      <c r="E509">
        <v>77.760000000000005</v>
      </c>
      <c r="F509">
        <v>404151</v>
      </c>
      <c r="G509" s="660">
        <v>44522</v>
      </c>
      <c r="H509" t="s">
        <v>6813</v>
      </c>
    </row>
    <row r="510" spans="1:8">
      <c r="A510">
        <v>501680</v>
      </c>
      <c r="B510" t="s">
        <v>6814</v>
      </c>
      <c r="C510" t="s">
        <v>6169</v>
      </c>
      <c r="D510" t="s">
        <v>5859</v>
      </c>
      <c r="E510">
        <v>763</v>
      </c>
      <c r="F510">
        <v>403598</v>
      </c>
      <c r="G510" s="660">
        <v>44413</v>
      </c>
      <c r="H510" t="s">
        <v>6815</v>
      </c>
    </row>
    <row r="511" spans="1:8">
      <c r="A511">
        <v>501681</v>
      </c>
      <c r="B511" t="s">
        <v>6816</v>
      </c>
      <c r="C511" t="s">
        <v>1930</v>
      </c>
      <c r="D511" t="s">
        <v>5859</v>
      </c>
      <c r="E511">
        <v>1.51</v>
      </c>
      <c r="F511">
        <v>402943</v>
      </c>
      <c r="G511" s="660">
        <v>44306</v>
      </c>
      <c r="H511" t="s">
        <v>6817</v>
      </c>
    </row>
    <row r="512" spans="1:8">
      <c r="A512">
        <v>501682</v>
      </c>
      <c r="B512" t="s">
        <v>6818</v>
      </c>
      <c r="D512" t="s">
        <v>5859</v>
      </c>
      <c r="G512" s="660"/>
      <c r="H512" t="s">
        <v>6819</v>
      </c>
    </row>
    <row r="513" spans="1:8">
      <c r="A513">
        <v>501683</v>
      </c>
      <c r="B513" t="s">
        <v>6820</v>
      </c>
      <c r="D513" t="s">
        <v>5859</v>
      </c>
      <c r="G513" s="660"/>
      <c r="H513" t="s">
        <v>6821</v>
      </c>
    </row>
    <row r="514" spans="1:8">
      <c r="A514">
        <v>501685</v>
      </c>
      <c r="B514" t="s">
        <v>6822</v>
      </c>
      <c r="C514" t="s">
        <v>1665</v>
      </c>
      <c r="D514" t="s">
        <v>5859</v>
      </c>
      <c r="E514">
        <v>64.16</v>
      </c>
      <c r="F514">
        <v>407703</v>
      </c>
      <c r="G514" s="660">
        <v>45289</v>
      </c>
      <c r="H514" t="s">
        <v>6823</v>
      </c>
    </row>
    <row r="515" spans="1:8">
      <c r="A515">
        <v>501686</v>
      </c>
      <c r="B515" t="s">
        <v>6824</v>
      </c>
      <c r="C515" t="s">
        <v>1930</v>
      </c>
      <c r="D515" t="s">
        <v>5859</v>
      </c>
      <c r="E515">
        <v>2.59</v>
      </c>
      <c r="F515">
        <v>403885</v>
      </c>
      <c r="G515" s="660">
        <v>44474</v>
      </c>
      <c r="H515" t="s">
        <v>6825</v>
      </c>
    </row>
    <row r="516" spans="1:8">
      <c r="A516">
        <v>501688</v>
      </c>
      <c r="B516" t="s">
        <v>811</v>
      </c>
      <c r="C516" t="s">
        <v>1966</v>
      </c>
      <c r="D516" t="s">
        <v>5859</v>
      </c>
      <c r="E516">
        <v>28.86</v>
      </c>
      <c r="F516">
        <v>409280</v>
      </c>
      <c r="G516" s="660">
        <v>45579</v>
      </c>
      <c r="H516" t="s">
        <v>6826</v>
      </c>
    </row>
    <row r="517" spans="1:8">
      <c r="A517">
        <v>501689</v>
      </c>
      <c r="B517" t="s">
        <v>6827</v>
      </c>
      <c r="C517" t="s">
        <v>1966</v>
      </c>
      <c r="D517" t="s">
        <v>5859</v>
      </c>
      <c r="E517">
        <v>0.29859999999999998</v>
      </c>
      <c r="F517">
        <v>403048</v>
      </c>
      <c r="G517" s="660">
        <v>44322</v>
      </c>
      <c r="H517" t="s">
        <v>6828</v>
      </c>
    </row>
    <row r="518" spans="1:8">
      <c r="A518">
        <v>501690</v>
      </c>
      <c r="B518" t="s">
        <v>6829</v>
      </c>
      <c r="D518" t="s">
        <v>6830</v>
      </c>
      <c r="G518" s="660"/>
      <c r="H518" t="s">
        <v>2293</v>
      </c>
    </row>
    <row r="519" spans="1:8">
      <c r="A519">
        <v>501691</v>
      </c>
      <c r="B519" t="s">
        <v>6831</v>
      </c>
      <c r="D519" t="s">
        <v>6830</v>
      </c>
      <c r="G519" s="660"/>
      <c r="H519" t="s">
        <v>2293</v>
      </c>
    </row>
    <row r="520" spans="1:8">
      <c r="A520">
        <v>501692</v>
      </c>
      <c r="B520" t="s">
        <v>6832</v>
      </c>
      <c r="C520" t="s">
        <v>1966</v>
      </c>
      <c r="D520" t="s">
        <v>6830</v>
      </c>
      <c r="E520">
        <v>4.3600000000000003</v>
      </c>
      <c r="F520">
        <v>406018</v>
      </c>
      <c r="G520" s="660">
        <v>44932</v>
      </c>
      <c r="H520" t="s">
        <v>6833</v>
      </c>
    </row>
    <row r="521" spans="1:8">
      <c r="A521">
        <v>501693</v>
      </c>
      <c r="B521" t="s">
        <v>6834</v>
      </c>
      <c r="C521" t="s">
        <v>1930</v>
      </c>
      <c r="D521" t="s">
        <v>6830</v>
      </c>
      <c r="E521">
        <v>1.72</v>
      </c>
      <c r="F521">
        <v>406872</v>
      </c>
      <c r="G521" s="660">
        <v>45120</v>
      </c>
      <c r="H521" t="s">
        <v>6835</v>
      </c>
    </row>
    <row r="522" spans="1:8">
      <c r="A522">
        <v>501697</v>
      </c>
      <c r="B522" t="s">
        <v>6836</v>
      </c>
      <c r="C522" t="s">
        <v>1930</v>
      </c>
      <c r="D522" t="s">
        <v>5859</v>
      </c>
      <c r="E522">
        <v>3.09</v>
      </c>
      <c r="F522">
        <v>410289</v>
      </c>
      <c r="G522" s="660">
        <v>45785</v>
      </c>
      <c r="H522" t="s">
        <v>6837</v>
      </c>
    </row>
    <row r="523" spans="1:8">
      <c r="A523">
        <v>501699</v>
      </c>
      <c r="B523" t="s">
        <v>6838</v>
      </c>
      <c r="C523" t="s">
        <v>1930</v>
      </c>
      <c r="D523" t="s">
        <v>5859</v>
      </c>
      <c r="E523">
        <v>3.77</v>
      </c>
      <c r="F523">
        <v>409436</v>
      </c>
      <c r="G523" s="660">
        <v>45608</v>
      </c>
      <c r="H523" t="s">
        <v>6839</v>
      </c>
    </row>
    <row r="524" spans="1:8">
      <c r="A524">
        <v>501701</v>
      </c>
      <c r="B524" t="s">
        <v>6840</v>
      </c>
      <c r="C524" t="s">
        <v>1930</v>
      </c>
      <c r="D524" t="s">
        <v>6830</v>
      </c>
      <c r="E524">
        <v>4.45</v>
      </c>
      <c r="F524">
        <v>404493</v>
      </c>
      <c r="G524" s="660">
        <v>44601</v>
      </c>
      <c r="H524" t="s">
        <v>6841</v>
      </c>
    </row>
    <row r="525" spans="1:8">
      <c r="A525">
        <v>501714</v>
      </c>
      <c r="B525" t="s">
        <v>6842</v>
      </c>
      <c r="C525" t="s">
        <v>1930</v>
      </c>
      <c r="D525" t="s">
        <v>5859</v>
      </c>
      <c r="E525">
        <v>1.91</v>
      </c>
      <c r="F525">
        <v>408650</v>
      </c>
      <c r="G525" s="660">
        <v>45449</v>
      </c>
      <c r="H525" t="s">
        <v>6843</v>
      </c>
    </row>
    <row r="526" spans="1:8">
      <c r="A526">
        <v>501720</v>
      </c>
      <c r="B526" t="s">
        <v>6844</v>
      </c>
      <c r="C526" t="s">
        <v>1930</v>
      </c>
      <c r="D526" t="s">
        <v>5859</v>
      </c>
      <c r="E526">
        <v>4.8099999999999996</v>
      </c>
      <c r="F526">
        <v>409054</v>
      </c>
      <c r="G526" s="660">
        <v>45532</v>
      </c>
      <c r="H526" t="s">
        <v>6845</v>
      </c>
    </row>
    <row r="527" spans="1:8">
      <c r="A527">
        <v>501723</v>
      </c>
      <c r="B527" t="s">
        <v>6846</v>
      </c>
      <c r="C527" t="s">
        <v>1966</v>
      </c>
      <c r="D527" t="s">
        <v>6830</v>
      </c>
      <c r="E527">
        <v>17.149999999999999</v>
      </c>
      <c r="F527">
        <v>405215</v>
      </c>
      <c r="G527" s="660">
        <v>44739</v>
      </c>
      <c r="H527" t="s">
        <v>6847</v>
      </c>
    </row>
    <row r="528" spans="1:8">
      <c r="A528">
        <v>501736</v>
      </c>
      <c r="B528" t="s">
        <v>6848</v>
      </c>
      <c r="C528" t="s">
        <v>1930</v>
      </c>
      <c r="D528" t="s">
        <v>6830</v>
      </c>
      <c r="E528">
        <v>2.17</v>
      </c>
      <c r="F528">
        <v>408512</v>
      </c>
      <c r="G528" s="660">
        <v>45425</v>
      </c>
      <c r="H528" t="s">
        <v>6849</v>
      </c>
    </row>
    <row r="529" spans="1:8">
      <c r="A529">
        <v>501737</v>
      </c>
      <c r="B529" t="s">
        <v>6850</v>
      </c>
      <c r="C529" t="s">
        <v>1930</v>
      </c>
      <c r="D529" t="s">
        <v>6830</v>
      </c>
      <c r="E529">
        <v>2.04</v>
      </c>
      <c r="F529">
        <v>408650</v>
      </c>
      <c r="G529" s="660">
        <v>45449</v>
      </c>
      <c r="H529" t="s">
        <v>6851</v>
      </c>
    </row>
    <row r="530" spans="1:8">
      <c r="A530">
        <v>501738</v>
      </c>
      <c r="B530" t="s">
        <v>6852</v>
      </c>
      <c r="C530" t="s">
        <v>1930</v>
      </c>
      <c r="D530" t="s">
        <v>5859</v>
      </c>
      <c r="E530">
        <v>3.2</v>
      </c>
      <c r="F530">
        <v>407952</v>
      </c>
      <c r="G530" s="660">
        <v>45329</v>
      </c>
      <c r="H530" t="s">
        <v>6853</v>
      </c>
    </row>
    <row r="531" spans="1:8">
      <c r="A531">
        <v>501739</v>
      </c>
      <c r="B531" t="s">
        <v>6854</v>
      </c>
      <c r="C531" t="s">
        <v>1930</v>
      </c>
      <c r="D531" t="s">
        <v>6830</v>
      </c>
      <c r="E531">
        <v>2.87</v>
      </c>
      <c r="F531">
        <v>408328</v>
      </c>
      <c r="G531" s="660">
        <v>45398</v>
      </c>
      <c r="H531" t="s">
        <v>6855</v>
      </c>
    </row>
    <row r="532" spans="1:8">
      <c r="A532">
        <v>501741</v>
      </c>
      <c r="B532" t="s">
        <v>6856</v>
      </c>
      <c r="C532" t="s">
        <v>1930</v>
      </c>
      <c r="D532" t="s">
        <v>5859</v>
      </c>
      <c r="E532">
        <v>3.69</v>
      </c>
      <c r="F532">
        <v>410289</v>
      </c>
      <c r="G532" s="660">
        <v>45785</v>
      </c>
      <c r="H532" t="s">
        <v>6857</v>
      </c>
    </row>
    <row r="533" spans="1:8">
      <c r="A533">
        <v>501742</v>
      </c>
      <c r="B533" t="s">
        <v>6858</v>
      </c>
      <c r="C533" t="s">
        <v>1930</v>
      </c>
      <c r="D533" t="s">
        <v>5859</v>
      </c>
      <c r="E533">
        <v>5.43</v>
      </c>
      <c r="F533">
        <v>409054</v>
      </c>
      <c r="G533" s="660">
        <v>45532</v>
      </c>
      <c r="H533" t="s">
        <v>6859</v>
      </c>
    </row>
    <row r="534" spans="1:8">
      <c r="A534">
        <v>501743</v>
      </c>
      <c r="B534" t="s">
        <v>6860</v>
      </c>
      <c r="C534" t="s">
        <v>1930</v>
      </c>
      <c r="D534" t="s">
        <v>5859</v>
      </c>
      <c r="E534">
        <v>4.51</v>
      </c>
      <c r="F534">
        <v>409436</v>
      </c>
      <c r="G534" s="660">
        <v>45608</v>
      </c>
      <c r="H534" t="s">
        <v>6861</v>
      </c>
    </row>
    <row r="535" spans="1:8">
      <c r="A535">
        <v>501744</v>
      </c>
      <c r="B535" t="s">
        <v>6862</v>
      </c>
      <c r="C535" t="s">
        <v>1930</v>
      </c>
      <c r="D535" t="s">
        <v>6830</v>
      </c>
      <c r="E535">
        <v>6.54</v>
      </c>
      <c r="F535">
        <v>408512</v>
      </c>
      <c r="G535" s="660">
        <v>45425</v>
      </c>
      <c r="H535" t="s">
        <v>6863</v>
      </c>
    </row>
    <row r="536" spans="1:8">
      <c r="A536">
        <v>501745</v>
      </c>
      <c r="B536" t="s">
        <v>6864</v>
      </c>
      <c r="C536" t="s">
        <v>1930</v>
      </c>
      <c r="D536" t="s">
        <v>6830</v>
      </c>
      <c r="E536">
        <v>5.34</v>
      </c>
      <c r="F536">
        <v>408328</v>
      </c>
      <c r="G536" s="660">
        <v>45398</v>
      </c>
      <c r="H536" t="s">
        <v>6865</v>
      </c>
    </row>
    <row r="537" spans="1:8">
      <c r="A537">
        <v>501749</v>
      </c>
      <c r="B537" t="s">
        <v>6866</v>
      </c>
      <c r="C537" t="s">
        <v>1930</v>
      </c>
      <c r="D537" t="s">
        <v>6830</v>
      </c>
      <c r="E537">
        <v>9.36</v>
      </c>
      <c r="F537">
        <v>408512</v>
      </c>
      <c r="G537" s="660">
        <v>45425</v>
      </c>
      <c r="H537" t="s">
        <v>6867</v>
      </c>
    </row>
    <row r="538" spans="1:8">
      <c r="A538">
        <v>501753</v>
      </c>
      <c r="B538" t="s">
        <v>6868</v>
      </c>
      <c r="C538" t="s">
        <v>1930</v>
      </c>
      <c r="D538" t="s">
        <v>6830</v>
      </c>
      <c r="E538">
        <v>9.49</v>
      </c>
      <c r="F538">
        <v>408328</v>
      </c>
      <c r="G538" s="660">
        <v>45398</v>
      </c>
      <c r="H538" t="s">
        <v>6869</v>
      </c>
    </row>
    <row r="539" spans="1:8">
      <c r="A539">
        <v>501781</v>
      </c>
      <c r="B539" t="s">
        <v>812</v>
      </c>
      <c r="C539" t="s">
        <v>1930</v>
      </c>
      <c r="D539" t="s">
        <v>5859</v>
      </c>
      <c r="E539">
        <v>3.13</v>
      </c>
      <c r="F539">
        <v>404755</v>
      </c>
      <c r="G539" s="660">
        <v>44644</v>
      </c>
      <c r="H539" t="s">
        <v>6870</v>
      </c>
    </row>
    <row r="540" spans="1:8">
      <c r="A540">
        <v>501783</v>
      </c>
      <c r="B540" t="s">
        <v>813</v>
      </c>
      <c r="C540" t="s">
        <v>1930</v>
      </c>
      <c r="D540" t="s">
        <v>5859</v>
      </c>
      <c r="E540">
        <v>4.1900000000000004</v>
      </c>
      <c r="F540">
        <v>404063</v>
      </c>
      <c r="G540" s="660">
        <v>44502</v>
      </c>
      <c r="H540" t="s">
        <v>6871</v>
      </c>
    </row>
    <row r="541" spans="1:8">
      <c r="A541">
        <v>501784</v>
      </c>
      <c r="B541" t="s">
        <v>814</v>
      </c>
      <c r="C541" t="s">
        <v>1930</v>
      </c>
      <c r="D541" t="s">
        <v>5859</v>
      </c>
      <c r="E541">
        <v>4.72</v>
      </c>
      <c r="F541">
        <v>408001</v>
      </c>
      <c r="G541" s="660">
        <v>45336</v>
      </c>
      <c r="H541" t="s">
        <v>6872</v>
      </c>
    </row>
    <row r="542" spans="1:8">
      <c r="A542">
        <v>501785</v>
      </c>
      <c r="B542" t="s">
        <v>6873</v>
      </c>
      <c r="C542" t="s">
        <v>1930</v>
      </c>
      <c r="D542" t="s">
        <v>5859</v>
      </c>
      <c r="E542">
        <v>0</v>
      </c>
      <c r="F542">
        <v>409192</v>
      </c>
      <c r="G542" s="660">
        <v>45561</v>
      </c>
      <c r="H542" t="s">
        <v>6874</v>
      </c>
    </row>
    <row r="543" spans="1:8">
      <c r="A543">
        <v>501802</v>
      </c>
      <c r="B543" t="s">
        <v>6875</v>
      </c>
      <c r="C543" t="s">
        <v>1930</v>
      </c>
      <c r="D543" t="s">
        <v>5859</v>
      </c>
      <c r="E543">
        <v>4.29</v>
      </c>
      <c r="F543">
        <v>410094</v>
      </c>
      <c r="G543" s="660">
        <v>45750</v>
      </c>
      <c r="H543" t="s">
        <v>6876</v>
      </c>
    </row>
    <row r="544" spans="1:8">
      <c r="A544">
        <v>501803</v>
      </c>
      <c r="B544" t="s">
        <v>6877</v>
      </c>
      <c r="C544" t="s">
        <v>1930</v>
      </c>
      <c r="D544" t="s">
        <v>5859</v>
      </c>
      <c r="E544">
        <v>5.05</v>
      </c>
      <c r="F544">
        <v>404151</v>
      </c>
      <c r="G544" s="660">
        <v>44522</v>
      </c>
      <c r="H544" t="s">
        <v>6878</v>
      </c>
    </row>
    <row r="545" spans="1:8">
      <c r="A545">
        <v>501804</v>
      </c>
      <c r="B545" t="s">
        <v>6879</v>
      </c>
      <c r="C545" t="s">
        <v>1930</v>
      </c>
      <c r="D545" t="s">
        <v>5859</v>
      </c>
      <c r="E545">
        <v>5.8</v>
      </c>
      <c r="F545">
        <v>410094</v>
      </c>
      <c r="G545" s="660">
        <v>45750</v>
      </c>
      <c r="H545" t="s">
        <v>6880</v>
      </c>
    </row>
    <row r="546" spans="1:8">
      <c r="A546">
        <v>501805</v>
      </c>
      <c r="B546" t="s">
        <v>6881</v>
      </c>
      <c r="C546" t="s">
        <v>1930</v>
      </c>
      <c r="D546" t="s">
        <v>5859</v>
      </c>
      <c r="E546">
        <v>6.56</v>
      </c>
      <c r="F546">
        <v>410094</v>
      </c>
      <c r="G546" s="660">
        <v>45750</v>
      </c>
      <c r="H546" t="s">
        <v>6882</v>
      </c>
    </row>
    <row r="547" spans="1:8">
      <c r="A547">
        <v>501813</v>
      </c>
      <c r="B547" t="s">
        <v>6883</v>
      </c>
      <c r="C547" t="s">
        <v>1930</v>
      </c>
      <c r="D547" t="s">
        <v>5859</v>
      </c>
      <c r="E547">
        <v>12.71</v>
      </c>
      <c r="F547">
        <v>404151</v>
      </c>
      <c r="G547" s="660">
        <v>44522</v>
      </c>
      <c r="H547" t="s">
        <v>6884</v>
      </c>
    </row>
    <row r="548" spans="1:8">
      <c r="A548">
        <v>501823</v>
      </c>
      <c r="B548" t="s">
        <v>6885</v>
      </c>
      <c r="D548" t="s">
        <v>5859</v>
      </c>
      <c r="G548" s="660"/>
      <c r="H548" t="s">
        <v>6886</v>
      </c>
    </row>
    <row r="549" spans="1:8">
      <c r="A549">
        <v>501862</v>
      </c>
      <c r="B549" t="s">
        <v>6887</v>
      </c>
      <c r="C549" t="s">
        <v>1930</v>
      </c>
      <c r="D549" t="s">
        <v>6830</v>
      </c>
      <c r="E549">
        <v>4.59</v>
      </c>
      <c r="F549">
        <v>405468</v>
      </c>
      <c r="G549" s="660">
        <v>44810</v>
      </c>
      <c r="H549" t="s">
        <v>6888</v>
      </c>
    </row>
    <row r="550" spans="1:8">
      <c r="A550">
        <v>501865</v>
      </c>
      <c r="B550" t="s">
        <v>6889</v>
      </c>
      <c r="C550" t="s">
        <v>1930</v>
      </c>
      <c r="D550" t="s">
        <v>5859</v>
      </c>
      <c r="E550">
        <v>6.97</v>
      </c>
      <c r="F550">
        <v>404395</v>
      </c>
      <c r="G550" s="660">
        <v>44581</v>
      </c>
      <c r="H550" t="s">
        <v>6890</v>
      </c>
    </row>
    <row r="551" spans="1:8">
      <c r="A551">
        <v>501961</v>
      </c>
      <c r="B551" t="s">
        <v>6891</v>
      </c>
      <c r="C551" t="s">
        <v>1930</v>
      </c>
      <c r="D551" t="s">
        <v>5859</v>
      </c>
      <c r="E551">
        <v>2.06</v>
      </c>
      <c r="F551">
        <v>403891</v>
      </c>
      <c r="G551" s="660">
        <v>44474</v>
      </c>
      <c r="H551" t="s">
        <v>2293</v>
      </c>
    </row>
    <row r="552" spans="1:8">
      <c r="A552">
        <v>501974</v>
      </c>
      <c r="B552" t="s">
        <v>6892</v>
      </c>
      <c r="C552" t="s">
        <v>1930</v>
      </c>
      <c r="D552" t="s">
        <v>6830</v>
      </c>
      <c r="E552">
        <v>2.34</v>
      </c>
      <c r="F552">
        <v>404493</v>
      </c>
      <c r="G552" s="660">
        <v>44601</v>
      </c>
      <c r="H552" t="s">
        <v>2293</v>
      </c>
    </row>
    <row r="553" spans="1:8">
      <c r="A553">
        <v>501988</v>
      </c>
      <c r="B553" t="s">
        <v>6893</v>
      </c>
      <c r="C553" t="s">
        <v>1930</v>
      </c>
      <c r="D553" t="s">
        <v>5859</v>
      </c>
      <c r="E553">
        <v>1.88</v>
      </c>
      <c r="F553">
        <v>404430</v>
      </c>
      <c r="G553" s="660">
        <v>44587</v>
      </c>
      <c r="H553" t="s">
        <v>2293</v>
      </c>
    </row>
    <row r="554" spans="1:8">
      <c r="A554">
        <v>501990</v>
      </c>
      <c r="B554" t="s">
        <v>6894</v>
      </c>
      <c r="C554" t="s">
        <v>1966</v>
      </c>
      <c r="D554" t="s">
        <v>5859</v>
      </c>
      <c r="E554">
        <v>6.85</v>
      </c>
      <c r="F554">
        <v>407338</v>
      </c>
      <c r="G554" s="660">
        <v>45212</v>
      </c>
      <c r="H554" t="s">
        <v>2293</v>
      </c>
    </row>
    <row r="555" spans="1:8">
      <c r="A555">
        <v>501994</v>
      </c>
      <c r="B555" t="s">
        <v>6895</v>
      </c>
      <c r="C555" t="s">
        <v>1966</v>
      </c>
      <c r="D555" t="s">
        <v>5859</v>
      </c>
      <c r="E555">
        <v>10.8</v>
      </c>
      <c r="F555">
        <v>406018</v>
      </c>
      <c r="G555" s="660">
        <v>44932</v>
      </c>
      <c r="H555" t="s">
        <v>2293</v>
      </c>
    </row>
    <row r="556" spans="1:8">
      <c r="A556">
        <v>501995</v>
      </c>
      <c r="B556" t="s">
        <v>6896</v>
      </c>
      <c r="C556" t="s">
        <v>1930</v>
      </c>
      <c r="D556" t="s">
        <v>5859</v>
      </c>
      <c r="E556">
        <v>5.19</v>
      </c>
      <c r="F556">
        <v>408435</v>
      </c>
      <c r="G556" s="660">
        <v>45413</v>
      </c>
      <c r="H556" t="s">
        <v>2293</v>
      </c>
    </row>
    <row r="557" spans="1:8">
      <c r="A557">
        <v>502002</v>
      </c>
      <c r="B557" t="s">
        <v>6897</v>
      </c>
      <c r="C557" t="s">
        <v>1966</v>
      </c>
      <c r="D557" t="s">
        <v>5859</v>
      </c>
      <c r="E557">
        <v>6.35</v>
      </c>
      <c r="F557">
        <v>406911</v>
      </c>
      <c r="G557" s="660">
        <v>45131</v>
      </c>
      <c r="H557" t="s">
        <v>2293</v>
      </c>
    </row>
    <row r="558" spans="1:8">
      <c r="A558">
        <v>502004</v>
      </c>
      <c r="B558" t="s">
        <v>6898</v>
      </c>
      <c r="C558" t="s">
        <v>1966</v>
      </c>
      <c r="D558" t="s">
        <v>5859</v>
      </c>
      <c r="E558">
        <v>8.85</v>
      </c>
      <c r="F558">
        <v>407599</v>
      </c>
      <c r="G558" s="660">
        <v>45266</v>
      </c>
      <c r="H558" t="s">
        <v>2293</v>
      </c>
    </row>
    <row r="559" spans="1:8">
      <c r="A559">
        <v>502015</v>
      </c>
      <c r="B559" t="s">
        <v>6899</v>
      </c>
      <c r="C559" t="s">
        <v>1966</v>
      </c>
      <c r="D559" t="s">
        <v>6830</v>
      </c>
      <c r="E559">
        <v>6.72</v>
      </c>
      <c r="F559">
        <v>406531</v>
      </c>
      <c r="G559" s="660">
        <v>45043</v>
      </c>
      <c r="H559" t="s">
        <v>2293</v>
      </c>
    </row>
    <row r="560" spans="1:8">
      <c r="A560">
        <v>502032</v>
      </c>
      <c r="B560" t="s">
        <v>6900</v>
      </c>
      <c r="C560" t="s">
        <v>1966</v>
      </c>
      <c r="D560" t="s">
        <v>6830</v>
      </c>
      <c r="E560">
        <v>15.45</v>
      </c>
      <c r="F560">
        <v>407338</v>
      </c>
      <c r="G560" s="660">
        <v>45212</v>
      </c>
      <c r="H560" t="s">
        <v>2293</v>
      </c>
    </row>
    <row r="561" spans="1:8">
      <c r="A561">
        <v>502066</v>
      </c>
      <c r="B561" t="s">
        <v>6901</v>
      </c>
      <c r="C561" t="s">
        <v>1930</v>
      </c>
      <c r="D561" t="s">
        <v>5859</v>
      </c>
      <c r="E561">
        <v>3.47</v>
      </c>
      <c r="F561">
        <v>403891</v>
      </c>
      <c r="G561" s="660">
        <v>44474</v>
      </c>
      <c r="H561" t="s">
        <v>2293</v>
      </c>
    </row>
    <row r="562" spans="1:8">
      <c r="A562">
        <v>502067</v>
      </c>
      <c r="B562" t="s">
        <v>6902</v>
      </c>
      <c r="C562" t="s">
        <v>1966</v>
      </c>
      <c r="D562" t="s">
        <v>5859</v>
      </c>
      <c r="E562">
        <v>9.15</v>
      </c>
      <c r="F562">
        <v>407128</v>
      </c>
      <c r="G562" s="660">
        <v>45180</v>
      </c>
      <c r="H562" t="s">
        <v>6903</v>
      </c>
    </row>
    <row r="563" spans="1:8">
      <c r="A563">
        <v>502068</v>
      </c>
      <c r="B563" t="s">
        <v>6904</v>
      </c>
      <c r="C563" t="s">
        <v>1930</v>
      </c>
      <c r="D563" t="s">
        <v>5859</v>
      </c>
      <c r="E563">
        <v>4.59</v>
      </c>
      <c r="F563">
        <v>403290</v>
      </c>
      <c r="G563" s="660">
        <v>44361</v>
      </c>
      <c r="H563" t="s">
        <v>2293</v>
      </c>
    </row>
    <row r="564" spans="1:8">
      <c r="A564">
        <v>502069</v>
      </c>
      <c r="B564" t="s">
        <v>6905</v>
      </c>
      <c r="C564" t="s">
        <v>1930</v>
      </c>
      <c r="D564" t="s">
        <v>5859</v>
      </c>
      <c r="E564">
        <v>5.39</v>
      </c>
      <c r="F564">
        <v>403891</v>
      </c>
      <c r="G564" s="660">
        <v>44474</v>
      </c>
      <c r="H564" t="s">
        <v>2293</v>
      </c>
    </row>
    <row r="565" spans="1:8">
      <c r="A565">
        <v>502079</v>
      </c>
      <c r="B565" t="s">
        <v>6906</v>
      </c>
      <c r="C565" t="s">
        <v>1930</v>
      </c>
      <c r="D565" t="s">
        <v>5859</v>
      </c>
      <c r="E565">
        <v>4.76</v>
      </c>
      <c r="F565">
        <v>403891</v>
      </c>
      <c r="G565" s="660">
        <v>44474</v>
      </c>
      <c r="H565" t="s">
        <v>2293</v>
      </c>
    </row>
    <row r="566" spans="1:8">
      <c r="A566">
        <v>502084</v>
      </c>
      <c r="B566" t="s">
        <v>6907</v>
      </c>
      <c r="C566" t="s">
        <v>1966</v>
      </c>
      <c r="D566" t="s">
        <v>6830</v>
      </c>
      <c r="E566">
        <v>22.48</v>
      </c>
      <c r="F566">
        <v>407338</v>
      </c>
      <c r="G566" s="660">
        <v>45212</v>
      </c>
      <c r="H566" t="s">
        <v>2293</v>
      </c>
    </row>
    <row r="567" spans="1:8">
      <c r="A567">
        <v>502092</v>
      </c>
      <c r="B567" t="s">
        <v>6908</v>
      </c>
      <c r="C567" t="s">
        <v>1930</v>
      </c>
      <c r="D567" t="s">
        <v>5859</v>
      </c>
      <c r="E567">
        <v>5.38</v>
      </c>
      <c r="F567">
        <v>409192</v>
      </c>
      <c r="G567" s="660">
        <v>45561</v>
      </c>
      <c r="H567" t="s">
        <v>2293</v>
      </c>
    </row>
    <row r="568" spans="1:8">
      <c r="A568">
        <v>502094</v>
      </c>
      <c r="B568" t="s">
        <v>6909</v>
      </c>
      <c r="C568" t="s">
        <v>1930</v>
      </c>
      <c r="D568" t="s">
        <v>5859</v>
      </c>
      <c r="E568">
        <v>6.94</v>
      </c>
      <c r="F568">
        <v>409341</v>
      </c>
      <c r="G568" s="660">
        <v>45589</v>
      </c>
      <c r="H568" t="s">
        <v>6910</v>
      </c>
    </row>
    <row r="569" spans="1:8">
      <c r="A569">
        <v>502096</v>
      </c>
      <c r="B569" t="s">
        <v>6911</v>
      </c>
      <c r="C569" t="s">
        <v>1930</v>
      </c>
      <c r="D569" t="s">
        <v>5859</v>
      </c>
      <c r="E569">
        <v>10.81</v>
      </c>
      <c r="F569">
        <v>404754</v>
      </c>
      <c r="G569" s="660">
        <v>44644</v>
      </c>
      <c r="H569" t="s">
        <v>2293</v>
      </c>
    </row>
    <row r="570" spans="1:8">
      <c r="A570">
        <v>502105</v>
      </c>
      <c r="B570" t="s">
        <v>6912</v>
      </c>
      <c r="C570" t="s">
        <v>1930</v>
      </c>
      <c r="D570" t="s">
        <v>6830</v>
      </c>
      <c r="E570">
        <v>17.809999999999999</v>
      </c>
      <c r="F570">
        <v>410094</v>
      </c>
      <c r="G570" s="660">
        <v>45750</v>
      </c>
      <c r="H570" t="s">
        <v>2293</v>
      </c>
    </row>
    <row r="571" spans="1:8">
      <c r="A571">
        <v>502106</v>
      </c>
      <c r="B571" t="s">
        <v>6913</v>
      </c>
      <c r="C571" t="s">
        <v>1930</v>
      </c>
      <c r="D571" t="s">
        <v>5859</v>
      </c>
      <c r="E571">
        <v>9.89</v>
      </c>
      <c r="F571">
        <v>404338</v>
      </c>
      <c r="G571" s="660">
        <v>44573</v>
      </c>
      <c r="H571" t="s">
        <v>2293</v>
      </c>
    </row>
    <row r="572" spans="1:8">
      <c r="A572">
        <v>502109</v>
      </c>
      <c r="B572" t="s">
        <v>6914</v>
      </c>
      <c r="C572" t="s">
        <v>1966</v>
      </c>
      <c r="D572" t="s">
        <v>5859</v>
      </c>
      <c r="E572">
        <v>32.5</v>
      </c>
      <c r="F572">
        <v>407128</v>
      </c>
      <c r="G572" s="660">
        <v>45180</v>
      </c>
      <c r="H572" t="s">
        <v>6915</v>
      </c>
    </row>
    <row r="573" spans="1:8">
      <c r="A573">
        <v>502115</v>
      </c>
      <c r="B573" t="s">
        <v>6916</v>
      </c>
      <c r="C573" t="s">
        <v>1966</v>
      </c>
      <c r="D573" t="s">
        <v>5859</v>
      </c>
      <c r="E573">
        <v>82.47</v>
      </c>
      <c r="F573">
        <v>407225</v>
      </c>
      <c r="G573" s="660">
        <v>45195</v>
      </c>
      <c r="H573" t="s">
        <v>6917</v>
      </c>
    </row>
    <row r="574" spans="1:8">
      <c r="A574">
        <v>502138</v>
      </c>
      <c r="B574" t="s">
        <v>6918</v>
      </c>
      <c r="C574" t="s">
        <v>1930</v>
      </c>
      <c r="D574" t="s">
        <v>5859</v>
      </c>
      <c r="E574">
        <v>18.43</v>
      </c>
      <c r="F574">
        <v>408001</v>
      </c>
      <c r="G574" s="660">
        <v>45336</v>
      </c>
      <c r="H574" t="s">
        <v>6919</v>
      </c>
    </row>
    <row r="575" spans="1:8">
      <c r="A575">
        <v>502139</v>
      </c>
      <c r="B575" t="s">
        <v>6920</v>
      </c>
      <c r="C575" t="s">
        <v>1930</v>
      </c>
      <c r="D575" t="s">
        <v>5859</v>
      </c>
      <c r="E575">
        <v>16.96</v>
      </c>
      <c r="F575">
        <v>404063</v>
      </c>
      <c r="G575" s="660">
        <v>44502</v>
      </c>
      <c r="H575" t="s">
        <v>6919</v>
      </c>
    </row>
    <row r="576" spans="1:8">
      <c r="A576">
        <v>502170</v>
      </c>
      <c r="B576" t="s">
        <v>6921</v>
      </c>
      <c r="C576" t="s">
        <v>1930</v>
      </c>
      <c r="D576" t="s">
        <v>5859</v>
      </c>
      <c r="E576">
        <v>3.16</v>
      </c>
      <c r="F576">
        <v>408328</v>
      </c>
      <c r="G576" s="660">
        <v>45398</v>
      </c>
      <c r="H576" t="s">
        <v>6922</v>
      </c>
    </row>
    <row r="577" spans="1:8">
      <c r="A577">
        <v>502173</v>
      </c>
      <c r="B577" t="s">
        <v>6923</v>
      </c>
      <c r="C577" t="s">
        <v>6013</v>
      </c>
      <c r="D577" t="s">
        <v>5859</v>
      </c>
      <c r="E577">
        <v>77.05</v>
      </c>
      <c r="F577">
        <v>403087</v>
      </c>
      <c r="G577" s="660">
        <v>44333</v>
      </c>
      <c r="H577" t="s">
        <v>6924</v>
      </c>
    </row>
    <row r="578" spans="1:8">
      <c r="A578">
        <v>502174</v>
      </c>
      <c r="B578" t="s">
        <v>6925</v>
      </c>
      <c r="C578" t="s">
        <v>1966</v>
      </c>
      <c r="D578" t="s">
        <v>5859</v>
      </c>
      <c r="E578">
        <v>4.12</v>
      </c>
      <c r="F578">
        <v>403084</v>
      </c>
      <c r="G578" s="660">
        <v>44330</v>
      </c>
      <c r="H578" t="s">
        <v>6926</v>
      </c>
    </row>
    <row r="579" spans="1:8">
      <c r="A579">
        <v>502178</v>
      </c>
      <c r="B579" t="s">
        <v>6927</v>
      </c>
      <c r="C579" t="s">
        <v>1966</v>
      </c>
      <c r="D579" t="s">
        <v>5859</v>
      </c>
      <c r="E579">
        <v>1.7</v>
      </c>
      <c r="F579">
        <v>403125</v>
      </c>
      <c r="G579" s="660">
        <v>44335</v>
      </c>
      <c r="H579" t="s">
        <v>6928</v>
      </c>
    </row>
    <row r="580" spans="1:8">
      <c r="A580">
        <v>502179</v>
      </c>
      <c r="B580" t="s">
        <v>6929</v>
      </c>
      <c r="C580" t="s">
        <v>1966</v>
      </c>
      <c r="D580" t="s">
        <v>5859</v>
      </c>
      <c r="E580">
        <v>27.43</v>
      </c>
      <c r="F580">
        <v>406831</v>
      </c>
      <c r="G580" s="660">
        <v>45112</v>
      </c>
      <c r="H580" t="s">
        <v>6930</v>
      </c>
    </row>
    <row r="581" spans="1:8">
      <c r="A581">
        <v>502180</v>
      </c>
      <c r="B581" t="s">
        <v>6931</v>
      </c>
      <c r="C581" t="s">
        <v>1966</v>
      </c>
      <c r="D581" t="s">
        <v>5859</v>
      </c>
      <c r="E581">
        <v>27.63</v>
      </c>
      <c r="F581">
        <v>403938</v>
      </c>
      <c r="G581" s="660">
        <v>44503</v>
      </c>
      <c r="H581" t="s">
        <v>6932</v>
      </c>
    </row>
    <row r="582" spans="1:8">
      <c r="A582">
        <v>502181</v>
      </c>
      <c r="B582" t="s">
        <v>6933</v>
      </c>
      <c r="C582" t="s">
        <v>1966</v>
      </c>
      <c r="D582" t="s">
        <v>5859</v>
      </c>
      <c r="E582">
        <v>0.22700000000000001</v>
      </c>
      <c r="F582">
        <v>403094</v>
      </c>
      <c r="G582" s="660">
        <v>44333</v>
      </c>
      <c r="H582" t="s">
        <v>6934</v>
      </c>
    </row>
    <row r="583" spans="1:8">
      <c r="A583">
        <v>502182</v>
      </c>
      <c r="B583" t="s">
        <v>6935</v>
      </c>
      <c r="C583" t="s">
        <v>5995</v>
      </c>
      <c r="D583" t="s">
        <v>6710</v>
      </c>
      <c r="E583">
        <v>30.67</v>
      </c>
      <c r="F583">
        <v>403327</v>
      </c>
      <c r="G583" s="660">
        <v>44364</v>
      </c>
      <c r="H583" t="s">
        <v>6936</v>
      </c>
    </row>
    <row r="584" spans="1:8">
      <c r="A584">
        <v>502183</v>
      </c>
      <c r="B584" t="s">
        <v>6937</v>
      </c>
      <c r="C584" t="s">
        <v>1966</v>
      </c>
      <c r="D584" t="s">
        <v>5859</v>
      </c>
      <c r="E584">
        <v>80.5</v>
      </c>
      <c r="F584">
        <v>403747</v>
      </c>
      <c r="G584" s="660">
        <v>44440</v>
      </c>
      <c r="H584" t="s">
        <v>6938</v>
      </c>
    </row>
    <row r="585" spans="1:8">
      <c r="A585">
        <v>502184</v>
      </c>
      <c r="B585" t="s">
        <v>6939</v>
      </c>
      <c r="C585" t="s">
        <v>1966</v>
      </c>
      <c r="D585" t="s">
        <v>5859</v>
      </c>
      <c r="E585">
        <v>12.47</v>
      </c>
      <c r="F585">
        <v>406831</v>
      </c>
      <c r="G585" s="660">
        <v>45112</v>
      </c>
      <c r="H585" t="s">
        <v>6940</v>
      </c>
    </row>
    <row r="586" spans="1:8">
      <c r="A586">
        <v>502185</v>
      </c>
      <c r="B586" t="s">
        <v>6941</v>
      </c>
      <c r="C586" t="s">
        <v>1966</v>
      </c>
      <c r="D586" t="s">
        <v>5859</v>
      </c>
      <c r="E586">
        <v>14.43</v>
      </c>
      <c r="F586">
        <v>403688</v>
      </c>
      <c r="G586" s="660">
        <v>44431</v>
      </c>
      <c r="H586" t="s">
        <v>6942</v>
      </c>
    </row>
    <row r="587" spans="1:8">
      <c r="A587">
        <v>502186</v>
      </c>
      <c r="B587" t="s">
        <v>6943</v>
      </c>
      <c r="C587" t="s">
        <v>6515</v>
      </c>
      <c r="D587" t="s">
        <v>5859</v>
      </c>
      <c r="E587">
        <v>725</v>
      </c>
      <c r="F587">
        <v>410379</v>
      </c>
      <c r="G587" s="660">
        <v>45799</v>
      </c>
      <c r="H587" t="s">
        <v>6944</v>
      </c>
    </row>
    <row r="588" spans="1:8">
      <c r="A588">
        <v>502187</v>
      </c>
      <c r="B588" t="s">
        <v>6945</v>
      </c>
      <c r="C588" t="s">
        <v>5992</v>
      </c>
      <c r="D588" t="s">
        <v>5859</v>
      </c>
      <c r="E588">
        <v>786.4</v>
      </c>
      <c r="F588">
        <v>409979</v>
      </c>
      <c r="G588" s="660">
        <v>45727</v>
      </c>
      <c r="H588" t="s">
        <v>6946</v>
      </c>
    </row>
    <row r="589" spans="1:8">
      <c r="A589">
        <v>502188</v>
      </c>
      <c r="B589" t="s">
        <v>6947</v>
      </c>
      <c r="C589" t="s">
        <v>6481</v>
      </c>
      <c r="D589" t="s">
        <v>5859</v>
      </c>
      <c r="E589">
        <v>748.8</v>
      </c>
      <c r="F589">
        <v>408782</v>
      </c>
      <c r="G589" s="660">
        <v>45474</v>
      </c>
      <c r="H589" t="s">
        <v>6948</v>
      </c>
    </row>
    <row r="590" spans="1:8">
      <c r="A590">
        <v>502189</v>
      </c>
      <c r="B590" t="s">
        <v>6949</v>
      </c>
      <c r="C590" t="s">
        <v>1966</v>
      </c>
      <c r="D590" t="s">
        <v>5859</v>
      </c>
      <c r="E590">
        <v>4.66</v>
      </c>
      <c r="F590">
        <v>403185</v>
      </c>
      <c r="G590" s="660">
        <v>44344</v>
      </c>
      <c r="H590" t="s">
        <v>6950</v>
      </c>
    </row>
    <row r="591" spans="1:8">
      <c r="A591">
        <v>502190</v>
      </c>
      <c r="B591" t="s">
        <v>6951</v>
      </c>
      <c r="D591" t="s">
        <v>5859</v>
      </c>
      <c r="G591" s="660"/>
      <c r="H591" t="s">
        <v>6952</v>
      </c>
    </row>
    <row r="592" spans="1:8">
      <c r="A592">
        <v>502191</v>
      </c>
      <c r="B592" t="s">
        <v>6953</v>
      </c>
      <c r="C592" t="s">
        <v>5941</v>
      </c>
      <c r="D592" t="s">
        <v>5859</v>
      </c>
      <c r="E592">
        <v>363.09</v>
      </c>
      <c r="F592">
        <v>403826</v>
      </c>
      <c r="G592" s="660">
        <v>44460</v>
      </c>
      <c r="H592" t="s">
        <v>6954</v>
      </c>
    </row>
    <row r="593" spans="1:8">
      <c r="A593">
        <v>502192</v>
      </c>
      <c r="B593" t="s">
        <v>6955</v>
      </c>
      <c r="C593" t="s">
        <v>5951</v>
      </c>
      <c r="D593" t="s">
        <v>5859</v>
      </c>
      <c r="E593">
        <v>639.05999999999995</v>
      </c>
      <c r="F593">
        <v>403845</v>
      </c>
      <c r="G593" s="660">
        <v>44466</v>
      </c>
      <c r="H593" t="s">
        <v>6956</v>
      </c>
    </row>
    <row r="594" spans="1:8">
      <c r="A594">
        <v>502193</v>
      </c>
      <c r="B594" t="s">
        <v>6957</v>
      </c>
      <c r="C594" t="s">
        <v>5941</v>
      </c>
      <c r="D594" t="s">
        <v>5859</v>
      </c>
      <c r="E594">
        <v>23.94</v>
      </c>
      <c r="F594">
        <v>403887</v>
      </c>
      <c r="G594" s="660">
        <v>44474</v>
      </c>
      <c r="H594" t="s">
        <v>6958</v>
      </c>
    </row>
    <row r="595" spans="1:8">
      <c r="A595">
        <v>502194</v>
      </c>
      <c r="B595" t="s">
        <v>6959</v>
      </c>
      <c r="C595" t="s">
        <v>5864</v>
      </c>
      <c r="D595" t="s">
        <v>5859</v>
      </c>
      <c r="E595">
        <v>683.1</v>
      </c>
      <c r="F595">
        <v>403793</v>
      </c>
      <c r="G595" s="660">
        <v>44453</v>
      </c>
      <c r="H595" t="s">
        <v>6960</v>
      </c>
    </row>
    <row r="596" spans="1:8">
      <c r="A596">
        <v>502195</v>
      </c>
      <c r="B596" t="s">
        <v>6961</v>
      </c>
      <c r="C596" t="s">
        <v>5972</v>
      </c>
      <c r="D596" t="s">
        <v>5859</v>
      </c>
      <c r="E596">
        <v>25.73</v>
      </c>
      <c r="F596">
        <v>403890</v>
      </c>
      <c r="G596" s="660">
        <v>44474</v>
      </c>
      <c r="H596" t="s">
        <v>6962</v>
      </c>
    </row>
    <row r="597" spans="1:8">
      <c r="A597">
        <v>502196</v>
      </c>
      <c r="B597" t="s">
        <v>6963</v>
      </c>
      <c r="C597" t="s">
        <v>1966</v>
      </c>
      <c r="D597" t="s">
        <v>5859</v>
      </c>
      <c r="E597">
        <v>63.81</v>
      </c>
      <c r="F597">
        <v>403844</v>
      </c>
      <c r="G597" s="660">
        <v>44466</v>
      </c>
      <c r="H597" t="s">
        <v>6964</v>
      </c>
    </row>
    <row r="598" spans="1:8">
      <c r="A598">
        <v>502197</v>
      </c>
      <c r="B598" t="s">
        <v>6965</v>
      </c>
      <c r="C598" t="s">
        <v>1930</v>
      </c>
      <c r="D598" t="s">
        <v>5859</v>
      </c>
      <c r="E598">
        <v>1.57</v>
      </c>
      <c r="F598">
        <v>403885</v>
      </c>
      <c r="G598" s="660">
        <v>44474</v>
      </c>
      <c r="H598" t="s">
        <v>6966</v>
      </c>
    </row>
    <row r="599" spans="1:8">
      <c r="A599">
        <v>502198</v>
      </c>
      <c r="B599" t="s">
        <v>6967</v>
      </c>
      <c r="C599" t="s">
        <v>5992</v>
      </c>
      <c r="D599" t="s">
        <v>5859</v>
      </c>
      <c r="E599">
        <v>715.2</v>
      </c>
      <c r="F599">
        <v>408199</v>
      </c>
      <c r="G599" s="660">
        <v>45373</v>
      </c>
      <c r="H599" t="s">
        <v>6968</v>
      </c>
    </row>
    <row r="600" spans="1:8">
      <c r="A600">
        <v>502199</v>
      </c>
      <c r="B600" t="s">
        <v>6969</v>
      </c>
      <c r="C600" t="s">
        <v>1908</v>
      </c>
      <c r="D600" t="s">
        <v>5859</v>
      </c>
      <c r="E600">
        <v>207</v>
      </c>
      <c r="F600">
        <v>404542</v>
      </c>
      <c r="G600" s="660">
        <v>44609</v>
      </c>
      <c r="H600" t="s">
        <v>6970</v>
      </c>
    </row>
    <row r="601" spans="1:8">
      <c r="A601">
        <v>502200</v>
      </c>
      <c r="B601" t="s">
        <v>6971</v>
      </c>
      <c r="C601" t="s">
        <v>1930</v>
      </c>
      <c r="D601" t="s">
        <v>5859</v>
      </c>
      <c r="E601">
        <v>220.44</v>
      </c>
      <c r="F601">
        <v>403255</v>
      </c>
      <c r="G601" s="660">
        <v>44356</v>
      </c>
      <c r="H601" t="s">
        <v>6972</v>
      </c>
    </row>
    <row r="602" spans="1:8">
      <c r="A602">
        <v>502201</v>
      </c>
      <c r="B602" t="s">
        <v>6973</v>
      </c>
      <c r="C602" t="s">
        <v>1908</v>
      </c>
      <c r="D602" t="s">
        <v>5859</v>
      </c>
      <c r="E602">
        <v>14.1</v>
      </c>
      <c r="F602">
        <v>409582</v>
      </c>
      <c r="G602" s="660">
        <v>45645</v>
      </c>
      <c r="H602" t="s">
        <v>6974</v>
      </c>
    </row>
    <row r="603" spans="1:8">
      <c r="A603">
        <v>502202</v>
      </c>
      <c r="B603" t="s">
        <v>1399</v>
      </c>
      <c r="C603" t="s">
        <v>1665</v>
      </c>
      <c r="D603" t="s">
        <v>5859</v>
      </c>
      <c r="E603">
        <v>333.93</v>
      </c>
      <c r="F603">
        <v>409767</v>
      </c>
      <c r="G603" s="660">
        <v>45692</v>
      </c>
      <c r="H603" t="s">
        <v>1400</v>
      </c>
    </row>
    <row r="604" spans="1:8">
      <c r="A604">
        <v>502203</v>
      </c>
      <c r="B604" t="s">
        <v>1401</v>
      </c>
      <c r="C604" t="s">
        <v>1665</v>
      </c>
      <c r="D604" t="s">
        <v>5859</v>
      </c>
      <c r="E604">
        <v>258</v>
      </c>
      <c r="F604">
        <v>409662</v>
      </c>
      <c r="G604" s="660">
        <v>45671</v>
      </c>
      <c r="H604" t="s">
        <v>1402</v>
      </c>
    </row>
    <row r="605" spans="1:8">
      <c r="A605">
        <v>502205</v>
      </c>
      <c r="B605" t="s">
        <v>6975</v>
      </c>
      <c r="C605" t="s">
        <v>5915</v>
      </c>
      <c r="D605" t="s">
        <v>5859</v>
      </c>
      <c r="E605">
        <v>2.78</v>
      </c>
      <c r="F605">
        <v>407524</v>
      </c>
      <c r="G605" s="660">
        <v>45246</v>
      </c>
      <c r="H605" t="s">
        <v>6976</v>
      </c>
    </row>
    <row r="606" spans="1:8">
      <c r="A606">
        <v>502206</v>
      </c>
      <c r="B606" t="s">
        <v>6977</v>
      </c>
      <c r="C606" t="s">
        <v>1966</v>
      </c>
      <c r="D606" t="s">
        <v>5859</v>
      </c>
      <c r="E606">
        <v>8.11</v>
      </c>
      <c r="F606">
        <v>403382</v>
      </c>
      <c r="G606" s="660">
        <v>44371</v>
      </c>
      <c r="H606" t="s">
        <v>6978</v>
      </c>
    </row>
    <row r="607" spans="1:8">
      <c r="A607">
        <v>502207</v>
      </c>
      <c r="B607" t="s">
        <v>6979</v>
      </c>
      <c r="C607" t="s">
        <v>1966</v>
      </c>
      <c r="D607" t="s">
        <v>5859</v>
      </c>
      <c r="E607">
        <v>11.03</v>
      </c>
      <c r="F607">
        <v>404780</v>
      </c>
      <c r="G607" s="660">
        <v>44648</v>
      </c>
      <c r="H607" t="s">
        <v>6980</v>
      </c>
    </row>
    <row r="608" spans="1:8">
      <c r="A608">
        <v>502208</v>
      </c>
      <c r="B608" t="s">
        <v>6981</v>
      </c>
      <c r="C608" t="s">
        <v>1665</v>
      </c>
      <c r="D608" t="s">
        <v>5859</v>
      </c>
      <c r="E608">
        <v>832.83</v>
      </c>
      <c r="F608">
        <v>404021</v>
      </c>
      <c r="G608" s="660">
        <v>44503</v>
      </c>
      <c r="H608" t="s">
        <v>6982</v>
      </c>
    </row>
    <row r="609" spans="1:8">
      <c r="A609">
        <v>502209</v>
      </c>
      <c r="B609" t="s">
        <v>815</v>
      </c>
      <c r="C609" t="s">
        <v>5880</v>
      </c>
      <c r="D609" t="s">
        <v>5859</v>
      </c>
      <c r="E609">
        <v>69.33</v>
      </c>
      <c r="F609">
        <v>408855</v>
      </c>
      <c r="G609" s="660">
        <v>45491</v>
      </c>
      <c r="H609" t="s">
        <v>6983</v>
      </c>
    </row>
    <row r="610" spans="1:8">
      <c r="A610">
        <v>502211</v>
      </c>
      <c r="B610" t="s">
        <v>6984</v>
      </c>
      <c r="C610" t="s">
        <v>6481</v>
      </c>
      <c r="D610" t="s">
        <v>5859</v>
      </c>
      <c r="E610">
        <v>836.5</v>
      </c>
      <c r="F610">
        <v>404290</v>
      </c>
      <c r="G610" s="660">
        <v>44566</v>
      </c>
      <c r="H610" t="s">
        <v>6985</v>
      </c>
    </row>
    <row r="611" spans="1:8">
      <c r="A611">
        <v>502212</v>
      </c>
      <c r="B611" t="s">
        <v>816</v>
      </c>
      <c r="C611" t="s">
        <v>6347</v>
      </c>
      <c r="D611" t="s">
        <v>5859</v>
      </c>
      <c r="E611">
        <v>1288</v>
      </c>
      <c r="F611">
        <v>410278</v>
      </c>
      <c r="G611" s="660">
        <v>45784</v>
      </c>
      <c r="H611" t="s">
        <v>6986</v>
      </c>
    </row>
    <row r="612" spans="1:8">
      <c r="A612">
        <v>502213</v>
      </c>
      <c r="B612" t="s">
        <v>6987</v>
      </c>
      <c r="C612" t="s">
        <v>1966</v>
      </c>
      <c r="D612" t="s">
        <v>5859</v>
      </c>
      <c r="E612">
        <v>23.52</v>
      </c>
      <c r="F612">
        <v>403495</v>
      </c>
      <c r="G612" s="660">
        <v>44391</v>
      </c>
      <c r="H612" t="s">
        <v>6988</v>
      </c>
    </row>
    <row r="613" spans="1:8">
      <c r="A613">
        <v>502214</v>
      </c>
      <c r="B613" t="s">
        <v>6989</v>
      </c>
      <c r="C613" t="s">
        <v>5900</v>
      </c>
      <c r="D613" t="s">
        <v>5868</v>
      </c>
      <c r="E613">
        <v>283.98</v>
      </c>
      <c r="F613">
        <v>410323</v>
      </c>
      <c r="G613" s="660">
        <v>45791</v>
      </c>
      <c r="H613" t="s">
        <v>6990</v>
      </c>
    </row>
    <row r="614" spans="1:8">
      <c r="A614">
        <v>502215</v>
      </c>
      <c r="B614" t="s">
        <v>6991</v>
      </c>
      <c r="D614" t="s">
        <v>5868</v>
      </c>
      <c r="G614" s="660"/>
      <c r="H614" t="s">
        <v>6992</v>
      </c>
    </row>
    <row r="615" spans="1:8">
      <c r="A615">
        <v>502216</v>
      </c>
      <c r="B615" t="s">
        <v>6993</v>
      </c>
      <c r="C615" t="s">
        <v>1966</v>
      </c>
      <c r="D615" t="s">
        <v>5859</v>
      </c>
      <c r="E615">
        <v>7.1099999999999997E-2</v>
      </c>
      <c r="F615">
        <v>404203</v>
      </c>
      <c r="G615" s="660">
        <v>44537</v>
      </c>
      <c r="H615" t="s">
        <v>6994</v>
      </c>
    </row>
    <row r="616" spans="1:8">
      <c r="A616">
        <v>502217</v>
      </c>
      <c r="B616" t="s">
        <v>6995</v>
      </c>
      <c r="C616" t="s">
        <v>1966</v>
      </c>
      <c r="D616" t="s">
        <v>5859</v>
      </c>
      <c r="E616">
        <v>3.0300000000000001E-2</v>
      </c>
      <c r="F616">
        <v>403541</v>
      </c>
      <c r="G616" s="660">
        <v>44400</v>
      </c>
      <c r="H616" t="s">
        <v>6996</v>
      </c>
    </row>
    <row r="617" spans="1:8">
      <c r="A617">
        <v>502218</v>
      </c>
      <c r="B617" t="s">
        <v>6997</v>
      </c>
      <c r="C617" t="s">
        <v>6352</v>
      </c>
      <c r="D617" t="s">
        <v>5859</v>
      </c>
      <c r="E617">
        <v>0</v>
      </c>
      <c r="F617">
        <v>406532</v>
      </c>
      <c r="G617" s="660">
        <v>45043</v>
      </c>
      <c r="H617" t="s">
        <v>6998</v>
      </c>
    </row>
    <row r="618" spans="1:8">
      <c r="A618">
        <v>502219</v>
      </c>
      <c r="B618" t="s">
        <v>6999</v>
      </c>
      <c r="C618" t="s">
        <v>1930</v>
      </c>
      <c r="D618" t="s">
        <v>5859</v>
      </c>
      <c r="E618">
        <v>1.72</v>
      </c>
      <c r="F618">
        <v>410289</v>
      </c>
      <c r="G618" s="660">
        <v>45785</v>
      </c>
      <c r="H618" t="s">
        <v>7000</v>
      </c>
    </row>
    <row r="619" spans="1:8">
      <c r="A619">
        <v>502220</v>
      </c>
      <c r="B619" t="s">
        <v>7001</v>
      </c>
      <c r="C619" t="s">
        <v>1966</v>
      </c>
      <c r="D619" t="s">
        <v>5859</v>
      </c>
      <c r="E619">
        <v>10.91</v>
      </c>
      <c r="F619">
        <v>405352</v>
      </c>
      <c r="G619" s="660">
        <v>44770</v>
      </c>
      <c r="H619" t="s">
        <v>7002</v>
      </c>
    </row>
    <row r="620" spans="1:8">
      <c r="A620">
        <v>502221</v>
      </c>
      <c r="B620" t="s">
        <v>7003</v>
      </c>
      <c r="C620" t="s">
        <v>6352</v>
      </c>
      <c r="D620" t="s">
        <v>5859</v>
      </c>
      <c r="E620">
        <v>86.37</v>
      </c>
      <c r="F620">
        <v>407336</v>
      </c>
      <c r="G620" s="660">
        <v>45211</v>
      </c>
      <c r="H620" t="s">
        <v>7004</v>
      </c>
    </row>
    <row r="621" spans="1:8">
      <c r="A621">
        <v>502222</v>
      </c>
      <c r="B621" t="s">
        <v>7005</v>
      </c>
      <c r="C621" t="s">
        <v>5875</v>
      </c>
      <c r="D621" t="s">
        <v>5859</v>
      </c>
      <c r="E621">
        <v>107.78</v>
      </c>
      <c r="F621">
        <v>403721</v>
      </c>
      <c r="G621" s="660">
        <v>44435</v>
      </c>
      <c r="H621" t="s">
        <v>7006</v>
      </c>
    </row>
    <row r="622" spans="1:8">
      <c r="A622">
        <v>502223</v>
      </c>
      <c r="B622" t="s">
        <v>7007</v>
      </c>
      <c r="D622" t="s">
        <v>5859</v>
      </c>
      <c r="G622" s="660"/>
      <c r="H622" t="s">
        <v>7008</v>
      </c>
    </row>
    <row r="623" spans="1:8">
      <c r="A623">
        <v>502224</v>
      </c>
      <c r="B623" t="s">
        <v>7009</v>
      </c>
      <c r="D623" t="s">
        <v>5859</v>
      </c>
      <c r="G623" s="660"/>
      <c r="H623" t="s">
        <v>7010</v>
      </c>
    </row>
    <row r="624" spans="1:8">
      <c r="A624">
        <v>502225</v>
      </c>
      <c r="B624" t="s">
        <v>7011</v>
      </c>
      <c r="C624" t="s">
        <v>6524</v>
      </c>
      <c r="D624" t="s">
        <v>5859</v>
      </c>
      <c r="E624">
        <v>141.19</v>
      </c>
      <c r="F624">
        <v>408017</v>
      </c>
      <c r="G624" s="660">
        <v>45341</v>
      </c>
      <c r="H624" t="s">
        <v>7012</v>
      </c>
    </row>
    <row r="625" spans="1:8">
      <c r="A625">
        <v>502226</v>
      </c>
      <c r="B625" t="s">
        <v>7013</v>
      </c>
      <c r="D625" t="s">
        <v>5859</v>
      </c>
      <c r="G625" s="660"/>
      <c r="H625" t="s">
        <v>7014</v>
      </c>
    </row>
    <row r="626" spans="1:8">
      <c r="A626">
        <v>502227</v>
      </c>
      <c r="B626" t="s">
        <v>7015</v>
      </c>
      <c r="C626" t="s">
        <v>6524</v>
      </c>
      <c r="D626" t="s">
        <v>5859</v>
      </c>
      <c r="E626">
        <v>142.36000000000001</v>
      </c>
      <c r="F626">
        <v>408078</v>
      </c>
      <c r="G626" s="660">
        <v>45352</v>
      </c>
      <c r="H626" t="s">
        <v>7016</v>
      </c>
    </row>
    <row r="627" spans="1:8">
      <c r="A627">
        <v>502228</v>
      </c>
      <c r="B627" t="s">
        <v>7017</v>
      </c>
      <c r="D627" t="s">
        <v>5859</v>
      </c>
      <c r="G627" s="660"/>
      <c r="H627" t="s">
        <v>7018</v>
      </c>
    </row>
    <row r="628" spans="1:8">
      <c r="A628">
        <v>502229</v>
      </c>
      <c r="B628" t="s">
        <v>7019</v>
      </c>
      <c r="C628" t="s">
        <v>6524</v>
      </c>
      <c r="D628" t="s">
        <v>5859</v>
      </c>
      <c r="E628">
        <v>256.38</v>
      </c>
      <c r="F628">
        <v>406535</v>
      </c>
      <c r="G628" s="660">
        <v>45044</v>
      </c>
      <c r="H628" t="s">
        <v>7020</v>
      </c>
    </row>
    <row r="629" spans="1:8">
      <c r="A629">
        <v>502230</v>
      </c>
      <c r="B629" t="s">
        <v>7021</v>
      </c>
      <c r="D629" t="s">
        <v>5859</v>
      </c>
      <c r="G629" s="660"/>
      <c r="H629" t="s">
        <v>7022</v>
      </c>
    </row>
    <row r="630" spans="1:8">
      <c r="A630">
        <v>502231</v>
      </c>
      <c r="B630" t="s">
        <v>7023</v>
      </c>
      <c r="D630" t="s">
        <v>5859</v>
      </c>
      <c r="G630" s="660"/>
      <c r="H630" t="s">
        <v>7024</v>
      </c>
    </row>
    <row r="631" spans="1:8">
      <c r="A631">
        <v>502232</v>
      </c>
      <c r="B631" t="s">
        <v>7025</v>
      </c>
      <c r="D631" t="s">
        <v>5859</v>
      </c>
      <c r="G631" s="660"/>
      <c r="H631" t="s">
        <v>7026</v>
      </c>
    </row>
    <row r="632" spans="1:8">
      <c r="A632">
        <v>502233</v>
      </c>
      <c r="B632" t="s">
        <v>7027</v>
      </c>
      <c r="C632" t="s">
        <v>1966</v>
      </c>
      <c r="D632" t="s">
        <v>5859</v>
      </c>
      <c r="E632">
        <v>23.27</v>
      </c>
      <c r="F632">
        <v>403938</v>
      </c>
      <c r="G632" s="660">
        <v>44503</v>
      </c>
      <c r="H632" t="s">
        <v>7028</v>
      </c>
    </row>
    <row r="633" spans="1:8">
      <c r="A633">
        <v>502234</v>
      </c>
      <c r="B633" t="s">
        <v>7029</v>
      </c>
      <c r="C633" t="s">
        <v>1966</v>
      </c>
      <c r="D633" t="s">
        <v>5859</v>
      </c>
      <c r="E633">
        <v>6.9</v>
      </c>
      <c r="F633">
        <v>403771</v>
      </c>
      <c r="G633" s="660">
        <v>44448</v>
      </c>
      <c r="H633" t="s">
        <v>7030</v>
      </c>
    </row>
    <row r="634" spans="1:8">
      <c r="A634">
        <v>502236</v>
      </c>
      <c r="B634" t="s">
        <v>7031</v>
      </c>
      <c r="C634" t="s">
        <v>6684</v>
      </c>
      <c r="D634" t="s">
        <v>5859</v>
      </c>
      <c r="E634">
        <v>15.97</v>
      </c>
      <c r="F634">
        <v>405330</v>
      </c>
      <c r="G634" s="660">
        <v>44763</v>
      </c>
      <c r="H634" t="s">
        <v>7032</v>
      </c>
    </row>
    <row r="635" spans="1:8">
      <c r="A635">
        <v>502238</v>
      </c>
      <c r="B635" t="s">
        <v>7033</v>
      </c>
      <c r="C635" t="s">
        <v>1665</v>
      </c>
      <c r="D635" t="s">
        <v>5859</v>
      </c>
      <c r="E635">
        <v>778.51</v>
      </c>
      <c r="F635">
        <v>404147</v>
      </c>
      <c r="G635" s="660">
        <v>44522</v>
      </c>
      <c r="H635" t="s">
        <v>7034</v>
      </c>
    </row>
    <row r="636" spans="1:8">
      <c r="A636">
        <v>502239</v>
      </c>
      <c r="B636" t="s">
        <v>7035</v>
      </c>
      <c r="C636" t="s">
        <v>1930</v>
      </c>
      <c r="D636" t="s">
        <v>5859</v>
      </c>
      <c r="E636">
        <v>810</v>
      </c>
      <c r="F636">
        <v>403922</v>
      </c>
      <c r="G636" s="660">
        <v>44480</v>
      </c>
      <c r="H636" t="s">
        <v>7036</v>
      </c>
    </row>
    <row r="637" spans="1:8">
      <c r="A637">
        <v>502240</v>
      </c>
      <c r="B637" t="s">
        <v>817</v>
      </c>
      <c r="C637" t="s">
        <v>1966</v>
      </c>
      <c r="D637" t="s">
        <v>5859</v>
      </c>
      <c r="E637">
        <v>74.62</v>
      </c>
      <c r="F637">
        <v>408395</v>
      </c>
      <c r="G637" s="660">
        <v>45406</v>
      </c>
      <c r="H637" t="s">
        <v>7037</v>
      </c>
    </row>
    <row r="638" spans="1:8">
      <c r="A638">
        <v>502241</v>
      </c>
      <c r="B638" t="s">
        <v>7038</v>
      </c>
      <c r="C638" t="s">
        <v>7039</v>
      </c>
      <c r="D638" t="s">
        <v>5859</v>
      </c>
      <c r="E638">
        <v>1450</v>
      </c>
      <c r="F638">
        <v>410316</v>
      </c>
      <c r="G638" s="660">
        <v>45791</v>
      </c>
      <c r="H638" t="s">
        <v>7040</v>
      </c>
    </row>
    <row r="639" spans="1:8">
      <c r="A639">
        <v>502242</v>
      </c>
      <c r="B639" t="s">
        <v>7041</v>
      </c>
      <c r="C639" t="s">
        <v>7039</v>
      </c>
      <c r="D639" t="s">
        <v>5859</v>
      </c>
      <c r="E639">
        <v>1290</v>
      </c>
      <c r="F639">
        <v>407449</v>
      </c>
      <c r="G639" s="660">
        <v>45231</v>
      </c>
      <c r="H639" t="s">
        <v>7042</v>
      </c>
    </row>
    <row r="640" spans="1:8">
      <c r="A640">
        <v>502243</v>
      </c>
      <c r="B640" t="s">
        <v>7043</v>
      </c>
      <c r="C640" t="s">
        <v>1966</v>
      </c>
      <c r="D640" t="s">
        <v>5859</v>
      </c>
      <c r="E640">
        <v>127.38</v>
      </c>
      <c r="F640">
        <v>404383</v>
      </c>
      <c r="G640" s="660">
        <v>44580</v>
      </c>
      <c r="H640" t="s">
        <v>7044</v>
      </c>
    </row>
    <row r="641" spans="1:8">
      <c r="A641">
        <v>502245</v>
      </c>
      <c r="B641" t="s">
        <v>7045</v>
      </c>
      <c r="C641" t="s">
        <v>7039</v>
      </c>
      <c r="D641" t="s">
        <v>5859</v>
      </c>
      <c r="E641">
        <v>1100</v>
      </c>
      <c r="F641">
        <v>405448</v>
      </c>
      <c r="G641" s="660">
        <v>44792</v>
      </c>
      <c r="H641" t="s">
        <v>7046</v>
      </c>
    </row>
    <row r="642" spans="1:8">
      <c r="A642">
        <v>502246</v>
      </c>
      <c r="B642" t="s">
        <v>7047</v>
      </c>
      <c r="C642" t="s">
        <v>1966</v>
      </c>
      <c r="D642" t="s">
        <v>5859</v>
      </c>
      <c r="E642">
        <v>17.52</v>
      </c>
      <c r="F642">
        <v>404780</v>
      </c>
      <c r="G642" s="660">
        <v>44648</v>
      </c>
      <c r="H642" t="s">
        <v>7048</v>
      </c>
    </row>
    <row r="643" spans="1:8">
      <c r="A643">
        <v>502247</v>
      </c>
      <c r="B643" t="s">
        <v>7049</v>
      </c>
      <c r="C643" t="s">
        <v>1966</v>
      </c>
      <c r="D643" t="s">
        <v>5859</v>
      </c>
      <c r="E643">
        <v>20.12</v>
      </c>
      <c r="F643">
        <v>404453</v>
      </c>
      <c r="G643" s="660">
        <v>44593</v>
      </c>
      <c r="H643" t="s">
        <v>7050</v>
      </c>
    </row>
    <row r="644" spans="1:8">
      <c r="A644">
        <v>502248</v>
      </c>
      <c r="B644" t="s">
        <v>7051</v>
      </c>
      <c r="C644" t="s">
        <v>1930</v>
      </c>
      <c r="D644" t="s">
        <v>5859</v>
      </c>
      <c r="E644">
        <v>14.3</v>
      </c>
      <c r="F644">
        <v>404151</v>
      </c>
      <c r="G644" s="660">
        <v>44522</v>
      </c>
      <c r="H644" t="s">
        <v>7052</v>
      </c>
    </row>
    <row r="645" spans="1:8">
      <c r="A645">
        <v>502249</v>
      </c>
      <c r="B645" t="s">
        <v>7053</v>
      </c>
      <c r="C645" t="s">
        <v>1966</v>
      </c>
      <c r="D645" t="s">
        <v>5859</v>
      </c>
      <c r="E645">
        <v>10.06</v>
      </c>
      <c r="F645">
        <v>403747</v>
      </c>
      <c r="G645" s="660">
        <v>44440</v>
      </c>
      <c r="H645" t="s">
        <v>7054</v>
      </c>
    </row>
    <row r="646" spans="1:8">
      <c r="A646">
        <v>502250</v>
      </c>
      <c r="B646" t="s">
        <v>7055</v>
      </c>
      <c r="C646" t="s">
        <v>1665</v>
      </c>
      <c r="D646" t="s">
        <v>5859</v>
      </c>
      <c r="E646">
        <v>504.39</v>
      </c>
      <c r="F646">
        <v>408361</v>
      </c>
      <c r="G646" s="660">
        <v>45401</v>
      </c>
      <c r="H646" t="s">
        <v>7056</v>
      </c>
    </row>
    <row r="647" spans="1:8">
      <c r="A647">
        <v>502251</v>
      </c>
      <c r="B647" t="s">
        <v>7057</v>
      </c>
      <c r="C647" t="s">
        <v>7039</v>
      </c>
      <c r="D647" t="s">
        <v>5859</v>
      </c>
      <c r="E647">
        <v>1065</v>
      </c>
      <c r="F647">
        <v>404704</v>
      </c>
      <c r="G647" s="660">
        <v>44636</v>
      </c>
      <c r="H647" t="s">
        <v>7058</v>
      </c>
    </row>
    <row r="648" spans="1:8">
      <c r="A648">
        <v>502252</v>
      </c>
      <c r="B648" t="s">
        <v>7059</v>
      </c>
      <c r="C648" t="s">
        <v>7039</v>
      </c>
      <c r="D648" t="s">
        <v>5859</v>
      </c>
      <c r="E648">
        <v>1210</v>
      </c>
      <c r="F648">
        <v>404704</v>
      </c>
      <c r="G648" s="660">
        <v>44636</v>
      </c>
      <c r="H648" t="s">
        <v>7060</v>
      </c>
    </row>
    <row r="649" spans="1:8">
      <c r="A649">
        <v>502253</v>
      </c>
      <c r="B649" t="s">
        <v>7061</v>
      </c>
      <c r="C649" t="s">
        <v>6013</v>
      </c>
      <c r="D649" t="s">
        <v>5859</v>
      </c>
      <c r="E649">
        <v>1470</v>
      </c>
      <c r="F649">
        <v>408434</v>
      </c>
      <c r="G649" s="660">
        <v>45413</v>
      </c>
      <c r="H649" t="s">
        <v>7062</v>
      </c>
    </row>
    <row r="650" spans="1:8">
      <c r="A650">
        <v>502254</v>
      </c>
      <c r="B650" t="s">
        <v>7063</v>
      </c>
      <c r="C650" t="s">
        <v>6013</v>
      </c>
      <c r="D650" t="s">
        <v>5859</v>
      </c>
      <c r="E650">
        <v>1689.6</v>
      </c>
      <c r="F650">
        <v>408434</v>
      </c>
      <c r="G650" s="660">
        <v>45413</v>
      </c>
      <c r="H650" t="s">
        <v>7064</v>
      </c>
    </row>
    <row r="651" spans="1:8">
      <c r="A651">
        <v>502255</v>
      </c>
      <c r="B651" t="s">
        <v>7065</v>
      </c>
      <c r="C651" t="s">
        <v>1966</v>
      </c>
      <c r="D651" t="s">
        <v>5859</v>
      </c>
      <c r="E651">
        <v>168.8</v>
      </c>
      <c r="F651">
        <v>406831</v>
      </c>
      <c r="G651" s="660">
        <v>45112</v>
      </c>
      <c r="H651" t="s">
        <v>7066</v>
      </c>
    </row>
    <row r="652" spans="1:8">
      <c r="A652">
        <v>502256</v>
      </c>
      <c r="B652" t="s">
        <v>7067</v>
      </c>
      <c r="C652" t="s">
        <v>1966</v>
      </c>
      <c r="D652" t="s">
        <v>5859</v>
      </c>
      <c r="E652">
        <v>60.68</v>
      </c>
      <c r="F652">
        <v>406911</v>
      </c>
      <c r="G652" s="660">
        <v>45131</v>
      </c>
      <c r="H652" t="s">
        <v>7068</v>
      </c>
    </row>
    <row r="653" spans="1:8">
      <c r="A653">
        <v>502257</v>
      </c>
      <c r="B653" t="s">
        <v>7069</v>
      </c>
      <c r="C653" t="s">
        <v>5941</v>
      </c>
      <c r="D653" t="s">
        <v>5859</v>
      </c>
      <c r="E653">
        <v>362.16</v>
      </c>
      <c r="F653">
        <v>404163</v>
      </c>
      <c r="G653" s="660">
        <v>44522</v>
      </c>
      <c r="H653" t="s">
        <v>7070</v>
      </c>
    </row>
    <row r="654" spans="1:8">
      <c r="A654">
        <v>502258</v>
      </c>
      <c r="B654" t="s">
        <v>7071</v>
      </c>
      <c r="C654" t="s">
        <v>5941</v>
      </c>
      <c r="D654" t="s">
        <v>5859</v>
      </c>
      <c r="E654">
        <v>362.16</v>
      </c>
      <c r="F654">
        <v>404163</v>
      </c>
      <c r="G654" s="660">
        <v>44522</v>
      </c>
      <c r="H654" t="s">
        <v>7072</v>
      </c>
    </row>
    <row r="655" spans="1:8">
      <c r="A655">
        <v>502259</v>
      </c>
      <c r="B655" t="s">
        <v>7073</v>
      </c>
      <c r="C655" t="s">
        <v>1966</v>
      </c>
      <c r="D655" t="s">
        <v>5859</v>
      </c>
      <c r="E655">
        <v>26.17</v>
      </c>
      <c r="F655">
        <v>404453</v>
      </c>
      <c r="G655" s="660">
        <v>44593</v>
      </c>
      <c r="H655" t="s">
        <v>7074</v>
      </c>
    </row>
    <row r="656" spans="1:8">
      <c r="A656">
        <v>502260</v>
      </c>
      <c r="B656" t="s">
        <v>7075</v>
      </c>
      <c r="C656" t="s">
        <v>1966</v>
      </c>
      <c r="D656" t="s">
        <v>5859</v>
      </c>
      <c r="E656">
        <v>219.33</v>
      </c>
      <c r="F656">
        <v>404153</v>
      </c>
      <c r="G656" s="660">
        <v>44522</v>
      </c>
      <c r="H656" t="s">
        <v>7076</v>
      </c>
    </row>
    <row r="657" spans="1:8">
      <c r="A657">
        <v>502262</v>
      </c>
      <c r="B657" t="s">
        <v>7077</v>
      </c>
      <c r="C657" t="s">
        <v>1930</v>
      </c>
      <c r="D657" t="s">
        <v>5859</v>
      </c>
      <c r="E657">
        <v>312.5</v>
      </c>
      <c r="F657">
        <v>405064</v>
      </c>
      <c r="G657" s="660">
        <v>44705</v>
      </c>
      <c r="H657" t="s">
        <v>7078</v>
      </c>
    </row>
    <row r="658" spans="1:8">
      <c r="A658">
        <v>502264</v>
      </c>
      <c r="B658" t="s">
        <v>7079</v>
      </c>
      <c r="C658" t="s">
        <v>1665</v>
      </c>
      <c r="D658" t="s">
        <v>5859</v>
      </c>
      <c r="E658">
        <v>220.75</v>
      </c>
      <c r="F658">
        <v>407117</v>
      </c>
      <c r="G658" s="660">
        <v>45175</v>
      </c>
      <c r="H658" t="s">
        <v>7080</v>
      </c>
    </row>
    <row r="659" spans="1:8">
      <c r="A659">
        <v>502265</v>
      </c>
      <c r="B659" t="s">
        <v>7081</v>
      </c>
      <c r="C659" t="s">
        <v>1930</v>
      </c>
      <c r="D659" t="s">
        <v>5859</v>
      </c>
      <c r="E659">
        <v>697.87</v>
      </c>
      <c r="F659">
        <v>403885</v>
      </c>
      <c r="G659" s="660">
        <v>44474</v>
      </c>
      <c r="H659" t="s">
        <v>7082</v>
      </c>
    </row>
    <row r="660" spans="1:8">
      <c r="A660">
        <v>502266</v>
      </c>
      <c r="B660" t="s">
        <v>7083</v>
      </c>
      <c r="C660" t="s">
        <v>1966</v>
      </c>
      <c r="D660" t="s">
        <v>5859</v>
      </c>
      <c r="E660">
        <v>7.96</v>
      </c>
      <c r="F660">
        <v>408371</v>
      </c>
      <c r="G660" s="660">
        <v>45404</v>
      </c>
      <c r="H660" t="s">
        <v>7084</v>
      </c>
    </row>
    <row r="661" spans="1:8">
      <c r="A661">
        <v>502269</v>
      </c>
      <c r="B661" t="s">
        <v>7085</v>
      </c>
      <c r="C661" t="s">
        <v>1930</v>
      </c>
      <c r="D661" t="s">
        <v>5859</v>
      </c>
      <c r="E661">
        <v>1221.3800000000001</v>
      </c>
      <c r="F661">
        <v>403885</v>
      </c>
      <c r="G661" s="660">
        <v>44474</v>
      </c>
      <c r="H661" t="s">
        <v>7086</v>
      </c>
    </row>
    <row r="662" spans="1:8">
      <c r="A662">
        <v>502271</v>
      </c>
      <c r="B662" t="s">
        <v>7087</v>
      </c>
      <c r="C662" t="s">
        <v>6078</v>
      </c>
      <c r="D662" t="s">
        <v>5868</v>
      </c>
      <c r="E662">
        <v>1918</v>
      </c>
      <c r="F662">
        <v>404701</v>
      </c>
      <c r="G662" s="660">
        <v>44636</v>
      </c>
      <c r="H662" t="s">
        <v>7088</v>
      </c>
    </row>
    <row r="663" spans="1:8">
      <c r="A663">
        <v>502272</v>
      </c>
      <c r="B663" t="s">
        <v>7089</v>
      </c>
      <c r="C663" t="s">
        <v>6078</v>
      </c>
      <c r="D663" t="s">
        <v>5868</v>
      </c>
      <c r="E663">
        <v>2366</v>
      </c>
      <c r="F663">
        <v>404701</v>
      </c>
      <c r="G663" s="660">
        <v>44636</v>
      </c>
      <c r="H663" t="s">
        <v>7090</v>
      </c>
    </row>
    <row r="664" spans="1:8">
      <c r="A664">
        <v>502274</v>
      </c>
      <c r="B664" t="s">
        <v>7091</v>
      </c>
      <c r="C664" t="s">
        <v>1966</v>
      </c>
      <c r="D664" t="s">
        <v>5859</v>
      </c>
      <c r="E664">
        <v>2.69</v>
      </c>
      <c r="F664">
        <v>403747</v>
      </c>
      <c r="G664" s="660">
        <v>44440</v>
      </c>
      <c r="H664" t="s">
        <v>7092</v>
      </c>
    </row>
    <row r="665" spans="1:8">
      <c r="A665">
        <v>502275</v>
      </c>
      <c r="B665" t="s">
        <v>7093</v>
      </c>
      <c r="C665" t="s">
        <v>6497</v>
      </c>
      <c r="D665" t="s">
        <v>5868</v>
      </c>
      <c r="E665">
        <v>1247.8</v>
      </c>
      <c r="F665">
        <v>405840</v>
      </c>
      <c r="G665" s="660">
        <v>44876</v>
      </c>
      <c r="H665" t="s">
        <v>7094</v>
      </c>
    </row>
    <row r="666" spans="1:8">
      <c r="A666">
        <v>502276</v>
      </c>
      <c r="B666" t="s">
        <v>7095</v>
      </c>
      <c r="C666" t="s">
        <v>1930</v>
      </c>
      <c r="D666" t="s">
        <v>5859</v>
      </c>
      <c r="E666">
        <v>5.62</v>
      </c>
      <c r="F666">
        <v>404754</v>
      </c>
      <c r="G666" s="660">
        <v>44644</v>
      </c>
      <c r="H666" t="s">
        <v>7096</v>
      </c>
    </row>
    <row r="667" spans="1:8">
      <c r="A667">
        <v>502277</v>
      </c>
      <c r="B667" t="s">
        <v>7097</v>
      </c>
      <c r="C667" t="s">
        <v>7039</v>
      </c>
      <c r="D667" t="s">
        <v>5859</v>
      </c>
      <c r="E667">
        <v>826</v>
      </c>
      <c r="F667">
        <v>404704</v>
      </c>
      <c r="G667" s="660">
        <v>44636</v>
      </c>
      <c r="H667" t="s">
        <v>7098</v>
      </c>
    </row>
    <row r="668" spans="1:8">
      <c r="A668">
        <v>502278</v>
      </c>
      <c r="B668" t="s">
        <v>7099</v>
      </c>
      <c r="C668" t="s">
        <v>6336</v>
      </c>
      <c r="D668" t="s">
        <v>5859</v>
      </c>
      <c r="E668">
        <v>24.83</v>
      </c>
      <c r="F668">
        <v>409995</v>
      </c>
      <c r="G668" s="660">
        <v>45728</v>
      </c>
      <c r="H668" s="2" t="s">
        <v>7100</v>
      </c>
    </row>
    <row r="669" spans="1:8">
      <c r="A669">
        <v>502279</v>
      </c>
      <c r="B669" t="s">
        <v>7101</v>
      </c>
      <c r="C669" t="s">
        <v>6524</v>
      </c>
      <c r="D669" t="s">
        <v>5859</v>
      </c>
      <c r="E669">
        <v>222.22</v>
      </c>
      <c r="F669">
        <v>409771</v>
      </c>
      <c r="G669" s="660">
        <v>45692</v>
      </c>
      <c r="H669" t="s">
        <v>7102</v>
      </c>
    </row>
    <row r="670" spans="1:8">
      <c r="A670">
        <v>502280</v>
      </c>
      <c r="B670" t="s">
        <v>7103</v>
      </c>
      <c r="C670" t="s">
        <v>6524</v>
      </c>
      <c r="D670" t="s">
        <v>5859</v>
      </c>
      <c r="E670">
        <v>346.82</v>
      </c>
      <c r="F670">
        <v>408369</v>
      </c>
      <c r="G670" s="660">
        <v>45404</v>
      </c>
      <c r="H670" t="s">
        <v>7102</v>
      </c>
    </row>
    <row r="671" spans="1:8">
      <c r="A671">
        <v>502281</v>
      </c>
      <c r="B671" t="s">
        <v>7104</v>
      </c>
      <c r="C671" t="s">
        <v>1966</v>
      </c>
      <c r="D671" t="s">
        <v>5859</v>
      </c>
      <c r="E671">
        <v>3.34</v>
      </c>
      <c r="F671">
        <v>403747</v>
      </c>
      <c r="G671" s="660">
        <v>44440</v>
      </c>
      <c r="H671" t="s">
        <v>7105</v>
      </c>
    </row>
    <row r="672" spans="1:8">
      <c r="A672">
        <v>502283</v>
      </c>
      <c r="B672" t="s">
        <v>7106</v>
      </c>
      <c r="C672" t="s">
        <v>1966</v>
      </c>
      <c r="D672" t="s">
        <v>5859</v>
      </c>
      <c r="E672">
        <v>11.73</v>
      </c>
      <c r="F672">
        <v>403747</v>
      </c>
      <c r="G672" s="660">
        <v>44440</v>
      </c>
      <c r="H672" t="s">
        <v>7107</v>
      </c>
    </row>
    <row r="673" spans="1:8">
      <c r="A673">
        <v>502284</v>
      </c>
      <c r="B673" t="s">
        <v>7108</v>
      </c>
      <c r="C673" t="s">
        <v>6013</v>
      </c>
      <c r="D673" t="s">
        <v>5859</v>
      </c>
      <c r="E673">
        <v>235</v>
      </c>
      <c r="F673">
        <v>403722</v>
      </c>
      <c r="G673" s="660">
        <v>44435</v>
      </c>
      <c r="H673" t="s">
        <v>7109</v>
      </c>
    </row>
    <row r="674" spans="1:8">
      <c r="A674">
        <v>502285</v>
      </c>
      <c r="B674" t="s">
        <v>7110</v>
      </c>
      <c r="C674" t="s">
        <v>7111</v>
      </c>
      <c r="D674" t="s">
        <v>5868</v>
      </c>
      <c r="E674">
        <v>690</v>
      </c>
      <c r="F674">
        <v>409145</v>
      </c>
      <c r="G674" s="660">
        <v>45553</v>
      </c>
      <c r="H674" t="s">
        <v>7112</v>
      </c>
    </row>
    <row r="675" spans="1:8">
      <c r="A675">
        <v>502286</v>
      </c>
      <c r="B675" t="s">
        <v>7113</v>
      </c>
      <c r="C675" t="s">
        <v>7114</v>
      </c>
      <c r="D675" t="s">
        <v>5859</v>
      </c>
      <c r="E675">
        <v>2554</v>
      </c>
      <c r="F675">
        <v>406940</v>
      </c>
      <c r="G675" s="660">
        <v>45135</v>
      </c>
      <c r="H675" t="s">
        <v>7115</v>
      </c>
    </row>
    <row r="676" spans="1:8">
      <c r="A676">
        <v>502287</v>
      </c>
      <c r="B676" t="s">
        <v>7116</v>
      </c>
      <c r="D676" t="s">
        <v>5859</v>
      </c>
      <c r="G676" s="660"/>
      <c r="H676" t="s">
        <v>7117</v>
      </c>
    </row>
    <row r="677" spans="1:8">
      <c r="A677">
        <v>502288</v>
      </c>
      <c r="B677" t="s">
        <v>7118</v>
      </c>
      <c r="C677" t="s">
        <v>6497</v>
      </c>
      <c r="D677" t="s">
        <v>5868</v>
      </c>
      <c r="E677">
        <v>2986.05</v>
      </c>
      <c r="F677">
        <v>406935</v>
      </c>
      <c r="G677" s="660">
        <v>45135</v>
      </c>
      <c r="H677" t="s">
        <v>7119</v>
      </c>
    </row>
    <row r="678" spans="1:8">
      <c r="A678">
        <v>502290</v>
      </c>
      <c r="B678" t="s">
        <v>7120</v>
      </c>
      <c r="C678" t="s">
        <v>1665</v>
      </c>
      <c r="D678" t="s">
        <v>5859</v>
      </c>
      <c r="E678">
        <v>412.71</v>
      </c>
      <c r="F678">
        <v>405026</v>
      </c>
      <c r="G678" s="660">
        <v>44698</v>
      </c>
      <c r="H678" t="s">
        <v>7121</v>
      </c>
    </row>
    <row r="679" spans="1:8">
      <c r="A679">
        <v>502291</v>
      </c>
      <c r="B679" t="s">
        <v>1411</v>
      </c>
      <c r="C679" t="s">
        <v>7122</v>
      </c>
      <c r="D679" t="s">
        <v>5859</v>
      </c>
      <c r="E679">
        <v>922.7</v>
      </c>
      <c r="F679">
        <v>409105</v>
      </c>
      <c r="G679" s="660">
        <v>45546</v>
      </c>
      <c r="H679" t="s">
        <v>1412</v>
      </c>
    </row>
    <row r="680" spans="1:8">
      <c r="A680">
        <v>502292</v>
      </c>
      <c r="B680" t="s">
        <v>1413</v>
      </c>
      <c r="C680" t="s">
        <v>7122</v>
      </c>
      <c r="D680" t="s">
        <v>5859</v>
      </c>
      <c r="E680">
        <v>922.7</v>
      </c>
      <c r="F680">
        <v>409105</v>
      </c>
      <c r="G680" s="660">
        <v>45546</v>
      </c>
      <c r="H680" t="s">
        <v>1414</v>
      </c>
    </row>
    <row r="681" spans="1:8">
      <c r="A681">
        <v>502293</v>
      </c>
      <c r="B681" t="s">
        <v>7123</v>
      </c>
      <c r="C681" t="s">
        <v>5553</v>
      </c>
      <c r="D681" t="s">
        <v>5859</v>
      </c>
      <c r="E681">
        <v>606.26</v>
      </c>
      <c r="F681">
        <v>410056</v>
      </c>
      <c r="G681" s="660">
        <v>45741</v>
      </c>
      <c r="H681" t="s">
        <v>1368</v>
      </c>
    </row>
    <row r="682" spans="1:8">
      <c r="A682">
        <v>502298</v>
      </c>
      <c r="B682" t="s">
        <v>7124</v>
      </c>
      <c r="C682" t="s">
        <v>1665</v>
      </c>
      <c r="D682" t="s">
        <v>5859</v>
      </c>
      <c r="E682">
        <v>139.08000000000001</v>
      </c>
      <c r="F682">
        <v>409346</v>
      </c>
      <c r="G682" s="660">
        <v>45590</v>
      </c>
      <c r="H682" t="s">
        <v>7125</v>
      </c>
    </row>
    <row r="683" spans="1:8">
      <c r="A683">
        <v>502299</v>
      </c>
      <c r="B683" t="s">
        <v>7126</v>
      </c>
      <c r="C683" t="s">
        <v>1665</v>
      </c>
      <c r="D683" t="s">
        <v>5859</v>
      </c>
      <c r="E683">
        <v>239.64</v>
      </c>
      <c r="F683">
        <v>409346</v>
      </c>
      <c r="G683" s="660">
        <v>45590</v>
      </c>
      <c r="H683" t="s">
        <v>7127</v>
      </c>
    </row>
    <row r="684" spans="1:8">
      <c r="A684">
        <v>502300</v>
      </c>
      <c r="B684" t="s">
        <v>7128</v>
      </c>
      <c r="C684" t="s">
        <v>1665</v>
      </c>
      <c r="D684" t="s">
        <v>5859</v>
      </c>
      <c r="E684">
        <v>153.44</v>
      </c>
      <c r="F684">
        <v>404246</v>
      </c>
      <c r="G684" s="660">
        <v>44545</v>
      </c>
      <c r="H684" t="s">
        <v>7129</v>
      </c>
    </row>
    <row r="685" spans="1:8">
      <c r="A685">
        <v>502301</v>
      </c>
      <c r="B685" t="s">
        <v>7130</v>
      </c>
      <c r="D685" t="s">
        <v>5859</v>
      </c>
      <c r="G685" s="660"/>
      <c r="H685" t="s">
        <v>2293</v>
      </c>
    </row>
    <row r="686" spans="1:8">
      <c r="A686">
        <v>502302</v>
      </c>
      <c r="B686" t="s">
        <v>7131</v>
      </c>
      <c r="C686" t="s">
        <v>2381</v>
      </c>
      <c r="D686" t="s">
        <v>5859</v>
      </c>
      <c r="E686">
        <v>20</v>
      </c>
      <c r="F686">
        <v>403927</v>
      </c>
      <c r="G686" s="660">
        <v>44481</v>
      </c>
      <c r="H686" t="s">
        <v>2293</v>
      </c>
    </row>
    <row r="687" spans="1:8">
      <c r="A687">
        <v>502303</v>
      </c>
      <c r="B687" t="s">
        <v>7132</v>
      </c>
      <c r="C687" t="s">
        <v>2381</v>
      </c>
      <c r="D687" t="s">
        <v>5859</v>
      </c>
      <c r="E687">
        <v>15</v>
      </c>
      <c r="F687">
        <v>403927</v>
      </c>
      <c r="G687" s="660">
        <v>44481</v>
      </c>
      <c r="H687" t="s">
        <v>2293</v>
      </c>
    </row>
    <row r="688" spans="1:8">
      <c r="A688">
        <v>502304</v>
      </c>
      <c r="B688" t="s">
        <v>7133</v>
      </c>
      <c r="D688" t="s">
        <v>5859</v>
      </c>
      <c r="G688" s="660"/>
      <c r="H688" t="s">
        <v>7134</v>
      </c>
    </row>
    <row r="689" spans="1:8">
      <c r="A689">
        <v>502307</v>
      </c>
      <c r="B689" t="s">
        <v>7135</v>
      </c>
      <c r="C689" t="s">
        <v>7136</v>
      </c>
      <c r="D689" t="s">
        <v>5859</v>
      </c>
      <c r="E689">
        <v>2485.1999999999998</v>
      </c>
      <c r="F689">
        <v>404199</v>
      </c>
      <c r="G689" s="660">
        <v>44536</v>
      </c>
      <c r="H689" t="s">
        <v>7137</v>
      </c>
    </row>
    <row r="690" spans="1:8">
      <c r="A690">
        <v>502308</v>
      </c>
      <c r="B690" t="s">
        <v>7138</v>
      </c>
      <c r="C690" t="s">
        <v>7136</v>
      </c>
      <c r="D690" t="s">
        <v>5859</v>
      </c>
      <c r="E690">
        <v>2485.1999999999998</v>
      </c>
      <c r="F690">
        <v>404199</v>
      </c>
      <c r="G690" s="660">
        <v>44536</v>
      </c>
      <c r="H690" t="s">
        <v>7139</v>
      </c>
    </row>
    <row r="691" spans="1:8">
      <c r="A691">
        <v>502309</v>
      </c>
      <c r="B691" t="s">
        <v>7140</v>
      </c>
      <c r="C691" t="s">
        <v>1665</v>
      </c>
      <c r="D691" t="s">
        <v>5859</v>
      </c>
      <c r="E691">
        <v>331.36</v>
      </c>
      <c r="F691">
        <v>408233</v>
      </c>
      <c r="G691" s="660">
        <v>45378</v>
      </c>
      <c r="H691" t="s">
        <v>7141</v>
      </c>
    </row>
    <row r="692" spans="1:8">
      <c r="A692">
        <v>502310</v>
      </c>
      <c r="B692" t="s">
        <v>7142</v>
      </c>
      <c r="C692" t="s">
        <v>7143</v>
      </c>
      <c r="D692" t="s">
        <v>5859</v>
      </c>
      <c r="E692">
        <v>1282.5899999999999</v>
      </c>
      <c r="F692">
        <v>408249</v>
      </c>
      <c r="G692" s="660">
        <v>45384</v>
      </c>
      <c r="H692" t="s">
        <v>7144</v>
      </c>
    </row>
    <row r="693" spans="1:8">
      <c r="A693">
        <v>502313</v>
      </c>
      <c r="B693" t="s">
        <v>7145</v>
      </c>
      <c r="C693" t="s">
        <v>1966</v>
      </c>
      <c r="D693" t="s">
        <v>5859</v>
      </c>
      <c r="E693">
        <v>8.06</v>
      </c>
      <c r="F693">
        <v>405215</v>
      </c>
      <c r="G693" s="660">
        <v>44739</v>
      </c>
      <c r="H693" t="s">
        <v>7146</v>
      </c>
    </row>
    <row r="694" spans="1:8">
      <c r="A694">
        <v>502318</v>
      </c>
      <c r="B694" t="s">
        <v>7147</v>
      </c>
      <c r="C694" t="s">
        <v>1930</v>
      </c>
      <c r="D694" t="s">
        <v>5859</v>
      </c>
      <c r="E694">
        <v>4</v>
      </c>
      <c r="F694">
        <v>404151</v>
      </c>
      <c r="G694" s="660">
        <v>44522</v>
      </c>
      <c r="H694" t="s">
        <v>7148</v>
      </c>
    </row>
    <row r="695" spans="1:8">
      <c r="A695">
        <v>502319</v>
      </c>
      <c r="B695" t="s">
        <v>7149</v>
      </c>
      <c r="C695" t="s">
        <v>1966</v>
      </c>
      <c r="D695" t="s">
        <v>5859</v>
      </c>
      <c r="E695">
        <v>10.15</v>
      </c>
      <c r="F695">
        <v>405168</v>
      </c>
      <c r="G695" s="660">
        <v>44727</v>
      </c>
      <c r="H695" t="s">
        <v>7150</v>
      </c>
    </row>
    <row r="696" spans="1:8">
      <c r="A696">
        <v>502320</v>
      </c>
      <c r="B696" t="s">
        <v>7151</v>
      </c>
      <c r="C696" t="s">
        <v>1966</v>
      </c>
      <c r="D696" t="s">
        <v>5859</v>
      </c>
      <c r="E696">
        <v>8.9700000000000006</v>
      </c>
      <c r="F696">
        <v>405168</v>
      </c>
      <c r="G696" s="660">
        <v>44727</v>
      </c>
      <c r="H696" t="s">
        <v>7152</v>
      </c>
    </row>
    <row r="697" spans="1:8">
      <c r="A697">
        <v>502321</v>
      </c>
      <c r="B697" t="s">
        <v>7153</v>
      </c>
      <c r="C697" t="s">
        <v>1930</v>
      </c>
      <c r="D697" t="s">
        <v>5859</v>
      </c>
      <c r="E697">
        <v>2.0099999999999998</v>
      </c>
      <c r="F697">
        <v>404151</v>
      </c>
      <c r="G697" s="660">
        <v>44522</v>
      </c>
      <c r="H697" t="s">
        <v>7154</v>
      </c>
    </row>
    <row r="698" spans="1:8">
      <c r="A698">
        <v>502322</v>
      </c>
      <c r="B698" t="s">
        <v>7155</v>
      </c>
      <c r="C698" t="s">
        <v>1966</v>
      </c>
      <c r="D698" t="s">
        <v>5859</v>
      </c>
      <c r="E698">
        <v>9.36</v>
      </c>
      <c r="F698">
        <v>407917</v>
      </c>
      <c r="G698" s="660">
        <v>45323</v>
      </c>
      <c r="H698" t="s">
        <v>7156</v>
      </c>
    </row>
    <row r="699" spans="1:8">
      <c r="A699">
        <v>502323</v>
      </c>
      <c r="B699" t="s">
        <v>7157</v>
      </c>
      <c r="C699" t="s">
        <v>1966</v>
      </c>
      <c r="D699" t="s">
        <v>5859</v>
      </c>
      <c r="E699">
        <v>6.82</v>
      </c>
      <c r="F699">
        <v>408395</v>
      </c>
      <c r="G699" s="660">
        <v>45406</v>
      </c>
      <c r="H699" t="s">
        <v>7158</v>
      </c>
    </row>
    <row r="700" spans="1:8">
      <c r="A700">
        <v>502328</v>
      </c>
      <c r="B700" t="s">
        <v>7159</v>
      </c>
      <c r="D700" t="s">
        <v>5859</v>
      </c>
      <c r="G700" s="660"/>
      <c r="H700" t="s">
        <v>7160</v>
      </c>
    </row>
    <row r="701" spans="1:8">
      <c r="A701">
        <v>502331</v>
      </c>
      <c r="B701" t="s">
        <v>7161</v>
      </c>
      <c r="C701" t="s">
        <v>1966</v>
      </c>
      <c r="D701" t="s">
        <v>5859</v>
      </c>
      <c r="E701">
        <v>11.11</v>
      </c>
      <c r="F701">
        <v>407917</v>
      </c>
      <c r="G701" s="660">
        <v>45323</v>
      </c>
      <c r="H701" t="s">
        <v>7162</v>
      </c>
    </row>
    <row r="702" spans="1:8">
      <c r="A702">
        <v>502332</v>
      </c>
      <c r="B702" t="s">
        <v>7163</v>
      </c>
      <c r="C702" t="s">
        <v>1966</v>
      </c>
      <c r="D702" t="s">
        <v>5859</v>
      </c>
      <c r="E702">
        <v>9.56</v>
      </c>
      <c r="F702">
        <v>405168</v>
      </c>
      <c r="G702" s="660">
        <v>44727</v>
      </c>
      <c r="H702" t="s">
        <v>7164</v>
      </c>
    </row>
    <row r="703" spans="1:8">
      <c r="A703">
        <v>502333</v>
      </c>
      <c r="B703" t="s">
        <v>7165</v>
      </c>
      <c r="C703" t="s">
        <v>1966</v>
      </c>
      <c r="D703" t="s">
        <v>5859</v>
      </c>
      <c r="E703">
        <v>6.1</v>
      </c>
      <c r="F703">
        <v>403938</v>
      </c>
      <c r="G703" s="660">
        <v>44503</v>
      </c>
      <c r="H703" t="s">
        <v>7166</v>
      </c>
    </row>
    <row r="704" spans="1:8">
      <c r="A704">
        <v>502334</v>
      </c>
      <c r="B704" t="s">
        <v>7167</v>
      </c>
      <c r="C704" t="s">
        <v>1930</v>
      </c>
      <c r="D704" t="s">
        <v>5859</v>
      </c>
      <c r="E704">
        <v>135.36000000000001</v>
      </c>
      <c r="F704">
        <v>403899</v>
      </c>
      <c r="G704" s="660">
        <v>44476</v>
      </c>
      <c r="H704" t="s">
        <v>7168</v>
      </c>
    </row>
    <row r="705" spans="1:8">
      <c r="A705">
        <v>502335</v>
      </c>
      <c r="B705" t="s">
        <v>7169</v>
      </c>
      <c r="C705" t="s">
        <v>6524</v>
      </c>
      <c r="D705" t="s">
        <v>5859</v>
      </c>
      <c r="E705">
        <v>91.47</v>
      </c>
      <c r="F705">
        <v>409771</v>
      </c>
      <c r="G705" s="660">
        <v>45692</v>
      </c>
      <c r="H705" t="s">
        <v>7170</v>
      </c>
    </row>
    <row r="706" spans="1:8">
      <c r="A706">
        <v>502336</v>
      </c>
      <c r="B706" t="s">
        <v>7171</v>
      </c>
      <c r="D706" t="s">
        <v>5859</v>
      </c>
      <c r="G706" s="660"/>
      <c r="H706" t="s">
        <v>7172</v>
      </c>
    </row>
    <row r="707" spans="1:8">
      <c r="A707">
        <v>502337</v>
      </c>
      <c r="B707" t="s">
        <v>7173</v>
      </c>
      <c r="D707" t="s">
        <v>5859</v>
      </c>
      <c r="G707" s="660"/>
      <c r="H707" t="s">
        <v>7174</v>
      </c>
    </row>
    <row r="708" spans="1:8">
      <c r="A708">
        <v>502339</v>
      </c>
      <c r="B708" t="s">
        <v>7175</v>
      </c>
      <c r="D708" t="s">
        <v>5868</v>
      </c>
      <c r="G708" s="660"/>
      <c r="H708" t="s">
        <v>7176</v>
      </c>
    </row>
    <row r="709" spans="1:8">
      <c r="A709">
        <v>502340</v>
      </c>
      <c r="B709" t="s">
        <v>7177</v>
      </c>
      <c r="D709" t="s">
        <v>5868</v>
      </c>
      <c r="G709" s="660"/>
      <c r="H709" t="s">
        <v>7178</v>
      </c>
    </row>
    <row r="710" spans="1:8">
      <c r="A710">
        <v>502341</v>
      </c>
      <c r="B710" t="s">
        <v>7179</v>
      </c>
      <c r="D710" t="s">
        <v>5868</v>
      </c>
      <c r="G710" s="660"/>
      <c r="H710" t="s">
        <v>7180</v>
      </c>
    </row>
    <row r="711" spans="1:8">
      <c r="A711">
        <v>502342</v>
      </c>
      <c r="B711" t="s">
        <v>7181</v>
      </c>
      <c r="C711" t="s">
        <v>1665</v>
      </c>
      <c r="D711" t="s">
        <v>5859</v>
      </c>
      <c r="E711">
        <v>643.21</v>
      </c>
      <c r="F711">
        <v>405100</v>
      </c>
      <c r="G711" s="660">
        <v>44714</v>
      </c>
      <c r="H711" t="s">
        <v>6549</v>
      </c>
    </row>
    <row r="712" spans="1:8">
      <c r="A712">
        <v>502343</v>
      </c>
      <c r="B712" t="s">
        <v>7182</v>
      </c>
      <c r="C712" t="s">
        <v>1966</v>
      </c>
      <c r="D712" t="s">
        <v>5859</v>
      </c>
      <c r="E712">
        <v>39.89</v>
      </c>
      <c r="F712">
        <v>403852</v>
      </c>
      <c r="G712" s="660">
        <v>44466</v>
      </c>
      <c r="H712" t="s">
        <v>7183</v>
      </c>
    </row>
    <row r="713" spans="1:8">
      <c r="A713">
        <v>502344</v>
      </c>
      <c r="B713" t="s">
        <v>7184</v>
      </c>
      <c r="C713" t="s">
        <v>2460</v>
      </c>
      <c r="D713" t="s">
        <v>5859</v>
      </c>
      <c r="E713">
        <v>0.61199999999999999</v>
      </c>
      <c r="F713">
        <v>404108</v>
      </c>
      <c r="G713" s="660">
        <v>44511</v>
      </c>
      <c r="H713" t="s">
        <v>7185</v>
      </c>
    </row>
    <row r="714" spans="1:8">
      <c r="A714">
        <v>502345</v>
      </c>
      <c r="B714" t="s">
        <v>7186</v>
      </c>
      <c r="C714" t="s">
        <v>2460</v>
      </c>
      <c r="D714" t="s">
        <v>5859</v>
      </c>
      <c r="E714">
        <v>0.748</v>
      </c>
      <c r="F714">
        <v>404108</v>
      </c>
      <c r="G714" s="660">
        <v>44511</v>
      </c>
      <c r="H714" t="s">
        <v>7187</v>
      </c>
    </row>
    <row r="715" spans="1:8">
      <c r="A715">
        <v>502346</v>
      </c>
      <c r="B715" t="s">
        <v>7188</v>
      </c>
      <c r="C715" t="s">
        <v>2460</v>
      </c>
      <c r="D715" t="s">
        <v>5859</v>
      </c>
      <c r="E715">
        <v>0.10199999999999999</v>
      </c>
      <c r="F715">
        <v>404108</v>
      </c>
      <c r="G715" s="660">
        <v>44511</v>
      </c>
      <c r="H715" t="s">
        <v>7189</v>
      </c>
    </row>
    <row r="716" spans="1:8">
      <c r="A716">
        <v>502347</v>
      </c>
      <c r="B716" t="s">
        <v>7190</v>
      </c>
      <c r="C716" t="s">
        <v>2460</v>
      </c>
      <c r="D716" t="s">
        <v>5859</v>
      </c>
      <c r="E716">
        <v>9.9199999999999997E-2</v>
      </c>
      <c r="F716">
        <v>404108</v>
      </c>
      <c r="G716" s="660">
        <v>44511</v>
      </c>
      <c r="H716" t="s">
        <v>7191</v>
      </c>
    </row>
    <row r="717" spans="1:8">
      <c r="A717">
        <v>502348</v>
      </c>
      <c r="B717" t="s">
        <v>7192</v>
      </c>
      <c r="C717" t="s">
        <v>1966</v>
      </c>
      <c r="D717" t="s">
        <v>5859</v>
      </c>
      <c r="E717">
        <v>0.95099999999999996</v>
      </c>
      <c r="F717">
        <v>404107</v>
      </c>
      <c r="G717" s="660">
        <v>44511</v>
      </c>
      <c r="H717" t="s">
        <v>7193</v>
      </c>
    </row>
    <row r="718" spans="1:8">
      <c r="A718">
        <v>502349</v>
      </c>
      <c r="B718" t="s">
        <v>7194</v>
      </c>
      <c r="D718" t="s">
        <v>5859</v>
      </c>
      <c r="G718" s="660"/>
      <c r="H718" t="s">
        <v>7195</v>
      </c>
    </row>
    <row r="719" spans="1:8">
      <c r="A719">
        <v>502350</v>
      </c>
      <c r="B719" t="s">
        <v>7196</v>
      </c>
      <c r="C719" t="s">
        <v>6140</v>
      </c>
      <c r="D719" t="s">
        <v>5859</v>
      </c>
      <c r="E719">
        <v>5110</v>
      </c>
      <c r="F719">
        <v>403909</v>
      </c>
      <c r="G719" s="660">
        <v>44477</v>
      </c>
      <c r="H719" t="s">
        <v>7197</v>
      </c>
    </row>
    <row r="720" spans="1:8">
      <c r="A720">
        <v>502351</v>
      </c>
      <c r="B720" t="s">
        <v>6487</v>
      </c>
      <c r="C720" t="s">
        <v>5995</v>
      </c>
      <c r="D720" t="s">
        <v>5859</v>
      </c>
      <c r="E720">
        <v>860.88</v>
      </c>
      <c r="F720">
        <v>406500</v>
      </c>
      <c r="G720" s="660">
        <v>45037</v>
      </c>
      <c r="H720" t="s">
        <v>7198</v>
      </c>
    </row>
    <row r="721" spans="1:8">
      <c r="A721">
        <v>502352</v>
      </c>
      <c r="B721" t="s">
        <v>7199</v>
      </c>
      <c r="C721" t="s">
        <v>5442</v>
      </c>
      <c r="D721" t="s">
        <v>5868</v>
      </c>
      <c r="E721">
        <v>35.920499999999997</v>
      </c>
      <c r="F721">
        <v>405085</v>
      </c>
      <c r="G721" s="660">
        <v>44712</v>
      </c>
      <c r="H721" t="s">
        <v>7200</v>
      </c>
    </row>
    <row r="722" spans="1:8">
      <c r="A722">
        <v>502353</v>
      </c>
      <c r="B722" t="s">
        <v>7201</v>
      </c>
      <c r="C722" t="s">
        <v>1966</v>
      </c>
      <c r="D722" t="s">
        <v>5859</v>
      </c>
      <c r="E722">
        <v>93.01</v>
      </c>
      <c r="F722">
        <v>406911</v>
      </c>
      <c r="G722" s="660">
        <v>45131</v>
      </c>
      <c r="H722" t="s">
        <v>7202</v>
      </c>
    </row>
    <row r="723" spans="1:8">
      <c r="A723">
        <v>502354</v>
      </c>
      <c r="B723" t="s">
        <v>7203</v>
      </c>
      <c r="C723" t="s">
        <v>1665</v>
      </c>
      <c r="D723" t="s">
        <v>5859</v>
      </c>
      <c r="E723">
        <v>487.58</v>
      </c>
      <c r="F723">
        <v>408760</v>
      </c>
      <c r="G723" s="660">
        <v>45469</v>
      </c>
      <c r="H723" t="s">
        <v>2293</v>
      </c>
    </row>
    <row r="724" spans="1:8">
      <c r="A724">
        <v>502355</v>
      </c>
      <c r="B724" t="s">
        <v>7204</v>
      </c>
      <c r="C724" t="s">
        <v>1665</v>
      </c>
      <c r="D724" t="s">
        <v>5859</v>
      </c>
      <c r="E724">
        <v>632.77</v>
      </c>
      <c r="F724">
        <v>408760</v>
      </c>
      <c r="G724" s="660">
        <v>45469</v>
      </c>
      <c r="H724" t="s">
        <v>2293</v>
      </c>
    </row>
    <row r="725" spans="1:8">
      <c r="A725">
        <v>502356</v>
      </c>
      <c r="B725" t="s">
        <v>7205</v>
      </c>
      <c r="C725" t="s">
        <v>5941</v>
      </c>
      <c r="D725" t="s">
        <v>5859</v>
      </c>
      <c r="E725">
        <v>45.19</v>
      </c>
      <c r="F725">
        <v>404279</v>
      </c>
      <c r="G725" s="660">
        <v>44565</v>
      </c>
      <c r="H725" t="s">
        <v>7206</v>
      </c>
    </row>
    <row r="726" spans="1:8">
      <c r="A726">
        <v>502358</v>
      </c>
      <c r="B726" t="s">
        <v>7207</v>
      </c>
      <c r="C726" t="s">
        <v>5864</v>
      </c>
      <c r="D726" t="s">
        <v>5859</v>
      </c>
      <c r="E726">
        <v>491.7</v>
      </c>
      <c r="F726">
        <v>403941</v>
      </c>
      <c r="G726" s="660">
        <v>44482</v>
      </c>
      <c r="H726" t="s">
        <v>7208</v>
      </c>
    </row>
    <row r="727" spans="1:8">
      <c r="A727">
        <v>502359</v>
      </c>
      <c r="B727" t="s">
        <v>7209</v>
      </c>
      <c r="C727" t="s">
        <v>1665</v>
      </c>
      <c r="D727" t="s">
        <v>5859</v>
      </c>
      <c r="E727">
        <v>275</v>
      </c>
      <c r="F727">
        <v>407916</v>
      </c>
      <c r="G727" s="660">
        <v>45323</v>
      </c>
      <c r="H727" t="s">
        <v>7210</v>
      </c>
    </row>
    <row r="728" spans="1:8">
      <c r="A728">
        <v>502360</v>
      </c>
      <c r="B728" t="s">
        <v>7211</v>
      </c>
      <c r="C728" t="s">
        <v>5992</v>
      </c>
      <c r="D728" t="s">
        <v>5859</v>
      </c>
      <c r="E728">
        <v>471.2</v>
      </c>
      <c r="F728">
        <v>408439</v>
      </c>
      <c r="G728" s="660">
        <v>45413</v>
      </c>
      <c r="H728" t="s">
        <v>1333</v>
      </c>
    </row>
    <row r="729" spans="1:8">
      <c r="A729">
        <v>502361</v>
      </c>
      <c r="B729" t="s">
        <v>7212</v>
      </c>
      <c r="C729" t="s">
        <v>6497</v>
      </c>
      <c r="D729" t="s">
        <v>5868</v>
      </c>
      <c r="E729">
        <v>0</v>
      </c>
      <c r="F729">
        <v>408729</v>
      </c>
      <c r="G729" s="660">
        <v>45462</v>
      </c>
      <c r="H729" t="s">
        <v>7213</v>
      </c>
    </row>
    <row r="730" spans="1:8">
      <c r="A730">
        <v>502362</v>
      </c>
      <c r="B730" t="s">
        <v>7214</v>
      </c>
      <c r="C730" t="s">
        <v>7215</v>
      </c>
      <c r="D730" t="s">
        <v>5859</v>
      </c>
      <c r="E730">
        <v>2215</v>
      </c>
      <c r="F730">
        <v>405842</v>
      </c>
      <c r="G730" s="660">
        <v>44897</v>
      </c>
      <c r="H730" t="s">
        <v>7216</v>
      </c>
    </row>
    <row r="731" spans="1:8">
      <c r="A731">
        <v>502363</v>
      </c>
      <c r="B731" t="s">
        <v>818</v>
      </c>
      <c r="C731" t="s">
        <v>6352</v>
      </c>
      <c r="D731" t="s">
        <v>5859</v>
      </c>
      <c r="E731">
        <v>181.33</v>
      </c>
      <c r="F731">
        <v>409980</v>
      </c>
      <c r="G731" s="660">
        <v>45727</v>
      </c>
      <c r="H731" t="s">
        <v>7217</v>
      </c>
    </row>
    <row r="732" spans="1:8">
      <c r="A732">
        <v>502364</v>
      </c>
      <c r="B732" t="s">
        <v>819</v>
      </c>
      <c r="C732" t="s">
        <v>6352</v>
      </c>
      <c r="D732" t="s">
        <v>5859</v>
      </c>
      <c r="E732">
        <v>69.81</v>
      </c>
      <c r="F732">
        <v>409980</v>
      </c>
      <c r="G732" s="660">
        <v>45727</v>
      </c>
      <c r="H732" t="s">
        <v>7218</v>
      </c>
    </row>
    <row r="733" spans="1:8">
      <c r="A733">
        <v>502365</v>
      </c>
      <c r="B733" t="s">
        <v>7219</v>
      </c>
      <c r="C733" t="s">
        <v>1966</v>
      </c>
      <c r="D733" t="s">
        <v>5859</v>
      </c>
      <c r="E733">
        <v>21.38</v>
      </c>
      <c r="F733">
        <v>407671</v>
      </c>
      <c r="G733" s="660">
        <v>45280</v>
      </c>
      <c r="H733" t="s">
        <v>7220</v>
      </c>
    </row>
    <row r="734" spans="1:8">
      <c r="A734">
        <v>502366</v>
      </c>
      <c r="B734" t="s">
        <v>7221</v>
      </c>
      <c r="C734" t="s">
        <v>6078</v>
      </c>
      <c r="D734" t="s">
        <v>5868</v>
      </c>
      <c r="E734">
        <v>4256</v>
      </c>
      <c r="F734">
        <v>405393</v>
      </c>
      <c r="G734" s="660">
        <v>44778</v>
      </c>
      <c r="H734" t="s">
        <v>7222</v>
      </c>
    </row>
    <row r="735" spans="1:8">
      <c r="A735">
        <v>502367</v>
      </c>
      <c r="B735" t="s">
        <v>7223</v>
      </c>
      <c r="C735" t="s">
        <v>6078</v>
      </c>
      <c r="D735" t="s">
        <v>5868</v>
      </c>
      <c r="E735">
        <v>1022</v>
      </c>
      <c r="F735">
        <v>409378</v>
      </c>
      <c r="G735" s="660">
        <v>45597</v>
      </c>
      <c r="H735" t="s">
        <v>7224</v>
      </c>
    </row>
    <row r="736" spans="1:8">
      <c r="A736">
        <v>502369</v>
      </c>
      <c r="B736" t="s">
        <v>7225</v>
      </c>
      <c r="C736" t="s">
        <v>1665</v>
      </c>
      <c r="D736" t="s">
        <v>5859</v>
      </c>
      <c r="E736">
        <v>0</v>
      </c>
      <c r="F736">
        <v>404067</v>
      </c>
      <c r="G736" s="660">
        <v>44502</v>
      </c>
      <c r="H736" t="s">
        <v>7226</v>
      </c>
    </row>
    <row r="737" spans="1:8">
      <c r="A737">
        <v>502370</v>
      </c>
      <c r="B737" t="s">
        <v>7225</v>
      </c>
      <c r="C737" t="s">
        <v>1665</v>
      </c>
      <c r="D737" t="s">
        <v>5859</v>
      </c>
      <c r="E737">
        <v>0</v>
      </c>
      <c r="F737">
        <v>404067</v>
      </c>
      <c r="G737" s="660">
        <v>44502</v>
      </c>
      <c r="H737" t="s">
        <v>7227</v>
      </c>
    </row>
    <row r="738" spans="1:8">
      <c r="A738">
        <v>502371</v>
      </c>
      <c r="B738" t="s">
        <v>7228</v>
      </c>
      <c r="C738" t="s">
        <v>1966</v>
      </c>
      <c r="D738" t="s">
        <v>5859</v>
      </c>
      <c r="E738">
        <v>1.5680000000000001</v>
      </c>
      <c r="F738">
        <v>404034</v>
      </c>
      <c r="G738" s="660">
        <v>44496</v>
      </c>
      <c r="H738" t="s">
        <v>7229</v>
      </c>
    </row>
    <row r="739" spans="1:8">
      <c r="A739">
        <v>502372</v>
      </c>
      <c r="B739" t="s">
        <v>7230</v>
      </c>
      <c r="C739" t="s">
        <v>1966</v>
      </c>
      <c r="D739" t="s">
        <v>5859</v>
      </c>
      <c r="E739">
        <v>14.31</v>
      </c>
      <c r="F739">
        <v>404658</v>
      </c>
      <c r="G739" s="660">
        <v>44634</v>
      </c>
      <c r="H739" t="s">
        <v>7231</v>
      </c>
    </row>
    <row r="740" spans="1:8">
      <c r="A740">
        <v>502373</v>
      </c>
      <c r="B740" t="s">
        <v>7232</v>
      </c>
      <c r="D740" t="s">
        <v>5859</v>
      </c>
      <c r="G740" s="660"/>
      <c r="H740" t="s">
        <v>7233</v>
      </c>
    </row>
    <row r="741" spans="1:8">
      <c r="A741">
        <v>502374</v>
      </c>
      <c r="B741" t="s">
        <v>7234</v>
      </c>
      <c r="D741" t="s">
        <v>5859</v>
      </c>
      <c r="G741" s="660"/>
      <c r="H741" t="s">
        <v>7235</v>
      </c>
    </row>
    <row r="742" spans="1:8">
      <c r="A742">
        <v>502375</v>
      </c>
      <c r="B742" t="s">
        <v>818</v>
      </c>
      <c r="C742" t="s">
        <v>6352</v>
      </c>
      <c r="D742" t="s">
        <v>5859</v>
      </c>
      <c r="E742">
        <v>175</v>
      </c>
      <c r="F742">
        <v>409728</v>
      </c>
      <c r="G742" s="660">
        <v>45684</v>
      </c>
      <c r="H742" t="s">
        <v>7236</v>
      </c>
    </row>
    <row r="743" spans="1:8">
      <c r="A743">
        <v>502376</v>
      </c>
      <c r="B743" t="s">
        <v>7237</v>
      </c>
      <c r="C743" t="s">
        <v>6352</v>
      </c>
      <c r="D743" t="s">
        <v>5859</v>
      </c>
      <c r="E743">
        <v>66.489999999999995</v>
      </c>
      <c r="F743">
        <v>409728</v>
      </c>
      <c r="G743" s="660">
        <v>45684</v>
      </c>
      <c r="H743" t="s">
        <v>7238</v>
      </c>
    </row>
    <row r="744" spans="1:8">
      <c r="A744">
        <v>502378</v>
      </c>
      <c r="B744" t="s">
        <v>7239</v>
      </c>
      <c r="C744" t="s">
        <v>1665</v>
      </c>
      <c r="D744" t="s">
        <v>5859</v>
      </c>
      <c r="E744">
        <v>83.79</v>
      </c>
      <c r="F744">
        <v>407966</v>
      </c>
      <c r="G744" s="660">
        <v>45331</v>
      </c>
      <c r="H744" t="s">
        <v>7240</v>
      </c>
    </row>
    <row r="745" spans="1:8">
      <c r="A745">
        <v>502379</v>
      </c>
      <c r="B745" t="s">
        <v>7241</v>
      </c>
      <c r="C745" t="s">
        <v>1966</v>
      </c>
      <c r="D745" t="s">
        <v>5859</v>
      </c>
      <c r="E745">
        <v>20.54</v>
      </c>
      <c r="F745">
        <v>405441</v>
      </c>
      <c r="G745" s="660">
        <v>44788</v>
      </c>
      <c r="H745" t="s">
        <v>7242</v>
      </c>
    </row>
    <row r="746" spans="1:8">
      <c r="A746">
        <v>502380</v>
      </c>
      <c r="B746" t="s">
        <v>7243</v>
      </c>
      <c r="C746" t="s">
        <v>7039</v>
      </c>
      <c r="D746" t="s">
        <v>5859</v>
      </c>
      <c r="E746">
        <v>710</v>
      </c>
      <c r="F746">
        <v>404704</v>
      </c>
      <c r="G746" s="660">
        <v>44636</v>
      </c>
      <c r="H746" t="s">
        <v>7244</v>
      </c>
    </row>
    <row r="747" spans="1:8">
      <c r="A747">
        <v>502381</v>
      </c>
      <c r="B747" t="s">
        <v>1395</v>
      </c>
      <c r="C747" t="s">
        <v>5951</v>
      </c>
      <c r="D747" t="s">
        <v>5859</v>
      </c>
      <c r="E747">
        <v>244.19</v>
      </c>
      <c r="F747">
        <v>408526</v>
      </c>
      <c r="G747" s="660">
        <v>45427</v>
      </c>
      <c r="H747" t="s">
        <v>1396</v>
      </c>
    </row>
    <row r="748" spans="1:8">
      <c r="A748">
        <v>502382</v>
      </c>
      <c r="B748" t="s">
        <v>1397</v>
      </c>
      <c r="C748" t="s">
        <v>5951</v>
      </c>
      <c r="D748" t="s">
        <v>5859</v>
      </c>
      <c r="E748">
        <v>244.19</v>
      </c>
      <c r="F748">
        <v>408526</v>
      </c>
      <c r="G748" s="660">
        <v>45427</v>
      </c>
      <c r="H748" t="s">
        <v>1398</v>
      </c>
    </row>
    <row r="749" spans="1:8">
      <c r="A749">
        <v>502383</v>
      </c>
      <c r="B749" t="s">
        <v>7245</v>
      </c>
      <c r="C749" t="s">
        <v>7246</v>
      </c>
      <c r="D749" t="s">
        <v>5859</v>
      </c>
      <c r="E749">
        <v>286</v>
      </c>
      <c r="F749">
        <v>404179</v>
      </c>
      <c r="G749" s="660">
        <v>44530</v>
      </c>
      <c r="H749" t="s">
        <v>7247</v>
      </c>
    </row>
    <row r="750" spans="1:8">
      <c r="A750">
        <v>502384</v>
      </c>
      <c r="B750" t="s">
        <v>7248</v>
      </c>
      <c r="C750" t="s">
        <v>1966</v>
      </c>
      <c r="D750" t="s">
        <v>5859</v>
      </c>
      <c r="E750">
        <v>3.47</v>
      </c>
      <c r="F750">
        <v>404692</v>
      </c>
      <c r="G750" s="660">
        <v>44636</v>
      </c>
      <c r="H750" t="s">
        <v>7249</v>
      </c>
    </row>
    <row r="751" spans="1:8">
      <c r="A751">
        <v>502385</v>
      </c>
      <c r="B751" t="s">
        <v>7250</v>
      </c>
      <c r="C751" t="s">
        <v>5808</v>
      </c>
      <c r="D751" t="s">
        <v>5859</v>
      </c>
      <c r="E751">
        <v>2.04</v>
      </c>
      <c r="F751">
        <v>404120</v>
      </c>
      <c r="G751" s="660">
        <v>44516</v>
      </c>
      <c r="H751" t="s">
        <v>7251</v>
      </c>
    </row>
    <row r="752" spans="1:8">
      <c r="A752">
        <v>502386</v>
      </c>
      <c r="B752" t="s">
        <v>7252</v>
      </c>
      <c r="C752" t="s">
        <v>5808</v>
      </c>
      <c r="D752" t="s">
        <v>5859</v>
      </c>
      <c r="E752">
        <v>0.7</v>
      </c>
      <c r="F752">
        <v>404120</v>
      </c>
      <c r="G752" s="660">
        <v>44516</v>
      </c>
      <c r="H752" t="s">
        <v>7253</v>
      </c>
    </row>
    <row r="753" spans="1:8">
      <c r="A753">
        <v>502387</v>
      </c>
      <c r="B753" t="s">
        <v>7254</v>
      </c>
      <c r="C753" t="s">
        <v>1665</v>
      </c>
      <c r="D753" t="s">
        <v>5859</v>
      </c>
      <c r="E753">
        <v>67.03</v>
      </c>
      <c r="F753">
        <v>410219</v>
      </c>
      <c r="G753" s="660">
        <v>45770</v>
      </c>
      <c r="H753" t="s">
        <v>7255</v>
      </c>
    </row>
    <row r="754" spans="1:8">
      <c r="A754">
        <v>502388</v>
      </c>
      <c r="B754" t="s">
        <v>7256</v>
      </c>
      <c r="C754" t="s">
        <v>1665</v>
      </c>
      <c r="D754" t="s">
        <v>5859</v>
      </c>
      <c r="E754">
        <v>243.55</v>
      </c>
      <c r="F754">
        <v>410219</v>
      </c>
      <c r="G754" s="660">
        <v>45770</v>
      </c>
      <c r="H754" t="s">
        <v>7257</v>
      </c>
    </row>
    <row r="755" spans="1:8">
      <c r="A755">
        <v>502391</v>
      </c>
      <c r="B755" t="s">
        <v>7258</v>
      </c>
      <c r="C755" t="s">
        <v>1665</v>
      </c>
      <c r="D755" t="s">
        <v>5859</v>
      </c>
      <c r="E755">
        <v>82.33</v>
      </c>
      <c r="F755">
        <v>407703</v>
      </c>
      <c r="G755" s="660">
        <v>45289</v>
      </c>
      <c r="H755" t="s">
        <v>7259</v>
      </c>
    </row>
    <row r="756" spans="1:8">
      <c r="A756">
        <v>502392</v>
      </c>
      <c r="B756" t="s">
        <v>7260</v>
      </c>
      <c r="C756" t="s">
        <v>1665</v>
      </c>
      <c r="D756" t="s">
        <v>5859</v>
      </c>
      <c r="E756">
        <v>670.78</v>
      </c>
      <c r="F756">
        <v>409935</v>
      </c>
      <c r="G756" s="660">
        <v>45720</v>
      </c>
      <c r="H756" t="s">
        <v>7261</v>
      </c>
    </row>
    <row r="757" spans="1:8">
      <c r="A757">
        <v>502393</v>
      </c>
      <c r="B757" t="s">
        <v>7262</v>
      </c>
      <c r="C757" t="s">
        <v>1665</v>
      </c>
      <c r="D757" t="s">
        <v>5859</v>
      </c>
      <c r="E757">
        <v>47.87</v>
      </c>
      <c r="F757">
        <v>404246</v>
      </c>
      <c r="G757" s="660">
        <v>44545</v>
      </c>
      <c r="H757" t="s">
        <v>2293</v>
      </c>
    </row>
    <row r="758" spans="1:8">
      <c r="A758">
        <v>502395</v>
      </c>
      <c r="B758" t="s">
        <v>7263</v>
      </c>
      <c r="C758" t="s">
        <v>1665</v>
      </c>
      <c r="D758" t="s">
        <v>5859</v>
      </c>
      <c r="E758">
        <v>172.75</v>
      </c>
      <c r="F758">
        <v>404836</v>
      </c>
      <c r="G758" s="660">
        <v>44657</v>
      </c>
      <c r="H758" t="s">
        <v>7264</v>
      </c>
    </row>
    <row r="759" spans="1:8">
      <c r="A759">
        <v>502396</v>
      </c>
      <c r="B759" t="s">
        <v>7265</v>
      </c>
      <c r="C759" t="s">
        <v>1665</v>
      </c>
      <c r="D759" t="s">
        <v>5859</v>
      </c>
      <c r="E759">
        <v>182.4</v>
      </c>
      <c r="F759">
        <v>406004</v>
      </c>
      <c r="G759" s="660">
        <v>44929</v>
      </c>
      <c r="H759" t="s">
        <v>7266</v>
      </c>
    </row>
    <row r="760" spans="1:8">
      <c r="A760">
        <v>502397</v>
      </c>
      <c r="B760" t="s">
        <v>7267</v>
      </c>
      <c r="C760" t="s">
        <v>5442</v>
      </c>
      <c r="D760" t="s">
        <v>5859</v>
      </c>
      <c r="E760">
        <v>52.99</v>
      </c>
      <c r="F760">
        <v>406019</v>
      </c>
      <c r="G760" s="660">
        <v>44932</v>
      </c>
      <c r="H760" t="s">
        <v>7268</v>
      </c>
    </row>
    <row r="761" spans="1:8">
      <c r="A761">
        <v>502399</v>
      </c>
      <c r="B761" t="s">
        <v>7269</v>
      </c>
      <c r="C761" t="s">
        <v>1930</v>
      </c>
      <c r="D761" t="s">
        <v>5859</v>
      </c>
      <c r="E761">
        <v>663.75</v>
      </c>
      <c r="F761">
        <v>407409</v>
      </c>
      <c r="G761" s="660">
        <v>45225</v>
      </c>
      <c r="H761" t="s">
        <v>2293</v>
      </c>
    </row>
    <row r="762" spans="1:8">
      <c r="A762">
        <v>502400</v>
      </c>
      <c r="B762" t="s">
        <v>7270</v>
      </c>
      <c r="C762" t="s">
        <v>1966</v>
      </c>
      <c r="D762" t="s">
        <v>5859</v>
      </c>
      <c r="E762">
        <v>7.83</v>
      </c>
      <c r="F762">
        <v>406630</v>
      </c>
      <c r="G762" s="660">
        <v>45062</v>
      </c>
      <c r="H762" t="s">
        <v>7271</v>
      </c>
    </row>
    <row r="763" spans="1:8">
      <c r="A763">
        <v>502401</v>
      </c>
      <c r="B763" t="s">
        <v>7272</v>
      </c>
      <c r="C763" t="s">
        <v>1966</v>
      </c>
      <c r="D763" t="s">
        <v>5859</v>
      </c>
      <c r="E763">
        <v>8.86</v>
      </c>
      <c r="F763">
        <v>407967</v>
      </c>
      <c r="G763" s="660">
        <v>45331</v>
      </c>
      <c r="H763" t="s">
        <v>7273</v>
      </c>
    </row>
    <row r="764" spans="1:8">
      <c r="A764">
        <v>502402</v>
      </c>
      <c r="B764" t="s">
        <v>7274</v>
      </c>
      <c r="C764" t="s">
        <v>5442</v>
      </c>
      <c r="D764" t="s">
        <v>5859</v>
      </c>
      <c r="E764">
        <v>1.35</v>
      </c>
      <c r="F764">
        <v>405841</v>
      </c>
      <c r="G764" s="660">
        <v>44876</v>
      </c>
      <c r="H764" t="s">
        <v>7275</v>
      </c>
    </row>
    <row r="765" spans="1:8">
      <c r="A765">
        <v>502403</v>
      </c>
      <c r="B765" t="s">
        <v>7276</v>
      </c>
      <c r="C765" t="s">
        <v>5808</v>
      </c>
      <c r="D765" t="s">
        <v>5859</v>
      </c>
      <c r="E765">
        <v>5.78</v>
      </c>
      <c r="F765">
        <v>404303</v>
      </c>
      <c r="G765" s="660">
        <v>44567</v>
      </c>
      <c r="H765" t="s">
        <v>7277</v>
      </c>
    </row>
    <row r="766" spans="1:8">
      <c r="A766">
        <v>502404</v>
      </c>
      <c r="B766" t="s">
        <v>7278</v>
      </c>
      <c r="C766" t="s">
        <v>5808</v>
      </c>
      <c r="D766" t="s">
        <v>5859</v>
      </c>
      <c r="E766">
        <v>6.46</v>
      </c>
      <c r="F766">
        <v>404303</v>
      </c>
      <c r="G766" s="660">
        <v>44567</v>
      </c>
      <c r="H766" t="s">
        <v>7279</v>
      </c>
    </row>
    <row r="767" spans="1:8">
      <c r="A767">
        <v>502405</v>
      </c>
      <c r="B767" t="s">
        <v>7280</v>
      </c>
      <c r="C767" t="s">
        <v>1930</v>
      </c>
      <c r="D767" t="s">
        <v>5859</v>
      </c>
      <c r="E767">
        <v>9.9600000000000009</v>
      </c>
      <c r="F767">
        <v>404338</v>
      </c>
      <c r="G767" s="660">
        <v>44573</v>
      </c>
      <c r="H767" t="s">
        <v>7281</v>
      </c>
    </row>
    <row r="768" spans="1:8">
      <c r="A768">
        <v>502406</v>
      </c>
      <c r="B768" t="s">
        <v>7282</v>
      </c>
      <c r="C768" t="s">
        <v>1966</v>
      </c>
      <c r="D768" t="s">
        <v>5859</v>
      </c>
      <c r="E768">
        <v>123.34</v>
      </c>
      <c r="F768">
        <v>404327</v>
      </c>
      <c r="G768" s="660">
        <v>44573</v>
      </c>
      <c r="H768" t="s">
        <v>7283</v>
      </c>
    </row>
    <row r="769" spans="1:8">
      <c r="A769">
        <v>502407</v>
      </c>
      <c r="B769" t="s">
        <v>7284</v>
      </c>
      <c r="C769" t="s">
        <v>7285</v>
      </c>
      <c r="D769" t="s">
        <v>5859</v>
      </c>
      <c r="E769">
        <v>148.02000000000001</v>
      </c>
      <c r="F769">
        <v>408546</v>
      </c>
      <c r="G769" s="660">
        <v>45429</v>
      </c>
      <c r="H769" t="s">
        <v>7286</v>
      </c>
    </row>
    <row r="770" spans="1:8">
      <c r="A770">
        <v>502408</v>
      </c>
      <c r="B770" t="s">
        <v>7287</v>
      </c>
      <c r="C770" t="s">
        <v>1966</v>
      </c>
      <c r="D770" t="s">
        <v>5859</v>
      </c>
      <c r="E770">
        <v>34.44</v>
      </c>
      <c r="F770">
        <v>404508</v>
      </c>
      <c r="G770" s="660">
        <v>44606</v>
      </c>
      <c r="H770" t="s">
        <v>7288</v>
      </c>
    </row>
    <row r="771" spans="1:8">
      <c r="A771">
        <v>502409</v>
      </c>
      <c r="B771" t="s">
        <v>7289</v>
      </c>
      <c r="D771" t="s">
        <v>5859</v>
      </c>
      <c r="G771" s="660"/>
      <c r="H771" t="s">
        <v>7290</v>
      </c>
    </row>
    <row r="772" spans="1:8">
      <c r="A772">
        <v>502410</v>
      </c>
      <c r="B772" t="s">
        <v>7291</v>
      </c>
      <c r="C772" t="s">
        <v>1966</v>
      </c>
      <c r="D772" t="s">
        <v>5859</v>
      </c>
      <c r="E772">
        <v>11.26</v>
      </c>
      <c r="F772">
        <v>404508</v>
      </c>
      <c r="G772" s="660">
        <v>44606</v>
      </c>
      <c r="H772" t="s">
        <v>7292</v>
      </c>
    </row>
    <row r="773" spans="1:8">
      <c r="A773">
        <v>502411</v>
      </c>
      <c r="B773" t="s">
        <v>7293</v>
      </c>
      <c r="C773" t="s">
        <v>1930</v>
      </c>
      <c r="D773" t="s">
        <v>5859</v>
      </c>
      <c r="E773">
        <v>43.45</v>
      </c>
      <c r="F773">
        <v>404326</v>
      </c>
      <c r="G773" s="660">
        <v>44573</v>
      </c>
      <c r="H773" t="s">
        <v>7294</v>
      </c>
    </row>
    <row r="774" spans="1:8">
      <c r="A774">
        <v>502413</v>
      </c>
      <c r="B774" t="s">
        <v>7295</v>
      </c>
      <c r="C774" t="s">
        <v>1966</v>
      </c>
      <c r="D774" t="s">
        <v>5859</v>
      </c>
      <c r="E774">
        <v>2.54</v>
      </c>
      <c r="F774">
        <v>404692</v>
      </c>
      <c r="G774" s="660">
        <v>44636</v>
      </c>
      <c r="H774" t="s">
        <v>7296</v>
      </c>
    </row>
    <row r="775" spans="1:8">
      <c r="A775">
        <v>502414</v>
      </c>
      <c r="B775" t="s">
        <v>7297</v>
      </c>
      <c r="C775" t="s">
        <v>5951</v>
      </c>
      <c r="D775" t="s">
        <v>5859</v>
      </c>
      <c r="E775">
        <v>148.19</v>
      </c>
      <c r="F775">
        <v>404703</v>
      </c>
      <c r="G775" s="660">
        <v>44636</v>
      </c>
      <c r="H775" t="s">
        <v>7298</v>
      </c>
    </row>
    <row r="776" spans="1:8">
      <c r="A776">
        <v>502415</v>
      </c>
      <c r="B776" t="s">
        <v>7299</v>
      </c>
      <c r="C776" t="s">
        <v>1665</v>
      </c>
      <c r="D776" t="s">
        <v>5859</v>
      </c>
      <c r="E776">
        <v>611.1</v>
      </c>
      <c r="F776">
        <v>410145</v>
      </c>
      <c r="G776" s="660">
        <v>45756</v>
      </c>
      <c r="H776" t="s">
        <v>7300</v>
      </c>
    </row>
    <row r="777" spans="1:8">
      <c r="A777">
        <v>502416</v>
      </c>
      <c r="B777" t="s">
        <v>7301</v>
      </c>
      <c r="C777" t="s">
        <v>2460</v>
      </c>
      <c r="D777" t="s">
        <v>5859</v>
      </c>
      <c r="E777">
        <v>3.9</v>
      </c>
      <c r="F777">
        <v>404699</v>
      </c>
      <c r="G777" s="660">
        <v>44636</v>
      </c>
      <c r="H777" t="s">
        <v>7302</v>
      </c>
    </row>
    <row r="778" spans="1:8">
      <c r="A778">
        <v>502417</v>
      </c>
      <c r="B778" t="s">
        <v>7303</v>
      </c>
      <c r="C778" t="s">
        <v>1930</v>
      </c>
      <c r="D778" t="s">
        <v>5859</v>
      </c>
      <c r="E778">
        <v>14.5</v>
      </c>
      <c r="F778">
        <v>404430</v>
      </c>
      <c r="G778" s="660">
        <v>44587</v>
      </c>
      <c r="H778" t="s">
        <v>7304</v>
      </c>
    </row>
    <row r="779" spans="1:8">
      <c r="A779">
        <v>502418</v>
      </c>
      <c r="B779" t="s">
        <v>7305</v>
      </c>
      <c r="C779" t="s">
        <v>1930</v>
      </c>
      <c r="D779" t="s">
        <v>5859</v>
      </c>
      <c r="E779">
        <v>27.73</v>
      </c>
      <c r="F779">
        <v>404430</v>
      </c>
      <c r="G779" s="660">
        <v>44587</v>
      </c>
      <c r="H779" t="s">
        <v>7306</v>
      </c>
    </row>
    <row r="780" spans="1:8">
      <c r="A780">
        <v>502419</v>
      </c>
      <c r="B780" t="s">
        <v>7307</v>
      </c>
      <c r="C780" t="s">
        <v>1930</v>
      </c>
      <c r="D780" t="s">
        <v>5859</v>
      </c>
      <c r="E780">
        <v>171.04</v>
      </c>
      <c r="F780">
        <v>404430</v>
      </c>
      <c r="G780" s="660">
        <v>44587</v>
      </c>
      <c r="H780" t="s">
        <v>7308</v>
      </c>
    </row>
    <row r="781" spans="1:8">
      <c r="A781">
        <v>502420</v>
      </c>
      <c r="B781" t="s">
        <v>7309</v>
      </c>
      <c r="C781" t="s">
        <v>1930</v>
      </c>
      <c r="D781" t="s">
        <v>5859</v>
      </c>
      <c r="E781">
        <v>457.63</v>
      </c>
      <c r="F781">
        <v>404430</v>
      </c>
      <c r="G781" s="660">
        <v>44587</v>
      </c>
      <c r="H781" t="s">
        <v>7310</v>
      </c>
    </row>
    <row r="782" spans="1:8">
      <c r="A782">
        <v>502421</v>
      </c>
      <c r="B782" t="s">
        <v>7311</v>
      </c>
      <c r="D782" t="s">
        <v>5859</v>
      </c>
      <c r="G782" s="660"/>
      <c r="H782" t="s">
        <v>7312</v>
      </c>
    </row>
    <row r="783" spans="1:8">
      <c r="A783">
        <v>502423</v>
      </c>
      <c r="B783" t="s">
        <v>7313</v>
      </c>
      <c r="C783" t="s">
        <v>1908</v>
      </c>
      <c r="D783" t="s">
        <v>6830</v>
      </c>
      <c r="E783">
        <v>137</v>
      </c>
      <c r="F783">
        <v>404542</v>
      </c>
      <c r="G783" s="660">
        <v>44609</v>
      </c>
      <c r="H783" t="s">
        <v>2293</v>
      </c>
    </row>
    <row r="784" spans="1:8">
      <c r="A784">
        <v>502424</v>
      </c>
      <c r="B784" t="s">
        <v>7314</v>
      </c>
      <c r="C784" t="s">
        <v>1930</v>
      </c>
      <c r="D784" t="s">
        <v>6830</v>
      </c>
      <c r="E784">
        <v>1.33</v>
      </c>
      <c r="F784">
        <v>404493</v>
      </c>
      <c r="G784" s="660">
        <v>44601</v>
      </c>
      <c r="H784" t="s">
        <v>2293</v>
      </c>
    </row>
    <row r="785" spans="1:8">
      <c r="A785">
        <v>502425</v>
      </c>
      <c r="B785" t="s">
        <v>7315</v>
      </c>
      <c r="C785" t="s">
        <v>6131</v>
      </c>
      <c r="D785" t="s">
        <v>5868</v>
      </c>
      <c r="E785">
        <v>1609.99</v>
      </c>
      <c r="F785">
        <v>405687</v>
      </c>
      <c r="G785" s="660">
        <v>44838</v>
      </c>
      <c r="H785" t="s">
        <v>7316</v>
      </c>
    </row>
    <row r="786" spans="1:8">
      <c r="A786">
        <v>502426</v>
      </c>
      <c r="B786" t="s">
        <v>7317</v>
      </c>
      <c r="C786" t="s">
        <v>7318</v>
      </c>
      <c r="D786" t="s">
        <v>5868</v>
      </c>
      <c r="E786">
        <v>674.73</v>
      </c>
      <c r="F786">
        <v>409371</v>
      </c>
      <c r="G786" s="660">
        <v>45597</v>
      </c>
      <c r="H786" t="s">
        <v>7319</v>
      </c>
    </row>
    <row r="787" spans="1:8">
      <c r="A787">
        <v>502428</v>
      </c>
      <c r="B787" t="s">
        <v>7320</v>
      </c>
      <c r="C787" t="s">
        <v>1665</v>
      </c>
      <c r="D787" t="s">
        <v>5859</v>
      </c>
      <c r="E787">
        <v>643</v>
      </c>
      <c r="F787">
        <v>405262</v>
      </c>
      <c r="G787" s="660">
        <v>44750</v>
      </c>
      <c r="H787" t="s">
        <v>7321</v>
      </c>
    </row>
    <row r="788" spans="1:8">
      <c r="A788">
        <v>502429</v>
      </c>
      <c r="B788" t="s">
        <v>7322</v>
      </c>
      <c r="C788" t="s">
        <v>1930</v>
      </c>
      <c r="D788" t="s">
        <v>5859</v>
      </c>
      <c r="E788">
        <v>55.74</v>
      </c>
      <c r="F788">
        <v>409727</v>
      </c>
      <c r="G788" s="660">
        <v>45684</v>
      </c>
      <c r="H788" t="s">
        <v>7323</v>
      </c>
    </row>
    <row r="789" spans="1:8">
      <c r="A789">
        <v>502430</v>
      </c>
      <c r="B789" t="s">
        <v>7324</v>
      </c>
      <c r="C789" t="s">
        <v>1930</v>
      </c>
      <c r="D789" t="s">
        <v>5859</v>
      </c>
      <c r="E789">
        <v>48.78</v>
      </c>
      <c r="F789">
        <v>409727</v>
      </c>
      <c r="G789" s="660">
        <v>45684</v>
      </c>
      <c r="H789" t="s">
        <v>7325</v>
      </c>
    </row>
    <row r="790" spans="1:8">
      <c r="A790">
        <v>502432</v>
      </c>
      <c r="B790" t="s">
        <v>7326</v>
      </c>
      <c r="D790" t="s">
        <v>5859</v>
      </c>
      <c r="G790" s="660"/>
      <c r="H790" t="s">
        <v>7327</v>
      </c>
    </row>
    <row r="791" spans="1:8">
      <c r="A791">
        <v>502434</v>
      </c>
      <c r="B791" t="s">
        <v>7328</v>
      </c>
      <c r="C791" t="s">
        <v>1665</v>
      </c>
      <c r="D791" t="s">
        <v>5859</v>
      </c>
      <c r="E791">
        <v>464.84</v>
      </c>
      <c r="F791">
        <v>404968</v>
      </c>
      <c r="G791" s="660">
        <v>44687</v>
      </c>
      <c r="H791" t="s">
        <v>7329</v>
      </c>
    </row>
    <row r="792" spans="1:8">
      <c r="A792">
        <v>502435</v>
      </c>
      <c r="B792" t="s">
        <v>1403</v>
      </c>
      <c r="C792" t="s">
        <v>1665</v>
      </c>
      <c r="D792" t="s">
        <v>5859</v>
      </c>
      <c r="E792">
        <v>414.55</v>
      </c>
      <c r="F792">
        <v>409767</v>
      </c>
      <c r="G792" s="660">
        <v>45692</v>
      </c>
      <c r="H792" t="s">
        <v>1404</v>
      </c>
    </row>
    <row r="793" spans="1:8">
      <c r="A793">
        <v>502436</v>
      </c>
      <c r="B793" t="s">
        <v>1405</v>
      </c>
      <c r="C793" t="s">
        <v>1665</v>
      </c>
      <c r="D793" t="s">
        <v>5859</v>
      </c>
      <c r="E793">
        <v>243.42</v>
      </c>
      <c r="F793">
        <v>405627</v>
      </c>
      <c r="G793" s="660">
        <v>44823</v>
      </c>
      <c r="H793" t="s">
        <v>1406</v>
      </c>
    </row>
    <row r="794" spans="1:8">
      <c r="A794">
        <v>502437</v>
      </c>
      <c r="B794" t="s">
        <v>7330</v>
      </c>
      <c r="C794" t="s">
        <v>1966</v>
      </c>
      <c r="D794" t="s">
        <v>5859</v>
      </c>
      <c r="E794">
        <v>14.37</v>
      </c>
      <c r="F794">
        <v>408085</v>
      </c>
      <c r="G794" s="660">
        <v>45355</v>
      </c>
      <c r="H794" t="s">
        <v>7331</v>
      </c>
    </row>
    <row r="795" spans="1:8">
      <c r="A795">
        <v>502438</v>
      </c>
      <c r="B795" t="s">
        <v>7332</v>
      </c>
      <c r="C795" t="s">
        <v>1966</v>
      </c>
      <c r="D795" t="s">
        <v>5859</v>
      </c>
      <c r="E795">
        <v>20.32</v>
      </c>
      <c r="F795">
        <v>408085</v>
      </c>
      <c r="G795" s="660">
        <v>45355</v>
      </c>
      <c r="H795" t="s">
        <v>7333</v>
      </c>
    </row>
    <row r="796" spans="1:8">
      <c r="A796">
        <v>502440</v>
      </c>
      <c r="B796" t="s">
        <v>7334</v>
      </c>
      <c r="C796" t="s">
        <v>5412</v>
      </c>
      <c r="D796" t="s">
        <v>2814</v>
      </c>
      <c r="E796">
        <v>86.16</v>
      </c>
      <c r="F796">
        <v>406067</v>
      </c>
      <c r="G796" s="660">
        <v>44942</v>
      </c>
      <c r="H796" t="s">
        <v>2293</v>
      </c>
    </row>
    <row r="797" spans="1:8">
      <c r="A797">
        <v>502441</v>
      </c>
      <c r="B797" t="s">
        <v>7335</v>
      </c>
      <c r="C797" t="s">
        <v>2460</v>
      </c>
      <c r="D797" t="s">
        <v>5859</v>
      </c>
      <c r="E797">
        <v>5.99</v>
      </c>
      <c r="F797">
        <v>404637</v>
      </c>
      <c r="G797" s="660">
        <v>44628</v>
      </c>
      <c r="H797" t="s">
        <v>7336</v>
      </c>
    </row>
    <row r="798" spans="1:8">
      <c r="A798">
        <v>502442</v>
      </c>
      <c r="B798" t="s">
        <v>7337</v>
      </c>
      <c r="C798" t="s">
        <v>1966</v>
      </c>
      <c r="D798" t="s">
        <v>5859</v>
      </c>
      <c r="E798">
        <v>14.57</v>
      </c>
      <c r="F798">
        <v>405075</v>
      </c>
      <c r="G798" s="660">
        <v>44706</v>
      </c>
      <c r="H798" t="s">
        <v>7338</v>
      </c>
    </row>
    <row r="799" spans="1:8">
      <c r="A799">
        <v>502443</v>
      </c>
      <c r="B799" t="s">
        <v>7339</v>
      </c>
      <c r="C799" t="s">
        <v>1665</v>
      </c>
      <c r="D799" t="s">
        <v>5859</v>
      </c>
      <c r="E799">
        <v>63.6</v>
      </c>
      <c r="F799">
        <v>405287</v>
      </c>
      <c r="G799" s="660">
        <v>44755</v>
      </c>
      <c r="H799" t="s">
        <v>7340</v>
      </c>
    </row>
    <row r="800" spans="1:8">
      <c r="A800">
        <v>502444</v>
      </c>
      <c r="B800" t="s">
        <v>7341</v>
      </c>
      <c r="C800" t="s">
        <v>1930</v>
      </c>
      <c r="D800" t="s">
        <v>5859</v>
      </c>
      <c r="E800">
        <v>1.24</v>
      </c>
      <c r="F800">
        <v>404639</v>
      </c>
      <c r="G800" s="660">
        <v>44628</v>
      </c>
      <c r="H800" t="s">
        <v>7342</v>
      </c>
    </row>
    <row r="801" spans="1:8">
      <c r="A801">
        <v>502445</v>
      </c>
      <c r="B801" t="s">
        <v>7343</v>
      </c>
      <c r="C801" t="s">
        <v>1930</v>
      </c>
      <c r="D801" t="s">
        <v>5859</v>
      </c>
      <c r="E801">
        <v>0.87</v>
      </c>
      <c r="F801">
        <v>404639</v>
      </c>
      <c r="G801" s="660">
        <v>44628</v>
      </c>
      <c r="H801" t="s">
        <v>7344</v>
      </c>
    </row>
    <row r="802" spans="1:8">
      <c r="A802">
        <v>502446</v>
      </c>
      <c r="B802" t="s">
        <v>7345</v>
      </c>
      <c r="C802" t="s">
        <v>6013</v>
      </c>
      <c r="D802" t="s">
        <v>5859</v>
      </c>
      <c r="E802">
        <v>348</v>
      </c>
      <c r="F802">
        <v>404849</v>
      </c>
      <c r="G802" s="660">
        <v>44659</v>
      </c>
      <c r="H802" t="s">
        <v>7346</v>
      </c>
    </row>
    <row r="803" spans="1:8">
      <c r="A803">
        <v>502447</v>
      </c>
      <c r="B803" t="s">
        <v>7347</v>
      </c>
      <c r="C803" t="s">
        <v>1966</v>
      </c>
      <c r="D803" t="s">
        <v>5859</v>
      </c>
      <c r="E803">
        <v>40.549999999999997</v>
      </c>
      <c r="F803">
        <v>405362</v>
      </c>
      <c r="G803" s="660">
        <v>44773</v>
      </c>
      <c r="H803" t="s">
        <v>7348</v>
      </c>
    </row>
    <row r="804" spans="1:8">
      <c r="A804">
        <v>502448</v>
      </c>
      <c r="B804" t="s">
        <v>7349</v>
      </c>
      <c r="D804" t="s">
        <v>5859</v>
      </c>
      <c r="G804" s="660"/>
      <c r="H804" t="s">
        <v>7350</v>
      </c>
    </row>
    <row r="805" spans="1:8">
      <c r="A805">
        <v>502449</v>
      </c>
      <c r="B805" t="s">
        <v>7351</v>
      </c>
      <c r="D805" t="s">
        <v>5859</v>
      </c>
      <c r="G805" s="660"/>
      <c r="H805" t="s">
        <v>7352</v>
      </c>
    </row>
    <row r="806" spans="1:8">
      <c r="A806">
        <v>502450</v>
      </c>
      <c r="B806" t="s">
        <v>7353</v>
      </c>
      <c r="C806" t="s">
        <v>1966</v>
      </c>
      <c r="D806" t="s">
        <v>5859</v>
      </c>
      <c r="E806">
        <v>100.49</v>
      </c>
      <c r="F806">
        <v>405362</v>
      </c>
      <c r="G806" s="660">
        <v>44773</v>
      </c>
      <c r="H806" t="s">
        <v>7354</v>
      </c>
    </row>
    <row r="807" spans="1:8">
      <c r="A807">
        <v>502453</v>
      </c>
      <c r="B807" t="s">
        <v>7355</v>
      </c>
      <c r="C807" t="s">
        <v>1966</v>
      </c>
      <c r="D807" t="s">
        <v>5859</v>
      </c>
      <c r="E807">
        <v>7.39</v>
      </c>
      <c r="F807">
        <v>404877</v>
      </c>
      <c r="G807" s="660">
        <v>44664</v>
      </c>
      <c r="H807" t="s">
        <v>7356</v>
      </c>
    </row>
    <row r="808" spans="1:8">
      <c r="A808">
        <v>502454</v>
      </c>
      <c r="B808" t="s">
        <v>7349</v>
      </c>
      <c r="C808" t="s">
        <v>1966</v>
      </c>
      <c r="D808" t="s">
        <v>5859</v>
      </c>
      <c r="E808">
        <v>53.56</v>
      </c>
      <c r="F808">
        <v>405263</v>
      </c>
      <c r="G808" s="660">
        <v>44750</v>
      </c>
      <c r="H808" t="s">
        <v>7357</v>
      </c>
    </row>
    <row r="809" spans="1:8">
      <c r="A809">
        <v>502455</v>
      </c>
      <c r="B809" t="s">
        <v>7358</v>
      </c>
      <c r="C809" t="s">
        <v>1966</v>
      </c>
      <c r="D809" t="s">
        <v>5859</v>
      </c>
      <c r="E809">
        <v>261.26</v>
      </c>
      <c r="F809">
        <v>404833</v>
      </c>
      <c r="G809" s="660">
        <v>44657</v>
      </c>
      <c r="H809" t="s">
        <v>7359</v>
      </c>
    </row>
    <row r="810" spans="1:8">
      <c r="A810">
        <v>502456</v>
      </c>
      <c r="B810" t="s">
        <v>7360</v>
      </c>
      <c r="C810" t="s">
        <v>6684</v>
      </c>
      <c r="D810" t="s">
        <v>5859</v>
      </c>
      <c r="E810">
        <v>59.73</v>
      </c>
      <c r="F810">
        <v>405425</v>
      </c>
      <c r="G810" s="660">
        <v>44783</v>
      </c>
      <c r="H810" t="s">
        <v>7361</v>
      </c>
    </row>
    <row r="811" spans="1:8">
      <c r="A811">
        <v>502457</v>
      </c>
      <c r="B811" t="s">
        <v>7362</v>
      </c>
      <c r="C811" t="s">
        <v>1966</v>
      </c>
      <c r="D811" t="s">
        <v>5859</v>
      </c>
      <c r="E811">
        <v>12.07</v>
      </c>
      <c r="F811">
        <v>405193</v>
      </c>
      <c r="G811" s="660">
        <v>44734</v>
      </c>
      <c r="H811" t="s">
        <v>7363</v>
      </c>
    </row>
    <row r="812" spans="1:8">
      <c r="A812">
        <v>502458</v>
      </c>
      <c r="B812" t="s">
        <v>7364</v>
      </c>
      <c r="C812" t="s">
        <v>1930</v>
      </c>
      <c r="D812" t="s">
        <v>5859</v>
      </c>
      <c r="E812">
        <v>26.4</v>
      </c>
      <c r="F812">
        <v>407010</v>
      </c>
      <c r="G812" s="660">
        <v>45153</v>
      </c>
      <c r="H812" t="s">
        <v>7365</v>
      </c>
    </row>
    <row r="813" spans="1:8">
      <c r="A813">
        <v>502459</v>
      </c>
      <c r="B813" t="s">
        <v>7366</v>
      </c>
      <c r="D813" t="s">
        <v>5859</v>
      </c>
      <c r="G813" s="660"/>
      <c r="H813" t="s">
        <v>7367</v>
      </c>
    </row>
    <row r="814" spans="1:8">
      <c r="A814">
        <v>502460</v>
      </c>
      <c r="B814" t="s">
        <v>7368</v>
      </c>
      <c r="D814" t="s">
        <v>5859</v>
      </c>
      <c r="G814" s="660"/>
      <c r="H814" t="s">
        <v>7369</v>
      </c>
    </row>
    <row r="815" spans="1:8">
      <c r="A815">
        <v>502462</v>
      </c>
      <c r="B815" t="s">
        <v>7370</v>
      </c>
      <c r="C815" t="s">
        <v>1665</v>
      </c>
      <c r="D815" t="s">
        <v>5859</v>
      </c>
      <c r="E815">
        <v>172.75</v>
      </c>
      <c r="F815">
        <v>404836</v>
      </c>
      <c r="G815" s="660">
        <v>44657</v>
      </c>
      <c r="H815" t="s">
        <v>2293</v>
      </c>
    </row>
    <row r="816" spans="1:8">
      <c r="A816">
        <v>502463</v>
      </c>
      <c r="B816" t="s">
        <v>7371</v>
      </c>
      <c r="C816" t="s">
        <v>1665</v>
      </c>
      <c r="D816" t="s">
        <v>5859</v>
      </c>
      <c r="E816">
        <v>203.16</v>
      </c>
      <c r="F816">
        <v>408524</v>
      </c>
      <c r="G816" s="660">
        <v>45427</v>
      </c>
      <c r="H816" t="s">
        <v>7372</v>
      </c>
    </row>
    <row r="817" spans="1:8">
      <c r="A817">
        <v>502464</v>
      </c>
      <c r="B817" t="s">
        <v>7373</v>
      </c>
      <c r="C817" t="s">
        <v>1966</v>
      </c>
      <c r="D817" t="s">
        <v>5859</v>
      </c>
      <c r="E817">
        <v>26.33</v>
      </c>
      <c r="F817">
        <v>404844</v>
      </c>
      <c r="G817" s="660">
        <v>44658</v>
      </c>
      <c r="H817" t="s">
        <v>7374</v>
      </c>
    </row>
    <row r="818" spans="1:8">
      <c r="A818">
        <v>502465</v>
      </c>
      <c r="B818" t="s">
        <v>7375</v>
      </c>
      <c r="D818" t="s">
        <v>5859</v>
      </c>
      <c r="G818" s="660"/>
      <c r="H818" t="s">
        <v>7376</v>
      </c>
    </row>
    <row r="819" spans="1:8">
      <c r="A819">
        <v>502466</v>
      </c>
      <c r="B819" t="s">
        <v>7377</v>
      </c>
      <c r="C819" t="s">
        <v>6004</v>
      </c>
      <c r="D819" t="s">
        <v>5859</v>
      </c>
      <c r="E819">
        <v>20.260000000000002</v>
      </c>
      <c r="F819">
        <v>408175</v>
      </c>
      <c r="G819" s="660">
        <v>45369</v>
      </c>
      <c r="H819" t="s">
        <v>7378</v>
      </c>
    </row>
    <row r="820" spans="1:8">
      <c r="A820">
        <v>502467</v>
      </c>
      <c r="B820" t="s">
        <v>7379</v>
      </c>
      <c r="C820" t="s">
        <v>1930</v>
      </c>
      <c r="D820" t="s">
        <v>5859</v>
      </c>
      <c r="E820">
        <v>60.72</v>
      </c>
      <c r="F820">
        <v>408894</v>
      </c>
      <c r="G820" s="660">
        <v>45499</v>
      </c>
      <c r="H820" t="s">
        <v>7380</v>
      </c>
    </row>
    <row r="821" spans="1:8">
      <c r="A821">
        <v>502468</v>
      </c>
      <c r="B821" t="s">
        <v>7381</v>
      </c>
      <c r="C821" t="s">
        <v>1930</v>
      </c>
      <c r="D821" t="s">
        <v>5859</v>
      </c>
      <c r="E821">
        <v>94.82</v>
      </c>
      <c r="F821">
        <v>406872</v>
      </c>
      <c r="G821" s="660">
        <v>45120</v>
      </c>
      <c r="H821" t="s">
        <v>7382</v>
      </c>
    </row>
    <row r="822" spans="1:8">
      <c r="A822">
        <v>502469</v>
      </c>
      <c r="B822" t="s">
        <v>7383</v>
      </c>
      <c r="C822" t="s">
        <v>1966</v>
      </c>
      <c r="D822" t="s">
        <v>5859</v>
      </c>
      <c r="E822">
        <v>44.61</v>
      </c>
      <c r="F822">
        <v>405193</v>
      </c>
      <c r="G822" s="660">
        <v>44734</v>
      </c>
      <c r="H822" t="s">
        <v>7384</v>
      </c>
    </row>
    <row r="823" spans="1:8">
      <c r="A823">
        <v>502470</v>
      </c>
      <c r="B823" t="s">
        <v>7385</v>
      </c>
      <c r="C823" t="s">
        <v>1665</v>
      </c>
      <c r="D823" t="s">
        <v>5859</v>
      </c>
      <c r="E823">
        <v>276.27999999999997</v>
      </c>
      <c r="F823">
        <v>408524</v>
      </c>
      <c r="G823" s="660">
        <v>45427</v>
      </c>
      <c r="H823" t="s">
        <v>2293</v>
      </c>
    </row>
    <row r="824" spans="1:8">
      <c r="A824">
        <v>502471</v>
      </c>
      <c r="B824" t="s">
        <v>7386</v>
      </c>
      <c r="C824" t="s">
        <v>1665</v>
      </c>
      <c r="D824" t="s">
        <v>5859</v>
      </c>
      <c r="E824">
        <v>740.57</v>
      </c>
      <c r="F824">
        <v>408524</v>
      </c>
      <c r="G824" s="660">
        <v>45427</v>
      </c>
      <c r="H824" t="s">
        <v>2293</v>
      </c>
    </row>
    <row r="825" spans="1:8">
      <c r="A825">
        <v>502472</v>
      </c>
      <c r="B825" t="s">
        <v>7387</v>
      </c>
      <c r="C825" t="s">
        <v>1665</v>
      </c>
      <c r="D825" t="s">
        <v>5859</v>
      </c>
      <c r="E825">
        <v>404.44</v>
      </c>
      <c r="F825">
        <v>405803</v>
      </c>
      <c r="G825" s="660">
        <v>44868</v>
      </c>
      <c r="H825" t="s">
        <v>7388</v>
      </c>
    </row>
    <row r="826" spans="1:8">
      <c r="A826">
        <v>502473</v>
      </c>
      <c r="B826" t="s">
        <v>7389</v>
      </c>
      <c r="C826" t="s">
        <v>1665</v>
      </c>
      <c r="D826" t="s">
        <v>5859</v>
      </c>
      <c r="E826">
        <v>450.43</v>
      </c>
      <c r="F826">
        <v>408524</v>
      </c>
      <c r="G826" s="660">
        <v>45427</v>
      </c>
      <c r="H826" t="s">
        <v>7390</v>
      </c>
    </row>
    <row r="827" spans="1:8">
      <c r="A827">
        <v>502474</v>
      </c>
      <c r="B827" t="s">
        <v>7391</v>
      </c>
      <c r="C827" t="s">
        <v>1966</v>
      </c>
      <c r="D827" t="s">
        <v>5859</v>
      </c>
      <c r="E827">
        <v>27.83</v>
      </c>
      <c r="F827">
        <v>405161</v>
      </c>
      <c r="G827" s="660">
        <v>44727</v>
      </c>
      <c r="H827" t="s">
        <v>7392</v>
      </c>
    </row>
    <row r="828" spans="1:8">
      <c r="A828">
        <v>502475</v>
      </c>
      <c r="B828" t="s">
        <v>7393</v>
      </c>
      <c r="C828" t="s">
        <v>1966</v>
      </c>
      <c r="D828" t="s">
        <v>5859</v>
      </c>
      <c r="E828">
        <v>310.33999999999997</v>
      </c>
      <c r="F828">
        <v>405027</v>
      </c>
      <c r="G828" s="660">
        <v>44698</v>
      </c>
      <c r="H828" t="s">
        <v>7394</v>
      </c>
    </row>
    <row r="829" spans="1:8">
      <c r="A829">
        <v>502476</v>
      </c>
      <c r="B829" t="s">
        <v>7395</v>
      </c>
      <c r="C829" t="s">
        <v>5867</v>
      </c>
      <c r="D829" t="s">
        <v>5868</v>
      </c>
      <c r="E829">
        <v>185.6</v>
      </c>
      <c r="F829">
        <v>405188</v>
      </c>
      <c r="G829" s="660">
        <v>44733</v>
      </c>
      <c r="H829" t="s">
        <v>7396</v>
      </c>
    </row>
    <row r="830" spans="1:8">
      <c r="A830">
        <v>502477</v>
      </c>
      <c r="B830" t="s">
        <v>7397</v>
      </c>
      <c r="C830" t="s">
        <v>7039</v>
      </c>
      <c r="D830" t="s">
        <v>5859</v>
      </c>
      <c r="E830">
        <v>1045</v>
      </c>
      <c r="F830">
        <v>404962</v>
      </c>
      <c r="G830" s="660">
        <v>44686</v>
      </c>
      <c r="H830" t="s">
        <v>7398</v>
      </c>
    </row>
    <row r="831" spans="1:8">
      <c r="A831">
        <v>502478</v>
      </c>
      <c r="B831" t="s">
        <v>7399</v>
      </c>
      <c r="C831" t="s">
        <v>1966</v>
      </c>
      <c r="D831" t="s">
        <v>5859</v>
      </c>
      <c r="E831">
        <v>17.11</v>
      </c>
      <c r="F831">
        <v>405527</v>
      </c>
      <c r="G831" s="660">
        <v>44803</v>
      </c>
      <c r="H831" t="s">
        <v>7400</v>
      </c>
    </row>
    <row r="832" spans="1:8">
      <c r="A832">
        <v>502479</v>
      </c>
      <c r="B832" t="s">
        <v>7401</v>
      </c>
      <c r="C832" t="s">
        <v>1665</v>
      </c>
      <c r="D832" t="s">
        <v>5859</v>
      </c>
      <c r="E832">
        <v>130.63999999999999</v>
      </c>
      <c r="F832">
        <v>405102</v>
      </c>
      <c r="G832" s="660">
        <v>44714</v>
      </c>
      <c r="H832" t="s">
        <v>7402</v>
      </c>
    </row>
    <row r="833" spans="1:8">
      <c r="A833">
        <v>502480</v>
      </c>
      <c r="B833" t="s">
        <v>7403</v>
      </c>
      <c r="D833" t="s">
        <v>2814</v>
      </c>
      <c r="G833" s="660"/>
      <c r="H833" t="s">
        <v>7404</v>
      </c>
    </row>
    <row r="834" spans="1:8">
      <c r="A834">
        <v>502481</v>
      </c>
      <c r="B834" t="s">
        <v>7405</v>
      </c>
      <c r="D834" t="s">
        <v>2814</v>
      </c>
      <c r="G834" s="660"/>
      <c r="H834" t="s">
        <v>7404</v>
      </c>
    </row>
    <row r="835" spans="1:8">
      <c r="A835">
        <v>502482</v>
      </c>
      <c r="B835" t="s">
        <v>7406</v>
      </c>
      <c r="C835" t="s">
        <v>5900</v>
      </c>
      <c r="D835" t="s">
        <v>5859</v>
      </c>
      <c r="E835">
        <v>27.507999999999999</v>
      </c>
      <c r="F835">
        <v>408755</v>
      </c>
      <c r="G835" s="660">
        <v>45469</v>
      </c>
      <c r="H835" t="s">
        <v>2293</v>
      </c>
    </row>
    <row r="836" spans="1:8">
      <c r="A836">
        <v>502483</v>
      </c>
      <c r="B836" t="s">
        <v>7407</v>
      </c>
      <c r="C836" t="s">
        <v>7408</v>
      </c>
      <c r="D836" t="s">
        <v>5859</v>
      </c>
      <c r="E836">
        <v>5.3310000000000004</v>
      </c>
      <c r="F836">
        <v>404857</v>
      </c>
      <c r="G836" s="660">
        <v>44662</v>
      </c>
      <c r="H836" t="s">
        <v>2293</v>
      </c>
    </row>
    <row r="837" spans="1:8">
      <c r="A837">
        <v>502484</v>
      </c>
      <c r="B837" t="s">
        <v>7409</v>
      </c>
      <c r="C837" t="s">
        <v>7410</v>
      </c>
      <c r="D837" t="s">
        <v>5859</v>
      </c>
      <c r="E837">
        <v>62.606999999999999</v>
      </c>
      <c r="F837">
        <v>409648</v>
      </c>
      <c r="G837" s="660">
        <v>45667</v>
      </c>
      <c r="H837" t="s">
        <v>2293</v>
      </c>
    </row>
    <row r="838" spans="1:8">
      <c r="A838">
        <v>502485</v>
      </c>
      <c r="B838" t="s">
        <v>7411</v>
      </c>
      <c r="C838" t="s">
        <v>5442</v>
      </c>
      <c r="D838" t="s">
        <v>5859</v>
      </c>
      <c r="E838">
        <v>69.58</v>
      </c>
      <c r="F838">
        <v>405267</v>
      </c>
      <c r="G838" s="660">
        <v>44753</v>
      </c>
      <c r="H838" t="s">
        <v>7412</v>
      </c>
    </row>
    <row r="839" spans="1:8">
      <c r="A839">
        <v>502486</v>
      </c>
      <c r="B839" t="s">
        <v>7413</v>
      </c>
      <c r="C839" t="s">
        <v>5442</v>
      </c>
      <c r="D839" t="s">
        <v>5859</v>
      </c>
      <c r="E839">
        <v>171.66</v>
      </c>
      <c r="F839">
        <v>405267</v>
      </c>
      <c r="G839" s="660">
        <v>44753</v>
      </c>
      <c r="H839" t="s">
        <v>7414</v>
      </c>
    </row>
    <row r="840" spans="1:8">
      <c r="A840">
        <v>502487</v>
      </c>
      <c r="B840" t="s">
        <v>7415</v>
      </c>
      <c r="C840" t="s">
        <v>5995</v>
      </c>
      <c r="D840" t="s">
        <v>5859</v>
      </c>
      <c r="E840">
        <v>146.9</v>
      </c>
      <c r="F840">
        <v>405395</v>
      </c>
      <c r="G840" s="660">
        <v>44778</v>
      </c>
      <c r="H840" t="s">
        <v>7416</v>
      </c>
    </row>
    <row r="841" spans="1:8">
      <c r="A841">
        <v>502489</v>
      </c>
      <c r="B841" t="s">
        <v>7417</v>
      </c>
      <c r="C841" t="s">
        <v>6013</v>
      </c>
      <c r="D841" t="s">
        <v>5859</v>
      </c>
      <c r="E841">
        <v>131.11000000000001</v>
      </c>
      <c r="F841">
        <v>405088</v>
      </c>
      <c r="G841" s="660">
        <v>44712</v>
      </c>
      <c r="H841" t="s">
        <v>7102</v>
      </c>
    </row>
    <row r="842" spans="1:8">
      <c r="A842">
        <v>502490</v>
      </c>
      <c r="B842" t="s">
        <v>7418</v>
      </c>
      <c r="C842" t="s">
        <v>7419</v>
      </c>
      <c r="D842" t="s">
        <v>5859</v>
      </c>
      <c r="E842">
        <v>331.5</v>
      </c>
      <c r="F842">
        <v>405098</v>
      </c>
      <c r="G842" s="660">
        <v>44714</v>
      </c>
      <c r="H842" t="s">
        <v>7420</v>
      </c>
    </row>
    <row r="843" spans="1:8">
      <c r="A843">
        <v>502491</v>
      </c>
      <c r="B843" t="s">
        <v>7421</v>
      </c>
      <c r="C843" t="s">
        <v>7419</v>
      </c>
      <c r="D843" t="s">
        <v>5859</v>
      </c>
      <c r="E843">
        <v>5881.6</v>
      </c>
      <c r="F843">
        <v>406943</v>
      </c>
      <c r="G843" s="660">
        <v>45135</v>
      </c>
      <c r="H843" t="s">
        <v>7422</v>
      </c>
    </row>
    <row r="844" spans="1:8">
      <c r="A844">
        <v>502492</v>
      </c>
      <c r="B844" t="s">
        <v>7423</v>
      </c>
      <c r="C844" t="s">
        <v>7419</v>
      </c>
      <c r="D844" t="s">
        <v>5859</v>
      </c>
      <c r="E844">
        <v>219.3</v>
      </c>
      <c r="F844">
        <v>405098</v>
      </c>
      <c r="G844" s="660">
        <v>44714</v>
      </c>
      <c r="H844" t="s">
        <v>7424</v>
      </c>
    </row>
    <row r="845" spans="1:8">
      <c r="A845">
        <v>502493</v>
      </c>
      <c r="B845" t="s">
        <v>7425</v>
      </c>
      <c r="C845" t="s">
        <v>5442</v>
      </c>
      <c r="D845" t="s">
        <v>5859</v>
      </c>
      <c r="E845">
        <v>82.11</v>
      </c>
      <c r="F845">
        <v>405093</v>
      </c>
      <c r="G845" s="660">
        <v>44713</v>
      </c>
      <c r="H845" t="s">
        <v>7426</v>
      </c>
    </row>
    <row r="846" spans="1:8">
      <c r="A846">
        <v>502494</v>
      </c>
      <c r="B846" t="s">
        <v>7427</v>
      </c>
      <c r="C846" t="s">
        <v>5085</v>
      </c>
      <c r="D846" t="s">
        <v>5868</v>
      </c>
      <c r="E846">
        <v>133.32</v>
      </c>
      <c r="F846">
        <v>407160</v>
      </c>
      <c r="G846" s="660">
        <v>45184</v>
      </c>
      <c r="H846" t="s">
        <v>7428</v>
      </c>
    </row>
    <row r="847" spans="1:8">
      <c r="A847">
        <v>502495</v>
      </c>
      <c r="B847" t="s">
        <v>7429</v>
      </c>
      <c r="C847" t="s">
        <v>6524</v>
      </c>
      <c r="D847" t="s">
        <v>5859</v>
      </c>
      <c r="E847">
        <v>189.27</v>
      </c>
      <c r="F847">
        <v>407000</v>
      </c>
      <c r="G847" s="660">
        <v>45149</v>
      </c>
      <c r="H847" t="s">
        <v>7102</v>
      </c>
    </row>
    <row r="848" spans="1:8">
      <c r="A848">
        <v>502496</v>
      </c>
      <c r="B848" t="s">
        <v>7430</v>
      </c>
      <c r="C848" t="s">
        <v>1966</v>
      </c>
      <c r="D848" t="s">
        <v>5859</v>
      </c>
      <c r="E848">
        <v>135.97</v>
      </c>
      <c r="F848">
        <v>405175</v>
      </c>
      <c r="G848" s="660">
        <v>44728</v>
      </c>
      <c r="H848" t="s">
        <v>7431</v>
      </c>
    </row>
    <row r="849" spans="1:8">
      <c r="A849">
        <v>502497</v>
      </c>
      <c r="B849" t="s">
        <v>7432</v>
      </c>
      <c r="C849" t="s">
        <v>1966</v>
      </c>
      <c r="D849" t="s">
        <v>5859</v>
      </c>
      <c r="E849">
        <v>120</v>
      </c>
      <c r="F849">
        <v>405175</v>
      </c>
      <c r="G849" s="660">
        <v>44728</v>
      </c>
      <c r="H849" t="s">
        <v>7433</v>
      </c>
    </row>
    <row r="850" spans="1:8">
      <c r="A850">
        <v>502498</v>
      </c>
      <c r="B850" t="s">
        <v>7434</v>
      </c>
      <c r="C850" t="s">
        <v>1966</v>
      </c>
      <c r="D850" t="s">
        <v>5859</v>
      </c>
      <c r="E850">
        <v>44.73</v>
      </c>
      <c r="F850">
        <v>405175</v>
      </c>
      <c r="G850" s="660">
        <v>44728</v>
      </c>
      <c r="H850" t="s">
        <v>7435</v>
      </c>
    </row>
    <row r="851" spans="1:8">
      <c r="A851">
        <v>502499</v>
      </c>
      <c r="B851" t="s">
        <v>7436</v>
      </c>
      <c r="C851" t="s">
        <v>5995</v>
      </c>
      <c r="D851" t="s">
        <v>2814</v>
      </c>
      <c r="E851">
        <v>528.5</v>
      </c>
      <c r="F851">
        <v>407819</v>
      </c>
      <c r="G851" s="660">
        <v>45310</v>
      </c>
      <c r="H851" t="s">
        <v>2293</v>
      </c>
    </row>
    <row r="852" spans="1:8">
      <c r="A852">
        <v>502500</v>
      </c>
      <c r="B852" t="s">
        <v>7437</v>
      </c>
      <c r="D852" t="s">
        <v>5859</v>
      </c>
      <c r="G852" s="660"/>
      <c r="H852" t="s">
        <v>7438</v>
      </c>
    </row>
    <row r="853" spans="1:8">
      <c r="A853">
        <v>502501</v>
      </c>
      <c r="B853" t="s">
        <v>7439</v>
      </c>
      <c r="C853" t="s">
        <v>1966</v>
      </c>
      <c r="D853" t="s">
        <v>5859</v>
      </c>
      <c r="E853">
        <v>16.13</v>
      </c>
      <c r="F853">
        <v>408766</v>
      </c>
      <c r="G853" s="660">
        <v>45470</v>
      </c>
      <c r="H853" t="s">
        <v>7440</v>
      </c>
    </row>
    <row r="854" spans="1:8">
      <c r="A854">
        <v>502504</v>
      </c>
      <c r="B854" t="s">
        <v>7441</v>
      </c>
      <c r="C854" t="s">
        <v>1966</v>
      </c>
      <c r="D854" t="s">
        <v>5859</v>
      </c>
      <c r="E854">
        <v>11.08</v>
      </c>
      <c r="F854">
        <v>407706</v>
      </c>
      <c r="G854" s="660">
        <v>45289</v>
      </c>
      <c r="H854" t="s">
        <v>7442</v>
      </c>
    </row>
    <row r="855" spans="1:8">
      <c r="A855">
        <v>502505</v>
      </c>
      <c r="B855" t="s">
        <v>7443</v>
      </c>
      <c r="C855" t="s">
        <v>1665</v>
      </c>
      <c r="D855" t="s">
        <v>5859</v>
      </c>
      <c r="E855">
        <v>284.20999999999998</v>
      </c>
      <c r="F855">
        <v>405650</v>
      </c>
      <c r="G855" s="660">
        <v>44825</v>
      </c>
      <c r="H855" t="s">
        <v>7444</v>
      </c>
    </row>
    <row r="856" spans="1:8">
      <c r="A856">
        <v>502506</v>
      </c>
      <c r="B856" t="s">
        <v>7445</v>
      </c>
      <c r="C856" t="s">
        <v>1966</v>
      </c>
      <c r="D856" t="s">
        <v>5859</v>
      </c>
      <c r="E856">
        <v>15.45</v>
      </c>
      <c r="F856">
        <v>405407</v>
      </c>
      <c r="G856" s="660">
        <v>44781</v>
      </c>
      <c r="H856" t="s">
        <v>7446</v>
      </c>
    </row>
    <row r="857" spans="1:8">
      <c r="A857">
        <v>502507</v>
      </c>
      <c r="B857" t="s">
        <v>7447</v>
      </c>
      <c r="C857" t="s">
        <v>6013</v>
      </c>
      <c r="D857" t="s">
        <v>5859</v>
      </c>
      <c r="E857">
        <v>1288.51</v>
      </c>
      <c r="F857">
        <v>406897</v>
      </c>
      <c r="G857" s="660">
        <v>45127</v>
      </c>
      <c r="H857" t="s">
        <v>7448</v>
      </c>
    </row>
    <row r="858" spans="1:8">
      <c r="A858">
        <v>502508</v>
      </c>
      <c r="B858" t="s">
        <v>7449</v>
      </c>
      <c r="C858" t="s">
        <v>1930</v>
      </c>
      <c r="D858" t="s">
        <v>5859</v>
      </c>
      <c r="E858">
        <v>14.97</v>
      </c>
      <c r="F858">
        <v>406872</v>
      </c>
      <c r="G858" s="660">
        <v>45120</v>
      </c>
      <c r="H858" t="s">
        <v>7450</v>
      </c>
    </row>
    <row r="859" spans="1:8">
      <c r="A859">
        <v>502509</v>
      </c>
      <c r="B859" t="s">
        <v>7451</v>
      </c>
      <c r="C859" t="s">
        <v>1665</v>
      </c>
      <c r="D859" t="s">
        <v>5859</v>
      </c>
      <c r="E859">
        <v>450.43</v>
      </c>
      <c r="F859">
        <v>408524</v>
      </c>
      <c r="G859" s="660">
        <v>45427</v>
      </c>
      <c r="H859" t="s">
        <v>7452</v>
      </c>
    </row>
    <row r="860" spans="1:8">
      <c r="A860">
        <v>502510</v>
      </c>
      <c r="B860" t="s">
        <v>7453</v>
      </c>
      <c r="C860" t="s">
        <v>1665</v>
      </c>
      <c r="D860" t="s">
        <v>5859</v>
      </c>
      <c r="E860">
        <v>404.44</v>
      </c>
      <c r="F860">
        <v>406506</v>
      </c>
      <c r="G860" s="660">
        <v>45050</v>
      </c>
      <c r="H860" t="s">
        <v>7454</v>
      </c>
    </row>
    <row r="861" spans="1:8">
      <c r="A861">
        <v>502511</v>
      </c>
      <c r="B861" t="s">
        <v>7455</v>
      </c>
      <c r="C861" t="s">
        <v>7456</v>
      </c>
      <c r="D861" t="s">
        <v>5859</v>
      </c>
      <c r="E861">
        <v>111.61</v>
      </c>
      <c r="F861">
        <v>410373</v>
      </c>
      <c r="G861" s="660">
        <v>45799</v>
      </c>
      <c r="H861" t="s">
        <v>7457</v>
      </c>
    </row>
    <row r="862" spans="1:8">
      <c r="A862">
        <v>502513</v>
      </c>
      <c r="B862" t="s">
        <v>7458</v>
      </c>
      <c r="C862" t="s">
        <v>1930</v>
      </c>
      <c r="D862" t="s">
        <v>5859</v>
      </c>
      <c r="E862">
        <v>21.69</v>
      </c>
      <c r="F862">
        <v>405829</v>
      </c>
      <c r="G862" s="660">
        <v>44874</v>
      </c>
      <c r="H862" t="s">
        <v>7459</v>
      </c>
    </row>
    <row r="863" spans="1:8">
      <c r="A863">
        <v>502514</v>
      </c>
      <c r="B863" t="s">
        <v>7460</v>
      </c>
      <c r="C863" t="s">
        <v>1930</v>
      </c>
      <c r="D863" t="s">
        <v>5859</v>
      </c>
      <c r="E863">
        <v>2.16</v>
      </c>
      <c r="F863">
        <v>405579</v>
      </c>
      <c r="G863" s="660">
        <v>44817</v>
      </c>
      <c r="H863" t="s">
        <v>7461</v>
      </c>
    </row>
    <row r="864" spans="1:8">
      <c r="A864">
        <v>502515</v>
      </c>
      <c r="B864" t="s">
        <v>7462</v>
      </c>
      <c r="C864" t="s">
        <v>5951</v>
      </c>
      <c r="D864" t="s">
        <v>5859</v>
      </c>
      <c r="E864">
        <v>176.95</v>
      </c>
      <c r="F864">
        <v>406066</v>
      </c>
      <c r="G864" s="660">
        <v>44942</v>
      </c>
      <c r="H864" t="s">
        <v>7463</v>
      </c>
    </row>
    <row r="865" spans="1:8">
      <c r="A865">
        <v>502516</v>
      </c>
      <c r="B865" t="s">
        <v>7464</v>
      </c>
      <c r="C865" t="s">
        <v>1966</v>
      </c>
      <c r="D865" t="s">
        <v>5859</v>
      </c>
      <c r="E865">
        <v>10.09</v>
      </c>
      <c r="F865">
        <v>406911</v>
      </c>
      <c r="G865" s="660">
        <v>45131</v>
      </c>
      <c r="H865" t="s">
        <v>7465</v>
      </c>
    </row>
    <row r="866" spans="1:8">
      <c r="A866">
        <v>502517</v>
      </c>
      <c r="B866" t="s">
        <v>7466</v>
      </c>
      <c r="C866" t="s">
        <v>1930</v>
      </c>
      <c r="D866" t="s">
        <v>5859</v>
      </c>
      <c r="E866">
        <v>16.32</v>
      </c>
      <c r="F866">
        <v>405829</v>
      </c>
      <c r="G866" s="660">
        <v>44874</v>
      </c>
      <c r="H866" t="s">
        <v>2293</v>
      </c>
    </row>
    <row r="867" spans="1:8">
      <c r="A867">
        <v>502518</v>
      </c>
      <c r="B867" t="s">
        <v>7467</v>
      </c>
      <c r="C867" t="s">
        <v>1966</v>
      </c>
      <c r="D867" t="s">
        <v>5859</v>
      </c>
      <c r="E867">
        <v>46.39</v>
      </c>
      <c r="F867">
        <v>408515</v>
      </c>
      <c r="G867" s="660">
        <v>45426</v>
      </c>
      <c r="H867" t="s">
        <v>7468</v>
      </c>
    </row>
    <row r="868" spans="1:8">
      <c r="A868">
        <v>502519</v>
      </c>
      <c r="B868" t="s">
        <v>7469</v>
      </c>
      <c r="C868" t="s">
        <v>1966</v>
      </c>
      <c r="D868" t="s">
        <v>5859</v>
      </c>
      <c r="E868">
        <v>6.44</v>
      </c>
      <c r="F868">
        <v>406121</v>
      </c>
      <c r="G868" s="660">
        <v>44953</v>
      </c>
      <c r="H868" t="s">
        <v>7470</v>
      </c>
    </row>
    <row r="869" spans="1:8">
      <c r="A869">
        <v>502521</v>
      </c>
      <c r="B869" t="s">
        <v>7471</v>
      </c>
      <c r="C869" t="s">
        <v>5350</v>
      </c>
      <c r="D869" t="s">
        <v>5859</v>
      </c>
      <c r="E869">
        <v>0</v>
      </c>
      <c r="F869">
        <v>409251</v>
      </c>
      <c r="G869" s="660">
        <v>45573</v>
      </c>
      <c r="H869" t="s">
        <v>7472</v>
      </c>
    </row>
    <row r="870" spans="1:8">
      <c r="A870">
        <v>502522</v>
      </c>
      <c r="B870" t="s">
        <v>7473</v>
      </c>
      <c r="C870" t="s">
        <v>5995</v>
      </c>
      <c r="D870" t="s">
        <v>5859</v>
      </c>
      <c r="E870">
        <v>661.44</v>
      </c>
      <c r="F870">
        <v>410331</v>
      </c>
      <c r="G870" s="660">
        <v>45792</v>
      </c>
      <c r="H870" t="s">
        <v>7474</v>
      </c>
    </row>
    <row r="871" spans="1:8">
      <c r="A871">
        <v>502525</v>
      </c>
      <c r="B871" t="s">
        <v>7475</v>
      </c>
      <c r="C871" t="s">
        <v>5951</v>
      </c>
      <c r="D871" t="s">
        <v>5859</v>
      </c>
      <c r="E871">
        <v>585.54999999999995</v>
      </c>
      <c r="F871">
        <v>410336</v>
      </c>
      <c r="G871" s="660">
        <v>45792</v>
      </c>
      <c r="H871" t="s">
        <v>7476</v>
      </c>
    </row>
    <row r="872" spans="1:8">
      <c r="A872">
        <v>502526</v>
      </c>
      <c r="B872" t="s">
        <v>7477</v>
      </c>
      <c r="C872" t="s">
        <v>5951</v>
      </c>
      <c r="D872" t="s">
        <v>5859</v>
      </c>
      <c r="E872">
        <v>585.54999999999995</v>
      </c>
      <c r="F872">
        <v>410336</v>
      </c>
      <c r="G872" s="660">
        <v>45792</v>
      </c>
      <c r="H872" t="s">
        <v>7478</v>
      </c>
    </row>
    <row r="873" spans="1:8">
      <c r="A873">
        <v>502527</v>
      </c>
      <c r="B873" t="s">
        <v>7479</v>
      </c>
      <c r="C873" t="s">
        <v>1966</v>
      </c>
      <c r="D873" t="s">
        <v>5859</v>
      </c>
      <c r="E873">
        <v>2.91</v>
      </c>
      <c r="F873">
        <v>405441</v>
      </c>
      <c r="G873" s="660">
        <v>44788</v>
      </c>
      <c r="H873" t="s">
        <v>7480</v>
      </c>
    </row>
    <row r="874" spans="1:8">
      <c r="A874">
        <v>502528</v>
      </c>
      <c r="B874" t="s">
        <v>7481</v>
      </c>
      <c r="D874" t="s">
        <v>5859</v>
      </c>
      <c r="G874" s="660"/>
      <c r="H874" t="s">
        <v>7482</v>
      </c>
    </row>
    <row r="875" spans="1:8">
      <c r="A875">
        <v>502529</v>
      </c>
      <c r="B875" t="s">
        <v>7483</v>
      </c>
      <c r="C875" t="s">
        <v>5995</v>
      </c>
      <c r="D875" t="s">
        <v>5859</v>
      </c>
      <c r="E875">
        <v>738.57</v>
      </c>
      <c r="F875">
        <v>409736</v>
      </c>
      <c r="G875" s="660">
        <v>45685</v>
      </c>
      <c r="H875" t="s">
        <v>7484</v>
      </c>
    </row>
    <row r="876" spans="1:8">
      <c r="A876">
        <v>502530</v>
      </c>
      <c r="B876" t="s">
        <v>1421</v>
      </c>
      <c r="C876" t="s">
        <v>5951</v>
      </c>
      <c r="D876" t="s">
        <v>5859</v>
      </c>
      <c r="E876">
        <v>788.12</v>
      </c>
      <c r="F876">
        <v>409737</v>
      </c>
      <c r="G876" s="660">
        <v>45685</v>
      </c>
      <c r="H876" t="s">
        <v>1422</v>
      </c>
    </row>
    <row r="877" spans="1:8">
      <c r="A877">
        <v>502531</v>
      </c>
      <c r="B877" t="s">
        <v>1419</v>
      </c>
      <c r="C877" t="s">
        <v>5951</v>
      </c>
      <c r="D877" t="s">
        <v>5859</v>
      </c>
      <c r="E877">
        <v>788.12</v>
      </c>
      <c r="F877">
        <v>409737</v>
      </c>
      <c r="G877" s="660">
        <v>45685</v>
      </c>
      <c r="H877" t="s">
        <v>1420</v>
      </c>
    </row>
    <row r="878" spans="1:8">
      <c r="A878">
        <v>502532</v>
      </c>
      <c r="B878" t="s">
        <v>7485</v>
      </c>
      <c r="C878" t="s">
        <v>5442</v>
      </c>
      <c r="D878" t="s">
        <v>5859</v>
      </c>
      <c r="E878">
        <v>166.785</v>
      </c>
      <c r="F878">
        <v>406063</v>
      </c>
      <c r="G878" s="660">
        <v>44939</v>
      </c>
      <c r="H878" t="s">
        <v>7486</v>
      </c>
    </row>
    <row r="879" spans="1:8">
      <c r="A879">
        <v>502533</v>
      </c>
      <c r="B879" t="s">
        <v>7487</v>
      </c>
      <c r="C879" t="s">
        <v>1966</v>
      </c>
      <c r="D879" t="s">
        <v>5859</v>
      </c>
      <c r="E879">
        <v>2.96</v>
      </c>
      <c r="F879">
        <v>409083</v>
      </c>
      <c r="G879" s="660">
        <v>45541</v>
      </c>
      <c r="H879" t="s">
        <v>7488</v>
      </c>
    </row>
    <row r="880" spans="1:8">
      <c r="A880">
        <v>502534</v>
      </c>
      <c r="B880" t="s">
        <v>7489</v>
      </c>
      <c r="C880" t="s">
        <v>1966</v>
      </c>
      <c r="D880" t="s">
        <v>5859</v>
      </c>
      <c r="E880">
        <v>13.31</v>
      </c>
      <c r="F880">
        <v>408515</v>
      </c>
      <c r="G880" s="660">
        <v>45426</v>
      </c>
      <c r="H880" t="s">
        <v>7490</v>
      </c>
    </row>
    <row r="881" spans="1:8">
      <c r="A881">
        <v>502535</v>
      </c>
      <c r="B881" t="s">
        <v>7491</v>
      </c>
      <c r="C881" t="s">
        <v>1966</v>
      </c>
      <c r="D881" t="s">
        <v>5859</v>
      </c>
      <c r="E881">
        <v>3.22</v>
      </c>
      <c r="F881">
        <v>406642</v>
      </c>
      <c r="G881" s="660">
        <v>45063</v>
      </c>
      <c r="H881" t="s">
        <v>7492</v>
      </c>
    </row>
    <row r="882" spans="1:8">
      <c r="A882">
        <v>502536</v>
      </c>
      <c r="B882" t="s">
        <v>7493</v>
      </c>
      <c r="C882" t="s">
        <v>1966</v>
      </c>
      <c r="D882" t="s">
        <v>5859</v>
      </c>
      <c r="E882">
        <v>7.15</v>
      </c>
      <c r="F882">
        <v>407925</v>
      </c>
      <c r="G882" s="660">
        <v>45324</v>
      </c>
      <c r="H882" t="s">
        <v>7494</v>
      </c>
    </row>
    <row r="883" spans="1:8">
      <c r="A883">
        <v>502537</v>
      </c>
      <c r="B883" t="s">
        <v>7495</v>
      </c>
      <c r="C883" t="s">
        <v>6078</v>
      </c>
      <c r="D883" t="s">
        <v>5868</v>
      </c>
      <c r="E883">
        <v>4028</v>
      </c>
      <c r="F883">
        <v>409378</v>
      </c>
      <c r="G883" s="660">
        <v>45597</v>
      </c>
      <c r="H883" t="s">
        <v>7496</v>
      </c>
    </row>
    <row r="884" spans="1:8">
      <c r="A884">
        <v>502538</v>
      </c>
      <c r="B884" t="s">
        <v>5979</v>
      </c>
      <c r="C884" t="s">
        <v>1665</v>
      </c>
      <c r="D884" t="s">
        <v>5859</v>
      </c>
      <c r="E884">
        <v>623.24</v>
      </c>
      <c r="F884">
        <v>407692</v>
      </c>
      <c r="G884" s="660">
        <v>45287</v>
      </c>
      <c r="H884" t="s">
        <v>7497</v>
      </c>
    </row>
    <row r="885" spans="1:8">
      <c r="A885">
        <v>502539</v>
      </c>
      <c r="B885" t="s">
        <v>7498</v>
      </c>
      <c r="C885" t="s">
        <v>5864</v>
      </c>
      <c r="D885" t="s">
        <v>5859</v>
      </c>
      <c r="E885">
        <v>656.7</v>
      </c>
      <c r="F885">
        <v>409369</v>
      </c>
      <c r="G885" s="660">
        <v>45596</v>
      </c>
      <c r="H885" t="s">
        <v>7499</v>
      </c>
    </row>
    <row r="886" spans="1:8">
      <c r="A886">
        <v>502540</v>
      </c>
      <c r="B886" t="s">
        <v>7500</v>
      </c>
      <c r="C886" t="s">
        <v>7143</v>
      </c>
      <c r="D886" t="s">
        <v>5859</v>
      </c>
      <c r="E886">
        <v>301.79000000000002</v>
      </c>
      <c r="F886">
        <v>407711</v>
      </c>
      <c r="G886" s="660">
        <v>45289</v>
      </c>
      <c r="H886" t="s">
        <v>7501</v>
      </c>
    </row>
    <row r="887" spans="1:8">
      <c r="A887">
        <v>502541</v>
      </c>
      <c r="B887" t="s">
        <v>7502</v>
      </c>
      <c r="C887" t="s">
        <v>5941</v>
      </c>
      <c r="D887" t="s">
        <v>5859</v>
      </c>
      <c r="E887">
        <v>13.83</v>
      </c>
      <c r="F887">
        <v>408082</v>
      </c>
      <c r="G887" s="660">
        <v>45355</v>
      </c>
      <c r="H887" t="s">
        <v>7503</v>
      </c>
    </row>
    <row r="888" spans="1:8">
      <c r="A888">
        <v>502542</v>
      </c>
      <c r="B888" t="s">
        <v>7504</v>
      </c>
      <c r="C888" t="s">
        <v>5995</v>
      </c>
      <c r="D888" t="s">
        <v>5859</v>
      </c>
      <c r="E888">
        <v>893.93</v>
      </c>
      <c r="F888">
        <v>406579</v>
      </c>
      <c r="G888" s="660">
        <v>45051</v>
      </c>
      <c r="H888" t="s">
        <v>7505</v>
      </c>
    </row>
    <row r="889" spans="1:8">
      <c r="A889">
        <v>502543</v>
      </c>
      <c r="B889" t="s">
        <v>7506</v>
      </c>
      <c r="C889" t="s">
        <v>1966</v>
      </c>
      <c r="D889" t="s">
        <v>5859</v>
      </c>
      <c r="E889">
        <v>100.78</v>
      </c>
      <c r="F889">
        <v>405571</v>
      </c>
      <c r="G889" s="660">
        <v>44816</v>
      </c>
      <c r="H889" t="s">
        <v>7507</v>
      </c>
    </row>
    <row r="890" spans="1:8">
      <c r="A890">
        <v>502544</v>
      </c>
      <c r="B890" t="s">
        <v>7508</v>
      </c>
      <c r="C890" t="s">
        <v>5951</v>
      </c>
      <c r="D890" t="s">
        <v>5859</v>
      </c>
      <c r="E890">
        <v>1020.61</v>
      </c>
      <c r="F890">
        <v>406509</v>
      </c>
      <c r="G890" s="660">
        <v>45040</v>
      </c>
      <c r="H890" t="s">
        <v>7509</v>
      </c>
    </row>
    <row r="891" spans="1:8">
      <c r="A891">
        <v>502545</v>
      </c>
      <c r="B891" t="s">
        <v>7510</v>
      </c>
      <c r="C891" t="s">
        <v>5951</v>
      </c>
      <c r="D891" t="s">
        <v>5859</v>
      </c>
      <c r="E891">
        <v>1288.96</v>
      </c>
      <c r="F891">
        <v>409019</v>
      </c>
      <c r="G891" s="660">
        <v>45525</v>
      </c>
      <c r="H891" t="s">
        <v>7511</v>
      </c>
    </row>
    <row r="892" spans="1:8">
      <c r="A892">
        <v>502546</v>
      </c>
      <c r="B892" t="s">
        <v>7512</v>
      </c>
      <c r="C892" t="s">
        <v>1966</v>
      </c>
      <c r="D892" t="s">
        <v>5859</v>
      </c>
      <c r="E892">
        <v>8.5399999999999991</v>
      </c>
      <c r="F892">
        <v>405639</v>
      </c>
      <c r="G892" s="660">
        <v>44824</v>
      </c>
      <c r="H892" t="s">
        <v>7513</v>
      </c>
    </row>
    <row r="893" spans="1:8">
      <c r="A893">
        <v>502547</v>
      </c>
      <c r="B893" t="s">
        <v>7514</v>
      </c>
      <c r="C893" t="s">
        <v>5951</v>
      </c>
      <c r="D893" t="s">
        <v>5859</v>
      </c>
      <c r="E893">
        <v>1338.47</v>
      </c>
      <c r="F893">
        <v>409202</v>
      </c>
      <c r="G893" s="660">
        <v>45561</v>
      </c>
      <c r="H893" t="s">
        <v>7515</v>
      </c>
    </row>
    <row r="894" spans="1:8">
      <c r="A894">
        <v>502548</v>
      </c>
      <c r="B894" t="s">
        <v>7516</v>
      </c>
      <c r="C894" t="s">
        <v>5995</v>
      </c>
      <c r="D894" t="s">
        <v>5859</v>
      </c>
      <c r="E894">
        <v>1044.51</v>
      </c>
      <c r="F894">
        <v>407607</v>
      </c>
      <c r="G894" s="660">
        <v>45267</v>
      </c>
      <c r="H894" t="s">
        <v>7517</v>
      </c>
    </row>
    <row r="895" spans="1:8">
      <c r="A895">
        <v>502549</v>
      </c>
      <c r="B895" t="s">
        <v>7518</v>
      </c>
      <c r="C895" t="s">
        <v>6013</v>
      </c>
      <c r="D895" t="s">
        <v>5859</v>
      </c>
      <c r="E895">
        <v>972.7</v>
      </c>
      <c r="F895">
        <v>405807</v>
      </c>
      <c r="G895" s="660">
        <v>44868</v>
      </c>
      <c r="H895" t="s">
        <v>7519</v>
      </c>
    </row>
    <row r="896" spans="1:8">
      <c r="A896">
        <v>502550</v>
      </c>
      <c r="B896" t="s">
        <v>7520</v>
      </c>
      <c r="C896" t="s">
        <v>6013</v>
      </c>
      <c r="D896" t="s">
        <v>5859</v>
      </c>
      <c r="E896">
        <v>315.35000000000002</v>
      </c>
      <c r="F896">
        <v>405807</v>
      </c>
      <c r="G896" s="660">
        <v>44868</v>
      </c>
      <c r="H896" t="s">
        <v>7521</v>
      </c>
    </row>
    <row r="897" spans="1:8">
      <c r="A897">
        <v>502553</v>
      </c>
      <c r="B897" t="s">
        <v>7522</v>
      </c>
      <c r="C897" t="s">
        <v>7523</v>
      </c>
      <c r="D897" t="s">
        <v>5859</v>
      </c>
      <c r="E897">
        <v>1159.2</v>
      </c>
      <c r="F897">
        <v>405668</v>
      </c>
      <c r="G897" s="660">
        <v>44830</v>
      </c>
      <c r="H897" t="s">
        <v>7524</v>
      </c>
    </row>
    <row r="898" spans="1:8">
      <c r="A898">
        <v>502554</v>
      </c>
      <c r="B898" t="s">
        <v>7525</v>
      </c>
      <c r="C898" t="s">
        <v>7523</v>
      </c>
      <c r="D898" t="s">
        <v>5859</v>
      </c>
      <c r="E898">
        <v>360</v>
      </c>
      <c r="F898">
        <v>405668</v>
      </c>
      <c r="G898" s="660">
        <v>44830</v>
      </c>
      <c r="H898" t="s">
        <v>7526</v>
      </c>
    </row>
    <row r="899" spans="1:8">
      <c r="A899">
        <v>502555</v>
      </c>
      <c r="B899" t="s">
        <v>7527</v>
      </c>
      <c r="C899" t="s">
        <v>1966</v>
      </c>
      <c r="D899" t="s">
        <v>5859</v>
      </c>
      <c r="E899">
        <v>71.83</v>
      </c>
      <c r="F899">
        <v>406630</v>
      </c>
      <c r="G899" s="660">
        <v>45062</v>
      </c>
      <c r="H899" t="s">
        <v>7528</v>
      </c>
    </row>
    <row r="900" spans="1:8">
      <c r="A900">
        <v>502556</v>
      </c>
      <c r="B900" t="s">
        <v>7529</v>
      </c>
      <c r="C900" t="s">
        <v>1966</v>
      </c>
      <c r="D900" t="s">
        <v>5859</v>
      </c>
      <c r="E900">
        <v>18.68</v>
      </c>
      <c r="F900">
        <v>406630</v>
      </c>
      <c r="G900" s="660">
        <v>45062</v>
      </c>
      <c r="H900" t="s">
        <v>7530</v>
      </c>
    </row>
    <row r="901" spans="1:8">
      <c r="A901">
        <v>502557</v>
      </c>
      <c r="B901" t="s">
        <v>7531</v>
      </c>
      <c r="C901" t="s">
        <v>1665</v>
      </c>
      <c r="D901" t="s">
        <v>5859</v>
      </c>
      <c r="E901">
        <v>965.2</v>
      </c>
      <c r="F901">
        <v>405636</v>
      </c>
      <c r="G901" s="660">
        <v>44823</v>
      </c>
      <c r="H901" t="s">
        <v>7532</v>
      </c>
    </row>
    <row r="902" spans="1:8">
      <c r="A902">
        <v>502558</v>
      </c>
      <c r="B902" t="s">
        <v>7533</v>
      </c>
      <c r="C902" t="s">
        <v>1966</v>
      </c>
      <c r="D902" t="s">
        <v>5859</v>
      </c>
      <c r="E902">
        <v>53.85</v>
      </c>
      <c r="F902">
        <v>405946</v>
      </c>
      <c r="G902" s="660">
        <v>44903</v>
      </c>
      <c r="H902" t="s">
        <v>7534</v>
      </c>
    </row>
    <row r="903" spans="1:8">
      <c r="A903">
        <v>502559</v>
      </c>
      <c r="B903" t="s">
        <v>7535</v>
      </c>
      <c r="D903" t="s">
        <v>5859</v>
      </c>
      <c r="G903" s="660"/>
      <c r="H903" t="s">
        <v>7536</v>
      </c>
    </row>
    <row r="904" spans="1:8">
      <c r="A904">
        <v>502560</v>
      </c>
      <c r="B904" t="s">
        <v>7537</v>
      </c>
      <c r="C904" t="s">
        <v>1930</v>
      </c>
      <c r="D904" t="s">
        <v>5859</v>
      </c>
      <c r="E904">
        <v>44.2</v>
      </c>
      <c r="F904">
        <v>405829</v>
      </c>
      <c r="G904" s="660">
        <v>44874</v>
      </c>
      <c r="H904" t="s">
        <v>7538</v>
      </c>
    </row>
    <row r="905" spans="1:8">
      <c r="A905">
        <v>502561</v>
      </c>
      <c r="B905" t="s">
        <v>7539</v>
      </c>
      <c r="C905" t="s">
        <v>1966</v>
      </c>
      <c r="D905" t="s">
        <v>5859</v>
      </c>
      <c r="E905">
        <v>27.76</v>
      </c>
      <c r="F905">
        <v>405710</v>
      </c>
      <c r="G905" s="660">
        <v>44845</v>
      </c>
      <c r="H905" t="s">
        <v>7540</v>
      </c>
    </row>
    <row r="906" spans="1:8">
      <c r="A906">
        <v>502562</v>
      </c>
      <c r="B906" t="s">
        <v>7541</v>
      </c>
      <c r="C906" t="s">
        <v>6490</v>
      </c>
      <c r="D906" t="s">
        <v>5859</v>
      </c>
      <c r="E906">
        <v>40.58</v>
      </c>
      <c r="F906">
        <v>405716</v>
      </c>
      <c r="G906" s="660">
        <v>44848</v>
      </c>
      <c r="H906" t="s">
        <v>7542</v>
      </c>
    </row>
    <row r="907" spans="1:8">
      <c r="A907">
        <v>502563</v>
      </c>
      <c r="B907" t="s">
        <v>7543</v>
      </c>
      <c r="D907" t="s">
        <v>5859</v>
      </c>
      <c r="G907" s="660"/>
      <c r="H907" t="s">
        <v>7544</v>
      </c>
    </row>
    <row r="908" spans="1:8">
      <c r="A908">
        <v>502564</v>
      </c>
      <c r="B908" t="s">
        <v>7545</v>
      </c>
      <c r="C908" t="s">
        <v>6490</v>
      </c>
      <c r="D908" t="s">
        <v>5859</v>
      </c>
      <c r="E908">
        <v>133.76</v>
      </c>
      <c r="F908">
        <v>405734</v>
      </c>
      <c r="G908" s="660">
        <v>44854</v>
      </c>
      <c r="H908" t="s">
        <v>7546</v>
      </c>
    </row>
    <row r="909" spans="1:8">
      <c r="A909">
        <v>502565</v>
      </c>
      <c r="B909" t="s">
        <v>7547</v>
      </c>
      <c r="C909" t="s">
        <v>6490</v>
      </c>
      <c r="D909" t="s">
        <v>5859</v>
      </c>
      <c r="E909">
        <v>68.67</v>
      </c>
      <c r="F909">
        <v>410256</v>
      </c>
      <c r="G909" s="660">
        <v>45779</v>
      </c>
      <c r="H909" t="s">
        <v>7548</v>
      </c>
    </row>
    <row r="910" spans="1:8">
      <c r="A910">
        <v>502568</v>
      </c>
      <c r="B910" t="s">
        <v>7549</v>
      </c>
      <c r="C910" t="s">
        <v>6013</v>
      </c>
      <c r="D910" t="s">
        <v>5859</v>
      </c>
      <c r="E910">
        <v>958.81</v>
      </c>
      <c r="F910">
        <v>405804</v>
      </c>
      <c r="G910" s="660">
        <v>44868</v>
      </c>
      <c r="H910" t="s">
        <v>7550</v>
      </c>
    </row>
    <row r="911" spans="1:8">
      <c r="A911">
        <v>502569</v>
      </c>
      <c r="B911" t="s">
        <v>7551</v>
      </c>
      <c r="C911" t="s">
        <v>5900</v>
      </c>
      <c r="D911" t="s">
        <v>5901</v>
      </c>
      <c r="E911">
        <v>228.77</v>
      </c>
      <c r="F911">
        <v>410353</v>
      </c>
      <c r="G911" s="660">
        <v>45796</v>
      </c>
      <c r="H911" t="s">
        <v>7552</v>
      </c>
    </row>
    <row r="912" spans="1:8">
      <c r="A912">
        <v>502570</v>
      </c>
      <c r="B912" t="s">
        <v>7553</v>
      </c>
      <c r="D912" t="s">
        <v>5859</v>
      </c>
      <c r="G912" s="660"/>
      <c r="H912" t="s">
        <v>6619</v>
      </c>
    </row>
    <row r="913" spans="1:8">
      <c r="A913">
        <v>502574</v>
      </c>
      <c r="B913" t="s">
        <v>7554</v>
      </c>
      <c r="C913" t="s">
        <v>1665</v>
      </c>
      <c r="D913" t="s">
        <v>5859</v>
      </c>
      <c r="E913">
        <v>421.05</v>
      </c>
      <c r="F913">
        <v>405881</v>
      </c>
      <c r="G913" s="660">
        <v>44883</v>
      </c>
      <c r="H913" t="s">
        <v>7555</v>
      </c>
    </row>
    <row r="914" spans="1:8">
      <c r="A914">
        <v>502575</v>
      </c>
      <c r="B914" t="s">
        <v>7556</v>
      </c>
      <c r="C914" t="s">
        <v>1665</v>
      </c>
      <c r="D914" t="s">
        <v>5859</v>
      </c>
      <c r="E914">
        <v>307.58999999999997</v>
      </c>
      <c r="F914">
        <v>405881</v>
      </c>
      <c r="G914" s="660">
        <v>44883</v>
      </c>
      <c r="H914" t="s">
        <v>7557</v>
      </c>
    </row>
    <row r="915" spans="1:8">
      <c r="A915">
        <v>502576</v>
      </c>
      <c r="B915" t="s">
        <v>7558</v>
      </c>
      <c r="C915" t="s">
        <v>1966</v>
      </c>
      <c r="D915" t="s">
        <v>5859</v>
      </c>
      <c r="E915">
        <v>0.86099999999999999</v>
      </c>
      <c r="F915">
        <v>406642</v>
      </c>
      <c r="G915" s="660">
        <v>45063</v>
      </c>
      <c r="H915" t="s">
        <v>7559</v>
      </c>
    </row>
    <row r="916" spans="1:8">
      <c r="A916">
        <v>502577</v>
      </c>
      <c r="B916" t="s">
        <v>7560</v>
      </c>
      <c r="C916" t="s">
        <v>1966</v>
      </c>
      <c r="D916" t="s">
        <v>5859</v>
      </c>
      <c r="E916">
        <v>7.28</v>
      </c>
      <c r="F916">
        <v>406630</v>
      </c>
      <c r="G916" s="660">
        <v>45062</v>
      </c>
      <c r="H916" t="s">
        <v>7561</v>
      </c>
    </row>
    <row r="917" spans="1:8">
      <c r="A917">
        <v>502578</v>
      </c>
      <c r="B917" t="s">
        <v>7562</v>
      </c>
      <c r="D917" t="s">
        <v>5859</v>
      </c>
      <c r="G917" s="660"/>
      <c r="H917" t="s">
        <v>7563</v>
      </c>
    </row>
    <row r="918" spans="1:8">
      <c r="A918">
        <v>502579</v>
      </c>
      <c r="B918" t="s">
        <v>7564</v>
      </c>
      <c r="D918" t="s">
        <v>5859</v>
      </c>
      <c r="G918" s="660"/>
      <c r="H918" t="s">
        <v>7565</v>
      </c>
    </row>
    <row r="919" spans="1:8">
      <c r="A919">
        <v>502580</v>
      </c>
      <c r="B919" t="s">
        <v>7566</v>
      </c>
      <c r="D919" t="s">
        <v>5859</v>
      </c>
      <c r="G919" s="660"/>
      <c r="H919" t="s">
        <v>7567</v>
      </c>
    </row>
    <row r="920" spans="1:8">
      <c r="A920">
        <v>502585</v>
      </c>
      <c r="B920" t="s">
        <v>7568</v>
      </c>
      <c r="C920" t="s">
        <v>1966</v>
      </c>
      <c r="D920" t="s">
        <v>5859</v>
      </c>
      <c r="E920">
        <v>32.22</v>
      </c>
      <c r="F920">
        <v>407763</v>
      </c>
      <c r="G920" s="660">
        <v>45302</v>
      </c>
      <c r="H920" t="s">
        <v>7569</v>
      </c>
    </row>
    <row r="921" spans="1:8">
      <c r="A921">
        <v>502586</v>
      </c>
      <c r="B921" t="s">
        <v>7570</v>
      </c>
      <c r="C921" t="s">
        <v>5900</v>
      </c>
      <c r="D921" t="s">
        <v>5901</v>
      </c>
      <c r="E921">
        <v>6.63</v>
      </c>
      <c r="F921">
        <v>405818</v>
      </c>
      <c r="G921" s="660">
        <v>44869</v>
      </c>
      <c r="H921" t="s">
        <v>2293</v>
      </c>
    </row>
    <row r="922" spans="1:8">
      <c r="A922">
        <v>502587</v>
      </c>
      <c r="B922" t="s">
        <v>7571</v>
      </c>
      <c r="C922" t="s">
        <v>1690</v>
      </c>
      <c r="D922" t="s">
        <v>5859</v>
      </c>
      <c r="E922">
        <v>500.74</v>
      </c>
      <c r="F922">
        <v>406138</v>
      </c>
      <c r="G922" s="660">
        <v>44957</v>
      </c>
      <c r="H922" t="s">
        <v>7572</v>
      </c>
    </row>
    <row r="923" spans="1:8">
      <c r="A923">
        <v>502588</v>
      </c>
      <c r="B923" t="s">
        <v>7573</v>
      </c>
      <c r="C923" t="s">
        <v>1690</v>
      </c>
      <c r="D923" t="s">
        <v>5859</v>
      </c>
      <c r="E923">
        <v>1121.6500000000001</v>
      </c>
      <c r="F923">
        <v>406138</v>
      </c>
      <c r="G923" s="660">
        <v>44957</v>
      </c>
      <c r="H923" t="s">
        <v>7574</v>
      </c>
    </row>
    <row r="924" spans="1:8">
      <c r="A924">
        <v>502589</v>
      </c>
      <c r="B924" t="s">
        <v>7575</v>
      </c>
      <c r="C924" t="s">
        <v>1966</v>
      </c>
      <c r="D924" t="s">
        <v>5859</v>
      </c>
      <c r="E924">
        <v>23.34</v>
      </c>
      <c r="F924">
        <v>406630</v>
      </c>
      <c r="G924" s="660">
        <v>45062</v>
      </c>
      <c r="H924" t="s">
        <v>7576</v>
      </c>
    </row>
    <row r="925" spans="1:8">
      <c r="A925">
        <v>502590</v>
      </c>
      <c r="B925" t="s">
        <v>7577</v>
      </c>
      <c r="C925" t="s">
        <v>1966</v>
      </c>
      <c r="D925" t="s">
        <v>5859</v>
      </c>
      <c r="E925">
        <v>0.44640000000000002</v>
      </c>
      <c r="F925">
        <v>406000</v>
      </c>
      <c r="G925" s="660">
        <v>44929</v>
      </c>
      <c r="H925" t="s">
        <v>7578</v>
      </c>
    </row>
    <row r="926" spans="1:8">
      <c r="A926">
        <v>502591</v>
      </c>
      <c r="B926" t="s">
        <v>7579</v>
      </c>
      <c r="C926" t="s">
        <v>6013</v>
      </c>
      <c r="D926" t="s">
        <v>5859</v>
      </c>
      <c r="E926">
        <v>560.4</v>
      </c>
      <c r="F926">
        <v>410271</v>
      </c>
      <c r="G926" s="660">
        <v>45783</v>
      </c>
      <c r="H926" t="s">
        <v>7580</v>
      </c>
    </row>
    <row r="927" spans="1:8">
      <c r="A927">
        <v>502592</v>
      </c>
      <c r="B927" t="s">
        <v>7581</v>
      </c>
      <c r="C927" t="s">
        <v>1690</v>
      </c>
      <c r="D927" t="s">
        <v>5859</v>
      </c>
      <c r="E927">
        <v>68.66</v>
      </c>
      <c r="F927">
        <v>408852</v>
      </c>
      <c r="G927" s="660">
        <v>45491</v>
      </c>
      <c r="H927" t="s">
        <v>7582</v>
      </c>
    </row>
    <row r="928" spans="1:8">
      <c r="A928">
        <v>502594</v>
      </c>
      <c r="B928" t="s">
        <v>7583</v>
      </c>
      <c r="C928" t="s">
        <v>1966</v>
      </c>
      <c r="D928" t="s">
        <v>5859</v>
      </c>
      <c r="E928">
        <v>7.55</v>
      </c>
      <c r="F928">
        <v>406845</v>
      </c>
      <c r="G928" s="660">
        <v>45117</v>
      </c>
      <c r="H928" t="s">
        <v>7584</v>
      </c>
    </row>
    <row r="929" spans="1:8">
      <c r="A929">
        <v>502595</v>
      </c>
      <c r="B929" t="s">
        <v>7585</v>
      </c>
      <c r="C929" t="s">
        <v>1966</v>
      </c>
      <c r="D929" t="s">
        <v>5859</v>
      </c>
      <c r="E929">
        <v>162.22</v>
      </c>
      <c r="F929">
        <v>409894</v>
      </c>
      <c r="G929" s="660">
        <v>45713</v>
      </c>
      <c r="H929" t="s">
        <v>7586</v>
      </c>
    </row>
    <row r="930" spans="1:8">
      <c r="A930">
        <v>502596</v>
      </c>
      <c r="B930" t="s">
        <v>7587</v>
      </c>
      <c r="C930" t="s">
        <v>5951</v>
      </c>
      <c r="D930" t="s">
        <v>5859</v>
      </c>
      <c r="E930">
        <v>19.25</v>
      </c>
      <c r="F930">
        <v>409895</v>
      </c>
      <c r="G930" s="660">
        <v>45713</v>
      </c>
      <c r="H930" t="s">
        <v>7588</v>
      </c>
    </row>
    <row r="931" spans="1:8">
      <c r="A931">
        <v>502597</v>
      </c>
      <c r="B931" t="s">
        <v>7589</v>
      </c>
      <c r="C931" t="s">
        <v>1966</v>
      </c>
      <c r="D931" t="s">
        <v>5859</v>
      </c>
      <c r="E931">
        <v>4.4400000000000004</v>
      </c>
      <c r="F931">
        <v>407337</v>
      </c>
      <c r="G931" s="660">
        <v>45211</v>
      </c>
      <c r="H931" t="s">
        <v>7590</v>
      </c>
    </row>
    <row r="932" spans="1:8">
      <c r="A932">
        <v>502599</v>
      </c>
      <c r="B932" t="s">
        <v>7591</v>
      </c>
      <c r="C932" t="s">
        <v>1966</v>
      </c>
      <c r="D932" t="s">
        <v>5859</v>
      </c>
      <c r="E932">
        <v>3.19</v>
      </c>
      <c r="F932">
        <v>406041</v>
      </c>
      <c r="G932" s="660">
        <v>44938</v>
      </c>
      <c r="H932" t="s">
        <v>7592</v>
      </c>
    </row>
    <row r="933" spans="1:8">
      <c r="A933">
        <v>502600</v>
      </c>
      <c r="B933" t="s">
        <v>7593</v>
      </c>
      <c r="C933" t="s">
        <v>1966</v>
      </c>
      <c r="D933" t="s">
        <v>5859</v>
      </c>
      <c r="E933">
        <v>7.87</v>
      </c>
      <c r="F933">
        <v>406041</v>
      </c>
      <c r="G933" s="660">
        <v>44938</v>
      </c>
      <c r="H933" t="s">
        <v>7594</v>
      </c>
    </row>
    <row r="934" spans="1:8">
      <c r="A934">
        <v>502601</v>
      </c>
      <c r="B934" t="s">
        <v>7595</v>
      </c>
      <c r="C934" t="s">
        <v>1966</v>
      </c>
      <c r="D934" t="s">
        <v>5859</v>
      </c>
      <c r="E934">
        <v>8.44</v>
      </c>
      <c r="F934">
        <v>406577</v>
      </c>
      <c r="G934" s="660">
        <v>45051</v>
      </c>
      <c r="H934" t="s">
        <v>7596</v>
      </c>
    </row>
    <row r="935" spans="1:8">
      <c r="A935">
        <v>502605</v>
      </c>
      <c r="B935" t="s">
        <v>7597</v>
      </c>
      <c r="C935" t="s">
        <v>7598</v>
      </c>
      <c r="D935" t="s">
        <v>5859</v>
      </c>
      <c r="E935">
        <v>1071</v>
      </c>
      <c r="F935">
        <v>407394</v>
      </c>
      <c r="G935" s="660">
        <v>45223</v>
      </c>
      <c r="H935" t="s">
        <v>7599</v>
      </c>
    </row>
    <row r="936" spans="1:8">
      <c r="A936">
        <v>502607</v>
      </c>
      <c r="B936" t="s">
        <v>7600</v>
      </c>
      <c r="C936" t="s">
        <v>1690</v>
      </c>
      <c r="D936" t="s">
        <v>5859</v>
      </c>
      <c r="E936">
        <v>1834.98</v>
      </c>
      <c r="F936">
        <v>406161</v>
      </c>
      <c r="G936" s="660">
        <v>44962</v>
      </c>
      <c r="H936" t="s">
        <v>7601</v>
      </c>
    </row>
    <row r="937" spans="1:8">
      <c r="A937">
        <v>502608</v>
      </c>
      <c r="B937" t="s">
        <v>7602</v>
      </c>
      <c r="C937" t="s">
        <v>1690</v>
      </c>
      <c r="D937" t="s">
        <v>5859</v>
      </c>
      <c r="E937">
        <v>1548.89</v>
      </c>
      <c r="F937">
        <v>406161</v>
      </c>
      <c r="G937" s="660">
        <v>44962</v>
      </c>
      <c r="H937" t="s">
        <v>7603</v>
      </c>
    </row>
    <row r="938" spans="1:8">
      <c r="A938">
        <v>502610</v>
      </c>
      <c r="B938" t="s">
        <v>7604</v>
      </c>
      <c r="C938" t="s">
        <v>6013</v>
      </c>
      <c r="D938" t="s">
        <v>5859</v>
      </c>
      <c r="E938">
        <v>123.14</v>
      </c>
      <c r="F938">
        <v>408565</v>
      </c>
      <c r="G938" s="660">
        <v>45433</v>
      </c>
      <c r="H938" t="s">
        <v>2293</v>
      </c>
    </row>
    <row r="939" spans="1:8">
      <c r="A939">
        <v>502611</v>
      </c>
      <c r="B939" t="s">
        <v>7605</v>
      </c>
      <c r="C939" t="s">
        <v>1966</v>
      </c>
      <c r="D939" t="s">
        <v>5859</v>
      </c>
      <c r="E939">
        <v>12.36</v>
      </c>
      <c r="F939">
        <v>406191</v>
      </c>
      <c r="G939" s="660">
        <v>44970</v>
      </c>
      <c r="H939" t="s">
        <v>7606</v>
      </c>
    </row>
    <row r="940" spans="1:8">
      <c r="A940">
        <v>502612</v>
      </c>
      <c r="B940" t="s">
        <v>7607</v>
      </c>
      <c r="D940" t="s">
        <v>5859</v>
      </c>
      <c r="G940" s="660"/>
      <c r="H940" t="s">
        <v>7608</v>
      </c>
    </row>
    <row r="941" spans="1:8">
      <c r="A941">
        <v>502613</v>
      </c>
      <c r="B941" t="s">
        <v>7609</v>
      </c>
      <c r="C941" t="s">
        <v>1966</v>
      </c>
      <c r="D941" t="s">
        <v>5859</v>
      </c>
      <c r="E941">
        <v>38.79</v>
      </c>
      <c r="F941">
        <v>407636</v>
      </c>
      <c r="G941" s="660">
        <v>45272</v>
      </c>
      <c r="H941" t="s">
        <v>7610</v>
      </c>
    </row>
    <row r="942" spans="1:8">
      <c r="A942">
        <v>502614</v>
      </c>
      <c r="B942" t="s">
        <v>7611</v>
      </c>
      <c r="C942" t="s">
        <v>5442</v>
      </c>
      <c r="D942" t="s">
        <v>5859</v>
      </c>
      <c r="E942">
        <v>576.70000000000005</v>
      </c>
      <c r="F942">
        <v>406994</v>
      </c>
      <c r="G942" s="660">
        <v>45148</v>
      </c>
      <c r="H942" t="s">
        <v>7612</v>
      </c>
    </row>
    <row r="943" spans="1:8">
      <c r="A943">
        <v>502615</v>
      </c>
      <c r="B943" t="s">
        <v>7613</v>
      </c>
      <c r="C943" t="s">
        <v>6497</v>
      </c>
      <c r="D943" t="s">
        <v>5868</v>
      </c>
      <c r="E943">
        <v>0</v>
      </c>
      <c r="F943">
        <v>408729</v>
      </c>
      <c r="G943" s="660">
        <v>45462</v>
      </c>
      <c r="H943" t="s">
        <v>7614</v>
      </c>
    </row>
    <row r="944" spans="1:8">
      <c r="A944">
        <v>502616</v>
      </c>
      <c r="B944" t="s">
        <v>7615</v>
      </c>
      <c r="C944" t="s">
        <v>6013</v>
      </c>
      <c r="D944" t="s">
        <v>5859</v>
      </c>
      <c r="E944">
        <v>1705.5</v>
      </c>
      <c r="F944">
        <v>406354</v>
      </c>
      <c r="G944" s="660">
        <v>44998</v>
      </c>
      <c r="H944" t="s">
        <v>7616</v>
      </c>
    </row>
    <row r="945" spans="1:8">
      <c r="A945">
        <v>502618</v>
      </c>
      <c r="B945" t="s">
        <v>7617</v>
      </c>
      <c r="C945" t="s">
        <v>5442</v>
      </c>
      <c r="D945" t="s">
        <v>5859</v>
      </c>
      <c r="E945">
        <v>532.9</v>
      </c>
      <c r="F945">
        <v>407448</v>
      </c>
      <c r="G945" s="660">
        <v>45231</v>
      </c>
      <c r="H945" t="s">
        <v>7618</v>
      </c>
    </row>
    <row r="946" spans="1:8">
      <c r="A946">
        <v>502619</v>
      </c>
      <c r="B946" t="s">
        <v>7619</v>
      </c>
      <c r="C946" t="s">
        <v>6490</v>
      </c>
      <c r="D946" t="s">
        <v>5859</v>
      </c>
      <c r="E946">
        <v>255</v>
      </c>
      <c r="F946">
        <v>406688</v>
      </c>
      <c r="G946" s="660">
        <v>45072</v>
      </c>
      <c r="H946" t="s">
        <v>7620</v>
      </c>
    </row>
    <row r="947" spans="1:8">
      <c r="A947">
        <v>502620</v>
      </c>
      <c r="B947" t="s">
        <v>7621</v>
      </c>
      <c r="C947" t="s">
        <v>5995</v>
      </c>
      <c r="D947" t="s">
        <v>5859</v>
      </c>
      <c r="E947">
        <v>249.99</v>
      </c>
      <c r="F947">
        <v>406421</v>
      </c>
      <c r="G947" s="660">
        <v>45011</v>
      </c>
      <c r="H947" t="s">
        <v>7622</v>
      </c>
    </row>
    <row r="948" spans="1:8">
      <c r="A948">
        <v>502622</v>
      </c>
      <c r="B948" t="s">
        <v>7623</v>
      </c>
      <c r="C948" t="s">
        <v>7143</v>
      </c>
      <c r="D948" t="s">
        <v>5859</v>
      </c>
      <c r="E948">
        <v>3302.23</v>
      </c>
      <c r="F948">
        <v>407694</v>
      </c>
      <c r="G948" s="660">
        <v>45287</v>
      </c>
      <c r="H948" t="s">
        <v>7624</v>
      </c>
    </row>
    <row r="949" spans="1:8">
      <c r="A949">
        <v>502624</v>
      </c>
      <c r="B949" t="s">
        <v>7625</v>
      </c>
      <c r="C949" t="s">
        <v>7143</v>
      </c>
      <c r="D949" t="s">
        <v>5859</v>
      </c>
      <c r="E949">
        <v>3302.23</v>
      </c>
      <c r="F949">
        <v>407694</v>
      </c>
      <c r="G949" s="660">
        <v>45287</v>
      </c>
      <c r="H949" t="s">
        <v>7626</v>
      </c>
    </row>
    <row r="950" spans="1:8">
      <c r="A950">
        <v>502625</v>
      </c>
      <c r="B950" t="s">
        <v>7627</v>
      </c>
      <c r="C950" t="s">
        <v>7628</v>
      </c>
      <c r="D950" t="s">
        <v>6710</v>
      </c>
      <c r="E950">
        <v>38.86</v>
      </c>
      <c r="F950">
        <v>406259</v>
      </c>
      <c r="G950" s="660">
        <v>44984</v>
      </c>
      <c r="H950" t="s">
        <v>7629</v>
      </c>
    </row>
    <row r="951" spans="1:8">
      <c r="A951">
        <v>502627</v>
      </c>
      <c r="B951" t="s">
        <v>7630</v>
      </c>
      <c r="D951" t="s">
        <v>5859</v>
      </c>
      <c r="G951" s="660"/>
      <c r="H951" t="s">
        <v>7631</v>
      </c>
    </row>
    <row r="952" spans="1:8">
      <c r="A952">
        <v>502629</v>
      </c>
      <c r="B952" t="s">
        <v>7632</v>
      </c>
      <c r="D952" t="s">
        <v>5859</v>
      </c>
      <c r="G952" s="660"/>
      <c r="H952" t="s">
        <v>7633</v>
      </c>
    </row>
    <row r="953" spans="1:8">
      <c r="A953">
        <v>502630</v>
      </c>
      <c r="B953" t="s">
        <v>7634</v>
      </c>
      <c r="C953" t="s">
        <v>1966</v>
      </c>
      <c r="D953" t="s">
        <v>5859</v>
      </c>
      <c r="E953">
        <v>22.22</v>
      </c>
      <c r="F953">
        <v>407128</v>
      </c>
      <c r="G953" s="660">
        <v>45180</v>
      </c>
      <c r="H953" t="s">
        <v>7635</v>
      </c>
    </row>
    <row r="954" spans="1:8">
      <c r="A954">
        <v>502631</v>
      </c>
      <c r="B954" t="s">
        <v>7636</v>
      </c>
      <c r="C954" t="s">
        <v>6347</v>
      </c>
      <c r="D954" t="s">
        <v>5859</v>
      </c>
      <c r="E954">
        <v>378</v>
      </c>
      <c r="F954">
        <v>407582</v>
      </c>
      <c r="G954" s="660">
        <v>45264</v>
      </c>
      <c r="H954" t="s">
        <v>7637</v>
      </c>
    </row>
    <row r="955" spans="1:8">
      <c r="A955">
        <v>502632</v>
      </c>
      <c r="B955" t="s">
        <v>7638</v>
      </c>
      <c r="C955" t="s">
        <v>5442</v>
      </c>
      <c r="D955" t="s">
        <v>5859</v>
      </c>
      <c r="E955">
        <v>457.27</v>
      </c>
      <c r="F955">
        <v>408479</v>
      </c>
      <c r="G955" s="660">
        <v>45419</v>
      </c>
      <c r="H955" t="s">
        <v>7639</v>
      </c>
    </row>
    <row r="956" spans="1:8">
      <c r="A956">
        <v>502634</v>
      </c>
      <c r="B956" t="s">
        <v>7640</v>
      </c>
      <c r="C956" t="s">
        <v>1966</v>
      </c>
      <c r="D956" t="s">
        <v>5859</v>
      </c>
      <c r="E956">
        <v>89.79</v>
      </c>
      <c r="F956">
        <v>406380</v>
      </c>
      <c r="G956" s="660">
        <v>45005</v>
      </c>
      <c r="H956" t="s">
        <v>7641</v>
      </c>
    </row>
    <row r="957" spans="1:8">
      <c r="A957">
        <v>502635</v>
      </c>
      <c r="B957" t="s">
        <v>7642</v>
      </c>
      <c r="C957" t="s">
        <v>1966</v>
      </c>
      <c r="D957" t="s">
        <v>5859</v>
      </c>
      <c r="E957">
        <v>27.2</v>
      </c>
      <c r="F957">
        <v>406380</v>
      </c>
      <c r="G957" s="660">
        <v>45005</v>
      </c>
      <c r="H957" t="s">
        <v>7643</v>
      </c>
    </row>
    <row r="958" spans="1:8">
      <c r="A958">
        <v>502636</v>
      </c>
      <c r="B958" t="s">
        <v>7644</v>
      </c>
      <c r="C958" t="s">
        <v>1966</v>
      </c>
      <c r="D958" t="s">
        <v>5859</v>
      </c>
      <c r="E958">
        <v>1.2230000000000001</v>
      </c>
      <c r="F958">
        <v>406380</v>
      </c>
      <c r="G958" s="660">
        <v>45005</v>
      </c>
      <c r="H958" t="s">
        <v>7645</v>
      </c>
    </row>
    <row r="959" spans="1:8">
      <c r="A959">
        <v>502637</v>
      </c>
      <c r="B959" t="s">
        <v>7646</v>
      </c>
      <c r="C959" t="s">
        <v>1966</v>
      </c>
      <c r="D959" t="s">
        <v>5859</v>
      </c>
      <c r="E959">
        <v>25.64</v>
      </c>
      <c r="F959">
        <v>407599</v>
      </c>
      <c r="G959" s="660">
        <v>45266</v>
      </c>
      <c r="H959" t="s">
        <v>7647</v>
      </c>
    </row>
    <row r="960" spans="1:8">
      <c r="A960">
        <v>502638</v>
      </c>
      <c r="B960" t="s">
        <v>7648</v>
      </c>
      <c r="C960" t="s">
        <v>1966</v>
      </c>
      <c r="D960" t="s">
        <v>5859</v>
      </c>
      <c r="E960">
        <v>4.2699999999999996</v>
      </c>
      <c r="F960">
        <v>406380</v>
      </c>
      <c r="G960" s="660">
        <v>45005</v>
      </c>
      <c r="H960" t="s">
        <v>7649</v>
      </c>
    </row>
    <row r="961" spans="1:8">
      <c r="A961">
        <v>502639</v>
      </c>
      <c r="B961" t="s">
        <v>7650</v>
      </c>
      <c r="C961" t="s">
        <v>7651</v>
      </c>
      <c r="D961" t="s">
        <v>5859</v>
      </c>
      <c r="E961">
        <v>16</v>
      </c>
      <c r="F961">
        <v>406368</v>
      </c>
      <c r="G961" s="660">
        <v>45000</v>
      </c>
      <c r="H961" t="s">
        <v>7652</v>
      </c>
    </row>
    <row r="962" spans="1:8">
      <c r="A962">
        <v>502641</v>
      </c>
      <c r="B962" t="s">
        <v>7653</v>
      </c>
      <c r="D962" t="s">
        <v>5859</v>
      </c>
      <c r="G962" s="660"/>
      <c r="H962" t="s">
        <v>7654</v>
      </c>
    </row>
    <row r="963" spans="1:8">
      <c r="A963">
        <v>502643</v>
      </c>
      <c r="B963" t="s">
        <v>7655</v>
      </c>
      <c r="C963" t="s">
        <v>6352</v>
      </c>
      <c r="D963" t="s">
        <v>5859</v>
      </c>
      <c r="E963">
        <v>762.56</v>
      </c>
      <c r="F963">
        <v>407074</v>
      </c>
      <c r="G963" s="660">
        <v>45166</v>
      </c>
      <c r="H963" t="s">
        <v>7656</v>
      </c>
    </row>
    <row r="964" spans="1:8">
      <c r="A964">
        <v>502644</v>
      </c>
      <c r="B964" t="s">
        <v>7657</v>
      </c>
      <c r="C964" t="s">
        <v>1930</v>
      </c>
      <c r="D964" t="s">
        <v>5859</v>
      </c>
      <c r="E964">
        <v>4.12</v>
      </c>
      <c r="F964">
        <v>407952</v>
      </c>
      <c r="G964" s="660">
        <v>45329</v>
      </c>
      <c r="H964" t="s">
        <v>7658</v>
      </c>
    </row>
    <row r="965" spans="1:8">
      <c r="A965">
        <v>502645</v>
      </c>
      <c r="B965" t="s">
        <v>7659</v>
      </c>
      <c r="C965" t="s">
        <v>1966</v>
      </c>
      <c r="D965" t="s">
        <v>5859</v>
      </c>
      <c r="E965">
        <v>8.1999999999999993</v>
      </c>
      <c r="F965">
        <v>407338</v>
      </c>
      <c r="G965" s="660">
        <v>45212</v>
      </c>
      <c r="H965" t="s">
        <v>7660</v>
      </c>
    </row>
    <row r="966" spans="1:8">
      <c r="A966">
        <v>502646</v>
      </c>
      <c r="B966" t="s">
        <v>7661</v>
      </c>
      <c r="C966" t="s">
        <v>1966</v>
      </c>
      <c r="D966" t="s">
        <v>5859</v>
      </c>
      <c r="E966">
        <v>5.4</v>
      </c>
      <c r="F966">
        <v>407338</v>
      </c>
      <c r="G966" s="660">
        <v>45212</v>
      </c>
      <c r="H966" t="s">
        <v>7662</v>
      </c>
    </row>
    <row r="967" spans="1:8">
      <c r="A967">
        <v>502647</v>
      </c>
      <c r="B967" t="s">
        <v>7663</v>
      </c>
      <c r="C967" t="s">
        <v>1966</v>
      </c>
      <c r="D967" t="s">
        <v>5859</v>
      </c>
      <c r="E967">
        <v>16.45</v>
      </c>
      <c r="F967">
        <v>407444</v>
      </c>
      <c r="G967" s="660">
        <v>45231</v>
      </c>
      <c r="H967" t="s">
        <v>7664</v>
      </c>
    </row>
    <row r="968" spans="1:8">
      <c r="A968">
        <v>502648</v>
      </c>
      <c r="B968" t="s">
        <v>7665</v>
      </c>
      <c r="C968" t="s">
        <v>1966</v>
      </c>
      <c r="D968" t="s">
        <v>5859</v>
      </c>
      <c r="E968">
        <v>10.08</v>
      </c>
      <c r="F968">
        <v>407338</v>
      </c>
      <c r="G968" s="660">
        <v>45212</v>
      </c>
      <c r="H968" t="s">
        <v>7666</v>
      </c>
    </row>
    <row r="969" spans="1:8">
      <c r="A969">
        <v>502649</v>
      </c>
      <c r="B969" t="s">
        <v>7667</v>
      </c>
      <c r="C969" t="s">
        <v>1966</v>
      </c>
      <c r="D969" t="s">
        <v>5859</v>
      </c>
      <c r="E969">
        <v>11.6</v>
      </c>
      <c r="F969">
        <v>407338</v>
      </c>
      <c r="G969" s="660">
        <v>45212</v>
      </c>
      <c r="H969" t="s">
        <v>7668</v>
      </c>
    </row>
    <row r="970" spans="1:8">
      <c r="A970">
        <v>502650</v>
      </c>
      <c r="B970" t="s">
        <v>7669</v>
      </c>
      <c r="C970" t="s">
        <v>1966</v>
      </c>
      <c r="D970" t="s">
        <v>5859</v>
      </c>
      <c r="E970">
        <v>25.79</v>
      </c>
      <c r="F970">
        <v>407338</v>
      </c>
      <c r="G970" s="660">
        <v>45212</v>
      </c>
      <c r="H970" t="s">
        <v>7670</v>
      </c>
    </row>
    <row r="971" spans="1:8">
      <c r="A971">
        <v>502651</v>
      </c>
      <c r="B971" t="s">
        <v>7671</v>
      </c>
      <c r="C971" t="s">
        <v>1966</v>
      </c>
      <c r="D971" t="s">
        <v>5859</v>
      </c>
      <c r="E971">
        <v>17.38</v>
      </c>
      <c r="F971">
        <v>407444</v>
      </c>
      <c r="G971" s="660">
        <v>45231</v>
      </c>
      <c r="H971" t="s">
        <v>7672</v>
      </c>
    </row>
    <row r="972" spans="1:8">
      <c r="A972">
        <v>502652</v>
      </c>
      <c r="B972" t="s">
        <v>7673</v>
      </c>
      <c r="C972" t="s">
        <v>1966</v>
      </c>
      <c r="D972" t="s">
        <v>5859</v>
      </c>
      <c r="E972">
        <v>16</v>
      </c>
      <c r="F972">
        <v>408091</v>
      </c>
      <c r="G972" s="660">
        <v>45355</v>
      </c>
      <c r="H972" t="s">
        <v>7674</v>
      </c>
    </row>
    <row r="973" spans="1:8">
      <c r="A973">
        <v>502653</v>
      </c>
      <c r="B973" t="s">
        <v>7675</v>
      </c>
      <c r="C973" t="s">
        <v>1966</v>
      </c>
      <c r="D973" t="s">
        <v>5859</v>
      </c>
      <c r="E973">
        <v>3.75</v>
      </c>
      <c r="F973">
        <v>406426</v>
      </c>
      <c r="G973" s="660">
        <v>45012</v>
      </c>
      <c r="H973" t="s">
        <v>7676</v>
      </c>
    </row>
    <row r="974" spans="1:8">
      <c r="A974">
        <v>502654</v>
      </c>
      <c r="B974" t="s">
        <v>7677</v>
      </c>
      <c r="C974" t="s">
        <v>7678</v>
      </c>
      <c r="D974" t="s">
        <v>5859</v>
      </c>
      <c r="E974">
        <v>217.04</v>
      </c>
      <c r="F974">
        <v>408788</v>
      </c>
      <c r="G974" s="660">
        <v>45476</v>
      </c>
      <c r="H974" t="s">
        <v>7679</v>
      </c>
    </row>
    <row r="975" spans="1:8">
      <c r="A975">
        <v>502655</v>
      </c>
      <c r="B975" t="s">
        <v>7680</v>
      </c>
      <c r="C975" t="s">
        <v>7678</v>
      </c>
      <c r="D975" t="s">
        <v>5859</v>
      </c>
      <c r="E975">
        <v>32.82</v>
      </c>
      <c r="F975">
        <v>408788</v>
      </c>
      <c r="G975" s="660">
        <v>45476</v>
      </c>
      <c r="H975" t="s">
        <v>7681</v>
      </c>
    </row>
    <row r="976" spans="1:8">
      <c r="A976">
        <v>502656</v>
      </c>
      <c r="B976" t="s">
        <v>7682</v>
      </c>
      <c r="C976" t="s">
        <v>6352</v>
      </c>
      <c r="D976" t="s">
        <v>5859</v>
      </c>
      <c r="E976">
        <v>286.32</v>
      </c>
      <c r="F976">
        <v>407074</v>
      </c>
      <c r="G976" s="660">
        <v>45166</v>
      </c>
      <c r="H976" t="s">
        <v>7683</v>
      </c>
    </row>
    <row r="977" spans="1:8">
      <c r="A977">
        <v>502657</v>
      </c>
      <c r="B977" t="s">
        <v>7684</v>
      </c>
      <c r="C977" t="s">
        <v>7685</v>
      </c>
      <c r="D977" t="s">
        <v>5859</v>
      </c>
      <c r="E977">
        <v>0</v>
      </c>
      <c r="F977">
        <v>406939</v>
      </c>
      <c r="G977" s="660">
        <v>45135</v>
      </c>
      <c r="H977" t="s">
        <v>7686</v>
      </c>
    </row>
    <row r="978" spans="1:8">
      <c r="A978">
        <v>502658</v>
      </c>
      <c r="B978" t="s">
        <v>7687</v>
      </c>
      <c r="C978" t="s">
        <v>7685</v>
      </c>
      <c r="D978" t="s">
        <v>5859</v>
      </c>
      <c r="E978">
        <v>8220</v>
      </c>
      <c r="F978">
        <v>406434</v>
      </c>
      <c r="G978" s="660">
        <v>45016</v>
      </c>
      <c r="H978" t="s">
        <v>7688</v>
      </c>
    </row>
    <row r="979" spans="1:8">
      <c r="A979">
        <v>502659</v>
      </c>
      <c r="B979" t="s">
        <v>7689</v>
      </c>
      <c r="C979" t="s">
        <v>7685</v>
      </c>
      <c r="D979" t="s">
        <v>5859</v>
      </c>
      <c r="E979">
        <v>1516.5</v>
      </c>
      <c r="F979">
        <v>406434</v>
      </c>
      <c r="G979" s="660">
        <v>45016</v>
      </c>
      <c r="H979" t="s">
        <v>7690</v>
      </c>
    </row>
    <row r="980" spans="1:8">
      <c r="A980">
        <v>502660</v>
      </c>
      <c r="B980" t="s">
        <v>7691</v>
      </c>
      <c r="C980" t="s">
        <v>6684</v>
      </c>
      <c r="D980" t="s">
        <v>5859</v>
      </c>
      <c r="E980">
        <v>55.05</v>
      </c>
      <c r="F980">
        <v>409388</v>
      </c>
      <c r="G980" s="660">
        <v>45600</v>
      </c>
      <c r="H980" t="s">
        <v>7692</v>
      </c>
    </row>
    <row r="981" spans="1:8">
      <c r="A981">
        <v>502661</v>
      </c>
      <c r="B981" t="s">
        <v>7693</v>
      </c>
      <c r="C981" t="s">
        <v>5951</v>
      </c>
      <c r="D981" t="s">
        <v>5859</v>
      </c>
      <c r="E981">
        <v>92.48</v>
      </c>
      <c r="F981">
        <v>406898</v>
      </c>
      <c r="G981" s="660">
        <v>45127</v>
      </c>
      <c r="H981" t="s">
        <v>7694</v>
      </c>
    </row>
    <row r="982" spans="1:8">
      <c r="A982">
        <v>502662</v>
      </c>
      <c r="B982" t="s">
        <v>7695</v>
      </c>
      <c r="D982" t="s">
        <v>5859</v>
      </c>
      <c r="G982" s="660"/>
      <c r="H982" t="s">
        <v>6648</v>
      </c>
    </row>
    <row r="983" spans="1:8">
      <c r="A983">
        <v>502672</v>
      </c>
      <c r="B983" t="s">
        <v>7696</v>
      </c>
      <c r="C983" t="s">
        <v>1665</v>
      </c>
      <c r="D983" t="s">
        <v>5859</v>
      </c>
      <c r="E983">
        <v>349.57</v>
      </c>
      <c r="F983">
        <v>408749</v>
      </c>
      <c r="G983" s="660">
        <v>45468</v>
      </c>
      <c r="H983" t="s">
        <v>7697</v>
      </c>
    </row>
    <row r="984" spans="1:8">
      <c r="A984">
        <v>502674</v>
      </c>
      <c r="B984" t="s">
        <v>7033</v>
      </c>
      <c r="C984" t="s">
        <v>1690</v>
      </c>
      <c r="D984" t="s">
        <v>5859</v>
      </c>
      <c r="E984">
        <v>1039.82</v>
      </c>
      <c r="F984">
        <v>409262</v>
      </c>
      <c r="G984" s="660">
        <v>45575</v>
      </c>
      <c r="H984" t="s">
        <v>7034</v>
      </c>
    </row>
    <row r="985" spans="1:8">
      <c r="A985">
        <v>502675</v>
      </c>
      <c r="B985" t="s">
        <v>7698</v>
      </c>
      <c r="C985" t="s">
        <v>1665</v>
      </c>
      <c r="D985" t="s">
        <v>5859</v>
      </c>
      <c r="E985">
        <v>504.39</v>
      </c>
      <c r="F985">
        <v>408361</v>
      </c>
      <c r="G985" s="660">
        <v>45401</v>
      </c>
      <c r="H985" t="s">
        <v>7056</v>
      </c>
    </row>
    <row r="986" spans="1:8">
      <c r="A986">
        <v>502676</v>
      </c>
      <c r="B986" t="s">
        <v>7699</v>
      </c>
      <c r="D986" t="s">
        <v>5859</v>
      </c>
      <c r="G986" s="660"/>
      <c r="H986" t="s">
        <v>7700</v>
      </c>
    </row>
    <row r="987" spans="1:8">
      <c r="A987">
        <v>502677</v>
      </c>
      <c r="B987" t="s">
        <v>7701</v>
      </c>
      <c r="D987" t="s">
        <v>5859</v>
      </c>
      <c r="G987" s="660"/>
      <c r="H987" t="s">
        <v>7702</v>
      </c>
    </row>
    <row r="988" spans="1:8">
      <c r="A988">
        <v>502678</v>
      </c>
      <c r="B988" t="s">
        <v>7703</v>
      </c>
      <c r="C988" t="s">
        <v>5951</v>
      </c>
      <c r="D988" t="s">
        <v>5859</v>
      </c>
      <c r="E988">
        <v>3423</v>
      </c>
      <c r="F988">
        <v>409410</v>
      </c>
      <c r="G988" s="660">
        <v>45607</v>
      </c>
      <c r="H988" t="s">
        <v>7704</v>
      </c>
    </row>
    <row r="989" spans="1:8">
      <c r="A989">
        <v>502679</v>
      </c>
      <c r="B989" t="s">
        <v>7705</v>
      </c>
      <c r="C989" t="s">
        <v>7143</v>
      </c>
      <c r="D989" t="s">
        <v>5859</v>
      </c>
      <c r="E989">
        <v>3302.23</v>
      </c>
      <c r="F989">
        <v>408822</v>
      </c>
      <c r="G989" s="660">
        <v>45488</v>
      </c>
      <c r="H989" t="s">
        <v>7706</v>
      </c>
    </row>
    <row r="990" spans="1:8">
      <c r="A990">
        <v>502680</v>
      </c>
      <c r="B990" t="s">
        <v>7707</v>
      </c>
      <c r="C990" t="s">
        <v>1665</v>
      </c>
      <c r="D990" t="s">
        <v>5859</v>
      </c>
      <c r="E990">
        <v>24.52</v>
      </c>
      <c r="F990">
        <v>406629</v>
      </c>
      <c r="G990" s="660">
        <v>45062</v>
      </c>
      <c r="H990" t="s">
        <v>7708</v>
      </c>
    </row>
    <row r="991" spans="1:8">
      <c r="A991">
        <v>502681</v>
      </c>
      <c r="B991" t="s">
        <v>7709</v>
      </c>
      <c r="C991" t="s">
        <v>1665</v>
      </c>
      <c r="D991" t="s">
        <v>5859</v>
      </c>
      <c r="E991">
        <v>0</v>
      </c>
      <c r="F991">
        <v>407057</v>
      </c>
      <c r="G991" s="660">
        <v>45161</v>
      </c>
      <c r="H991" t="s">
        <v>7710</v>
      </c>
    </row>
    <row r="992" spans="1:8">
      <c r="A992">
        <v>502682</v>
      </c>
      <c r="B992" t="s">
        <v>7711</v>
      </c>
      <c r="C992" t="s">
        <v>5442</v>
      </c>
      <c r="D992" t="s">
        <v>5859</v>
      </c>
      <c r="E992">
        <v>7.02</v>
      </c>
      <c r="F992">
        <v>407831</v>
      </c>
      <c r="G992" s="660">
        <v>45314</v>
      </c>
      <c r="H992" t="s">
        <v>7712</v>
      </c>
    </row>
    <row r="993" spans="1:8">
      <c r="A993">
        <v>502683</v>
      </c>
      <c r="B993" t="s">
        <v>7713</v>
      </c>
      <c r="C993" t="s">
        <v>1966</v>
      </c>
      <c r="D993" t="s">
        <v>5859</v>
      </c>
      <c r="E993">
        <v>3.81</v>
      </c>
      <c r="F993">
        <v>407706</v>
      </c>
      <c r="G993" s="660">
        <v>45289</v>
      </c>
      <c r="H993" t="s">
        <v>7714</v>
      </c>
    </row>
    <row r="994" spans="1:8">
      <c r="A994">
        <v>502684</v>
      </c>
      <c r="B994" t="s">
        <v>7715</v>
      </c>
      <c r="C994" t="s">
        <v>6490</v>
      </c>
      <c r="D994" t="s">
        <v>5859</v>
      </c>
      <c r="E994">
        <v>44.4</v>
      </c>
      <c r="F994">
        <v>406688</v>
      </c>
      <c r="G994" s="660">
        <v>45072</v>
      </c>
      <c r="H994" t="s">
        <v>7716</v>
      </c>
    </row>
    <row r="995" spans="1:8">
      <c r="A995">
        <v>502685</v>
      </c>
      <c r="B995" t="s">
        <v>7717</v>
      </c>
      <c r="C995" t="s">
        <v>5941</v>
      </c>
      <c r="D995" t="s">
        <v>5859</v>
      </c>
      <c r="E995">
        <v>27.41</v>
      </c>
      <c r="F995">
        <v>406689</v>
      </c>
      <c r="G995" s="660">
        <v>45072</v>
      </c>
      <c r="H995" t="s">
        <v>7718</v>
      </c>
    </row>
    <row r="996" spans="1:8">
      <c r="A996">
        <v>502686</v>
      </c>
      <c r="B996" t="s">
        <v>7719</v>
      </c>
      <c r="C996" t="s">
        <v>1930</v>
      </c>
      <c r="D996" t="s">
        <v>5859</v>
      </c>
      <c r="E996">
        <v>20.6</v>
      </c>
      <c r="F996">
        <v>407934</v>
      </c>
      <c r="G996" s="660">
        <v>45327</v>
      </c>
      <c r="H996" t="s">
        <v>7720</v>
      </c>
    </row>
    <row r="997" spans="1:8">
      <c r="A997">
        <v>502689</v>
      </c>
      <c r="B997" t="s">
        <v>7721</v>
      </c>
      <c r="C997" t="s">
        <v>1966</v>
      </c>
      <c r="D997" t="s">
        <v>5859</v>
      </c>
      <c r="E997">
        <v>4.4000000000000004</v>
      </c>
      <c r="F997">
        <v>406891</v>
      </c>
      <c r="G997" s="660">
        <v>45127</v>
      </c>
      <c r="H997" t="s">
        <v>7722</v>
      </c>
    </row>
    <row r="998" spans="1:8">
      <c r="A998">
        <v>502690</v>
      </c>
      <c r="B998" t="s">
        <v>7723</v>
      </c>
      <c r="C998" t="s">
        <v>1966</v>
      </c>
      <c r="D998" t="s">
        <v>5859</v>
      </c>
      <c r="E998">
        <v>6.36</v>
      </c>
      <c r="F998">
        <v>407128</v>
      </c>
      <c r="G998" s="660">
        <v>45180</v>
      </c>
      <c r="H998" t="s">
        <v>7724</v>
      </c>
    </row>
    <row r="999" spans="1:8">
      <c r="A999">
        <v>502691</v>
      </c>
      <c r="B999" t="s">
        <v>7725</v>
      </c>
      <c r="C999" t="s">
        <v>6684</v>
      </c>
      <c r="D999" t="s">
        <v>5859</v>
      </c>
      <c r="E999">
        <v>48.21</v>
      </c>
      <c r="F999">
        <v>407080</v>
      </c>
      <c r="G999" s="660">
        <v>45167</v>
      </c>
      <c r="H999" t="s">
        <v>7726</v>
      </c>
    </row>
    <row r="1000" spans="1:8">
      <c r="A1000">
        <v>502692</v>
      </c>
      <c r="B1000" t="s">
        <v>7727</v>
      </c>
      <c r="C1000" t="s">
        <v>1908</v>
      </c>
      <c r="D1000" t="s">
        <v>5859</v>
      </c>
      <c r="E1000">
        <v>49.87</v>
      </c>
      <c r="F1000">
        <v>407040</v>
      </c>
      <c r="G1000" s="660">
        <v>45166</v>
      </c>
      <c r="H1000" t="s">
        <v>7728</v>
      </c>
    </row>
    <row r="1001" spans="1:8">
      <c r="A1001">
        <v>502694</v>
      </c>
      <c r="B1001" t="s">
        <v>7729</v>
      </c>
      <c r="D1001" t="s">
        <v>5859</v>
      </c>
      <c r="G1001" s="660"/>
      <c r="H1001" t="s">
        <v>2293</v>
      </c>
    </row>
    <row r="1002" spans="1:8">
      <c r="A1002">
        <v>502695</v>
      </c>
      <c r="B1002" t="s">
        <v>7730</v>
      </c>
      <c r="C1002" t="s">
        <v>1930</v>
      </c>
      <c r="D1002" t="s">
        <v>6830</v>
      </c>
      <c r="E1002">
        <v>16.13</v>
      </c>
      <c r="F1002">
        <v>409341</v>
      </c>
      <c r="G1002" s="660">
        <v>45589</v>
      </c>
      <c r="H1002" t="s">
        <v>7731</v>
      </c>
    </row>
    <row r="1003" spans="1:8">
      <c r="A1003">
        <v>502696</v>
      </c>
      <c r="B1003" t="s">
        <v>7732</v>
      </c>
      <c r="C1003" t="s">
        <v>1966</v>
      </c>
      <c r="D1003" t="s">
        <v>5859</v>
      </c>
      <c r="E1003">
        <v>13.76</v>
      </c>
      <c r="F1003">
        <v>408300</v>
      </c>
      <c r="G1003" s="660">
        <v>45391</v>
      </c>
      <c r="H1003" t="s">
        <v>7733</v>
      </c>
    </row>
    <row r="1004" spans="1:8">
      <c r="A1004">
        <v>502697</v>
      </c>
      <c r="B1004" t="s">
        <v>7734</v>
      </c>
      <c r="D1004" t="s">
        <v>5859</v>
      </c>
      <c r="G1004" s="660"/>
      <c r="H1004" t="s">
        <v>7735</v>
      </c>
    </row>
    <row r="1005" spans="1:8">
      <c r="A1005">
        <v>502698</v>
      </c>
      <c r="B1005" t="s">
        <v>7736</v>
      </c>
      <c r="C1005" t="s">
        <v>7737</v>
      </c>
      <c r="D1005" t="s">
        <v>5859</v>
      </c>
      <c r="E1005">
        <v>3420</v>
      </c>
      <c r="F1005">
        <v>408365</v>
      </c>
      <c r="G1005" s="660">
        <v>45404</v>
      </c>
      <c r="H1005" t="s">
        <v>7738</v>
      </c>
    </row>
    <row r="1006" spans="1:8">
      <c r="A1006">
        <v>502699</v>
      </c>
      <c r="B1006" t="s">
        <v>7739</v>
      </c>
      <c r="C1006" t="s">
        <v>1665</v>
      </c>
      <c r="D1006" t="s">
        <v>5859</v>
      </c>
      <c r="E1006">
        <v>53.18</v>
      </c>
      <c r="F1006">
        <v>407051</v>
      </c>
      <c r="G1006" s="660">
        <v>45161</v>
      </c>
      <c r="H1006" t="s">
        <v>2293</v>
      </c>
    </row>
    <row r="1007" spans="1:8">
      <c r="A1007">
        <v>502700</v>
      </c>
      <c r="B1007" t="s">
        <v>7740</v>
      </c>
      <c r="C1007" t="s">
        <v>1966</v>
      </c>
      <c r="D1007" t="s">
        <v>5859</v>
      </c>
      <c r="E1007">
        <v>15.48</v>
      </c>
      <c r="F1007">
        <v>407035</v>
      </c>
      <c r="G1007" s="660">
        <v>45159</v>
      </c>
      <c r="H1007" t="s">
        <v>7741</v>
      </c>
    </row>
    <row r="1008" spans="1:8">
      <c r="A1008">
        <v>502701</v>
      </c>
      <c r="B1008" t="s">
        <v>7742</v>
      </c>
      <c r="C1008" t="s">
        <v>1966</v>
      </c>
      <c r="D1008" t="s">
        <v>5859</v>
      </c>
      <c r="E1008">
        <v>7</v>
      </c>
      <c r="F1008">
        <v>407763</v>
      </c>
      <c r="G1008" s="660">
        <v>45302</v>
      </c>
      <c r="H1008" t="s">
        <v>7743</v>
      </c>
    </row>
    <row r="1009" spans="1:8">
      <c r="A1009">
        <v>502702</v>
      </c>
      <c r="B1009" t="s">
        <v>7744</v>
      </c>
      <c r="C1009" t="s">
        <v>1665</v>
      </c>
      <c r="D1009" t="s">
        <v>5859</v>
      </c>
      <c r="E1009">
        <v>524.53</v>
      </c>
      <c r="F1009">
        <v>408719</v>
      </c>
      <c r="G1009" s="660">
        <v>45460</v>
      </c>
      <c r="H1009" t="s">
        <v>7745</v>
      </c>
    </row>
    <row r="1010" spans="1:8">
      <c r="A1010">
        <v>502703</v>
      </c>
      <c r="B1010" t="s">
        <v>7746</v>
      </c>
      <c r="C1010" t="s">
        <v>1665</v>
      </c>
      <c r="D1010" t="s">
        <v>5859</v>
      </c>
      <c r="E1010">
        <v>425.54</v>
      </c>
      <c r="F1010">
        <v>408719</v>
      </c>
      <c r="G1010" s="660">
        <v>45460</v>
      </c>
      <c r="H1010" t="s">
        <v>7747</v>
      </c>
    </row>
    <row r="1011" spans="1:8">
      <c r="A1011">
        <v>502705</v>
      </c>
      <c r="B1011" t="s">
        <v>7748</v>
      </c>
      <c r="C1011" t="s">
        <v>1665</v>
      </c>
      <c r="D1011" t="s">
        <v>5859</v>
      </c>
      <c r="E1011">
        <v>450.43</v>
      </c>
      <c r="F1011">
        <v>408524</v>
      </c>
      <c r="G1011" s="660">
        <v>45427</v>
      </c>
      <c r="H1011" t="s">
        <v>7749</v>
      </c>
    </row>
    <row r="1012" spans="1:8">
      <c r="A1012">
        <v>502706</v>
      </c>
      <c r="B1012" t="s">
        <v>7750</v>
      </c>
      <c r="C1012" t="s">
        <v>6013</v>
      </c>
      <c r="D1012" t="s">
        <v>5859</v>
      </c>
      <c r="E1012">
        <v>0</v>
      </c>
      <c r="F1012">
        <v>407255</v>
      </c>
      <c r="G1012" s="660">
        <v>45198</v>
      </c>
      <c r="H1012" t="s">
        <v>7751</v>
      </c>
    </row>
    <row r="1013" spans="1:8">
      <c r="A1013">
        <v>502707</v>
      </c>
      <c r="B1013" t="s">
        <v>7752</v>
      </c>
      <c r="C1013" t="s">
        <v>1665</v>
      </c>
      <c r="D1013" t="s">
        <v>5859</v>
      </c>
      <c r="E1013">
        <v>0</v>
      </c>
      <c r="F1013">
        <v>408750</v>
      </c>
      <c r="G1013" s="660">
        <v>45468</v>
      </c>
      <c r="H1013" t="s">
        <v>7753</v>
      </c>
    </row>
    <row r="1014" spans="1:8">
      <c r="A1014">
        <v>502708</v>
      </c>
      <c r="B1014" t="s">
        <v>7754</v>
      </c>
      <c r="C1014" t="s">
        <v>1665</v>
      </c>
      <c r="D1014" t="s">
        <v>5859</v>
      </c>
      <c r="E1014">
        <v>524.53</v>
      </c>
      <c r="F1014">
        <v>408719</v>
      </c>
      <c r="G1014" s="660">
        <v>45460</v>
      </c>
      <c r="H1014" t="s">
        <v>7745</v>
      </c>
    </row>
    <row r="1015" spans="1:8">
      <c r="A1015">
        <v>502710</v>
      </c>
      <c r="B1015" t="s">
        <v>7755</v>
      </c>
      <c r="C1015" t="s">
        <v>1665</v>
      </c>
      <c r="D1015" t="s">
        <v>5859</v>
      </c>
      <c r="E1015">
        <v>203.15</v>
      </c>
      <c r="F1015">
        <v>408524</v>
      </c>
      <c r="G1015" s="660">
        <v>45427</v>
      </c>
      <c r="H1015" t="s">
        <v>7756</v>
      </c>
    </row>
    <row r="1016" spans="1:8">
      <c r="A1016">
        <v>502715</v>
      </c>
      <c r="B1016" t="s">
        <v>5953</v>
      </c>
      <c r="C1016" t="s">
        <v>1665</v>
      </c>
      <c r="D1016" t="s">
        <v>5859</v>
      </c>
      <c r="E1016">
        <v>441.57</v>
      </c>
      <c r="F1016">
        <v>409346</v>
      </c>
      <c r="G1016" s="660">
        <v>45590</v>
      </c>
      <c r="H1016" t="s">
        <v>7757</v>
      </c>
    </row>
    <row r="1017" spans="1:8">
      <c r="A1017">
        <v>502717</v>
      </c>
      <c r="B1017" t="s">
        <v>7758</v>
      </c>
      <c r="C1017" t="s">
        <v>1966</v>
      </c>
      <c r="D1017" t="s">
        <v>5859</v>
      </c>
      <c r="E1017">
        <v>55.21</v>
      </c>
      <c r="F1017">
        <v>407766</v>
      </c>
      <c r="G1017" s="660">
        <v>45302</v>
      </c>
      <c r="H1017" t="s">
        <v>7759</v>
      </c>
    </row>
    <row r="1018" spans="1:8">
      <c r="A1018">
        <v>502718</v>
      </c>
      <c r="B1018" t="s">
        <v>7760</v>
      </c>
      <c r="C1018" t="s">
        <v>1690</v>
      </c>
      <c r="D1018" t="s">
        <v>5859</v>
      </c>
      <c r="E1018">
        <v>954.42</v>
      </c>
      <c r="F1018">
        <v>409354</v>
      </c>
      <c r="G1018" s="660">
        <v>45593</v>
      </c>
      <c r="H1018" t="s">
        <v>7761</v>
      </c>
    </row>
    <row r="1019" spans="1:8">
      <c r="A1019">
        <v>502719</v>
      </c>
      <c r="B1019" t="s">
        <v>7762</v>
      </c>
      <c r="C1019" t="s">
        <v>5900</v>
      </c>
      <c r="D1019" t="s">
        <v>5859</v>
      </c>
      <c r="E1019">
        <v>69.17</v>
      </c>
      <c r="F1019">
        <v>406950</v>
      </c>
      <c r="G1019" s="660">
        <v>45139</v>
      </c>
      <c r="H1019" t="s">
        <v>7763</v>
      </c>
    </row>
    <row r="1020" spans="1:8">
      <c r="A1020">
        <v>502720</v>
      </c>
      <c r="B1020" t="s">
        <v>7764</v>
      </c>
      <c r="C1020" t="s">
        <v>5900</v>
      </c>
      <c r="D1020" t="s">
        <v>5859</v>
      </c>
      <c r="E1020">
        <v>5.96</v>
      </c>
      <c r="F1020">
        <v>406950</v>
      </c>
      <c r="G1020" s="660">
        <v>45139</v>
      </c>
      <c r="H1020" t="s">
        <v>7765</v>
      </c>
    </row>
    <row r="1021" spans="1:8">
      <c r="A1021">
        <v>502721</v>
      </c>
      <c r="B1021" t="s">
        <v>7766</v>
      </c>
      <c r="C1021" t="s">
        <v>5900</v>
      </c>
      <c r="D1021" t="s">
        <v>5859</v>
      </c>
      <c r="E1021">
        <v>1</v>
      </c>
      <c r="F1021">
        <v>406956</v>
      </c>
      <c r="G1021" s="660">
        <v>45141</v>
      </c>
      <c r="H1021" t="s">
        <v>7767</v>
      </c>
    </row>
    <row r="1022" spans="1:8">
      <c r="A1022">
        <v>502722</v>
      </c>
      <c r="B1022" t="s">
        <v>7768</v>
      </c>
      <c r="C1022" t="s">
        <v>1966</v>
      </c>
      <c r="D1022" t="s">
        <v>5859</v>
      </c>
      <c r="E1022">
        <v>8.14</v>
      </c>
      <c r="F1022">
        <v>409107</v>
      </c>
      <c r="G1022" s="660">
        <v>45546</v>
      </c>
      <c r="H1022" t="s">
        <v>7769</v>
      </c>
    </row>
    <row r="1023" spans="1:8">
      <c r="A1023">
        <v>502723</v>
      </c>
      <c r="B1023" t="s">
        <v>7770</v>
      </c>
      <c r="C1023" t="s">
        <v>1966</v>
      </c>
      <c r="D1023" t="s">
        <v>5859</v>
      </c>
      <c r="E1023">
        <v>3.53</v>
      </c>
      <c r="F1023">
        <v>409107</v>
      </c>
      <c r="G1023" s="660">
        <v>45546</v>
      </c>
      <c r="H1023" t="s">
        <v>7771</v>
      </c>
    </row>
    <row r="1024" spans="1:8">
      <c r="A1024">
        <v>502724</v>
      </c>
      <c r="B1024" t="s">
        <v>7772</v>
      </c>
      <c r="D1024" t="s">
        <v>5859</v>
      </c>
      <c r="G1024" s="660"/>
      <c r="H1024" t="s">
        <v>7773</v>
      </c>
    </row>
    <row r="1025" spans="1:8">
      <c r="A1025">
        <v>502725</v>
      </c>
      <c r="B1025" t="s">
        <v>7774</v>
      </c>
      <c r="D1025" t="s">
        <v>5859</v>
      </c>
      <c r="G1025" s="660"/>
      <c r="H1025" t="s">
        <v>7775</v>
      </c>
    </row>
    <row r="1026" spans="1:8">
      <c r="A1026">
        <v>502726</v>
      </c>
      <c r="B1026" t="s">
        <v>7776</v>
      </c>
      <c r="C1026" t="s">
        <v>1966</v>
      </c>
      <c r="D1026" t="s">
        <v>5859</v>
      </c>
      <c r="E1026">
        <v>8.57</v>
      </c>
      <c r="F1026">
        <v>409732</v>
      </c>
      <c r="G1026" s="660">
        <v>45684</v>
      </c>
      <c r="H1026" t="s">
        <v>7777</v>
      </c>
    </row>
    <row r="1027" spans="1:8">
      <c r="A1027">
        <v>502727</v>
      </c>
      <c r="B1027" t="s">
        <v>7778</v>
      </c>
      <c r="C1027" t="s">
        <v>1966</v>
      </c>
      <c r="D1027" t="s">
        <v>5859</v>
      </c>
      <c r="E1027">
        <v>4.5599999999999996</v>
      </c>
      <c r="F1027">
        <v>409107</v>
      </c>
      <c r="G1027" s="660">
        <v>45546</v>
      </c>
      <c r="H1027" t="s">
        <v>7779</v>
      </c>
    </row>
    <row r="1028" spans="1:8">
      <c r="A1028">
        <v>502728</v>
      </c>
      <c r="B1028" t="s">
        <v>7780</v>
      </c>
      <c r="C1028" t="s">
        <v>1966</v>
      </c>
      <c r="D1028" t="s">
        <v>5859</v>
      </c>
      <c r="E1028">
        <v>4.22</v>
      </c>
      <c r="F1028">
        <v>409112</v>
      </c>
      <c r="G1028" s="660">
        <v>45546</v>
      </c>
      <c r="H1028" t="s">
        <v>7781</v>
      </c>
    </row>
    <row r="1029" spans="1:8">
      <c r="A1029">
        <v>502729</v>
      </c>
      <c r="B1029" t="s">
        <v>7782</v>
      </c>
      <c r="C1029" t="s">
        <v>1966</v>
      </c>
      <c r="D1029" t="s">
        <v>5859</v>
      </c>
      <c r="E1029">
        <v>4.88</v>
      </c>
      <c r="F1029">
        <v>409107</v>
      </c>
      <c r="G1029" s="660">
        <v>45546</v>
      </c>
      <c r="H1029" t="s">
        <v>7783</v>
      </c>
    </row>
    <row r="1030" spans="1:8">
      <c r="A1030">
        <v>502730</v>
      </c>
      <c r="B1030" t="s">
        <v>7784</v>
      </c>
      <c r="C1030" t="s">
        <v>7785</v>
      </c>
      <c r="D1030" t="s">
        <v>5859</v>
      </c>
      <c r="E1030">
        <v>22.89</v>
      </c>
      <c r="F1030">
        <v>407798</v>
      </c>
      <c r="G1030" s="660">
        <v>45308</v>
      </c>
      <c r="H1030" t="s">
        <v>2293</v>
      </c>
    </row>
    <row r="1031" spans="1:8">
      <c r="A1031">
        <v>502731</v>
      </c>
      <c r="B1031" t="s">
        <v>7786</v>
      </c>
      <c r="C1031" t="s">
        <v>6684</v>
      </c>
      <c r="D1031" t="s">
        <v>5859</v>
      </c>
      <c r="E1031">
        <v>9.9</v>
      </c>
      <c r="F1031">
        <v>407088</v>
      </c>
      <c r="G1031" s="660">
        <v>45168</v>
      </c>
      <c r="H1031" t="s">
        <v>2293</v>
      </c>
    </row>
    <row r="1032" spans="1:8">
      <c r="A1032">
        <v>502732</v>
      </c>
      <c r="B1032" t="s">
        <v>7787</v>
      </c>
      <c r="C1032" t="s">
        <v>5951</v>
      </c>
      <c r="D1032" t="s">
        <v>5859</v>
      </c>
      <c r="E1032">
        <v>1721.89</v>
      </c>
      <c r="F1032">
        <v>408410</v>
      </c>
      <c r="G1032" s="660">
        <v>45411</v>
      </c>
      <c r="H1032" t="s">
        <v>7788</v>
      </c>
    </row>
    <row r="1033" spans="1:8">
      <c r="A1033">
        <v>502733</v>
      </c>
      <c r="B1033" t="s">
        <v>7789</v>
      </c>
      <c r="C1033" t="s">
        <v>5951</v>
      </c>
      <c r="D1033" t="s">
        <v>5859</v>
      </c>
      <c r="E1033">
        <v>1721.89</v>
      </c>
      <c r="F1033">
        <v>408410</v>
      </c>
      <c r="G1033" s="660">
        <v>45411</v>
      </c>
      <c r="H1033" t="s">
        <v>7790</v>
      </c>
    </row>
    <row r="1034" spans="1:8">
      <c r="A1034">
        <v>502739</v>
      </c>
      <c r="B1034" t="s">
        <v>7791</v>
      </c>
      <c r="D1034" t="s">
        <v>5859</v>
      </c>
      <c r="G1034" s="660"/>
      <c r="H1034" t="s">
        <v>7792</v>
      </c>
    </row>
    <row r="1035" spans="1:8">
      <c r="A1035">
        <v>502740</v>
      </c>
      <c r="B1035" t="s">
        <v>7793</v>
      </c>
      <c r="D1035" t="s">
        <v>5859</v>
      </c>
      <c r="G1035" s="660"/>
      <c r="H1035" t="s">
        <v>7794</v>
      </c>
    </row>
    <row r="1036" spans="1:8">
      <c r="A1036">
        <v>502747</v>
      </c>
      <c r="B1036" t="s">
        <v>7795</v>
      </c>
      <c r="C1036" t="s">
        <v>1665</v>
      </c>
      <c r="D1036" t="s">
        <v>5859</v>
      </c>
      <c r="E1036">
        <v>805.53</v>
      </c>
      <c r="F1036">
        <v>408233</v>
      </c>
      <c r="G1036" s="660">
        <v>45378</v>
      </c>
      <c r="H1036" t="s">
        <v>7796</v>
      </c>
    </row>
    <row r="1037" spans="1:8">
      <c r="A1037">
        <v>502748</v>
      </c>
      <c r="B1037" t="s">
        <v>7797</v>
      </c>
      <c r="C1037" t="s">
        <v>1966</v>
      </c>
      <c r="D1037" t="s">
        <v>5859</v>
      </c>
      <c r="E1037">
        <v>29.74</v>
      </c>
      <c r="F1037">
        <v>407079</v>
      </c>
      <c r="G1037" s="660">
        <v>45167</v>
      </c>
      <c r="H1037" t="s">
        <v>7798</v>
      </c>
    </row>
    <row r="1038" spans="1:8">
      <c r="A1038">
        <v>502749</v>
      </c>
      <c r="B1038" t="s">
        <v>7799</v>
      </c>
      <c r="C1038" t="s">
        <v>1665</v>
      </c>
      <c r="D1038" t="s">
        <v>5859</v>
      </c>
      <c r="E1038">
        <v>74.650000000000006</v>
      </c>
      <c r="F1038">
        <v>408276</v>
      </c>
      <c r="G1038" s="660">
        <v>45385</v>
      </c>
      <c r="H1038" t="s">
        <v>7800</v>
      </c>
    </row>
    <row r="1039" spans="1:8">
      <c r="A1039">
        <v>502751</v>
      </c>
      <c r="B1039" t="s">
        <v>7801</v>
      </c>
      <c r="C1039" t="s">
        <v>7802</v>
      </c>
      <c r="D1039" t="s">
        <v>5859</v>
      </c>
      <c r="E1039">
        <v>718.03</v>
      </c>
      <c r="F1039">
        <v>407138</v>
      </c>
      <c r="G1039" s="660">
        <v>45181</v>
      </c>
      <c r="H1039" t="s">
        <v>2293</v>
      </c>
    </row>
    <row r="1040" spans="1:8">
      <c r="A1040">
        <v>502752</v>
      </c>
      <c r="B1040" t="s">
        <v>7803</v>
      </c>
      <c r="C1040" t="s">
        <v>1966</v>
      </c>
      <c r="D1040" t="s">
        <v>5859</v>
      </c>
      <c r="E1040">
        <v>196.33</v>
      </c>
      <c r="F1040">
        <v>407256</v>
      </c>
      <c r="G1040" s="660">
        <v>45198</v>
      </c>
      <c r="H1040" t="s">
        <v>7804</v>
      </c>
    </row>
    <row r="1041" spans="1:8">
      <c r="A1041">
        <v>502753</v>
      </c>
      <c r="B1041" t="s">
        <v>7805</v>
      </c>
      <c r="C1041" t="s">
        <v>6684</v>
      </c>
      <c r="D1041" t="s">
        <v>5859</v>
      </c>
      <c r="E1041">
        <v>145.18</v>
      </c>
      <c r="F1041">
        <v>409437</v>
      </c>
      <c r="G1041" s="660">
        <v>45608</v>
      </c>
      <c r="H1041" t="s">
        <v>7806</v>
      </c>
    </row>
    <row r="1042" spans="1:8">
      <c r="A1042">
        <v>502756</v>
      </c>
      <c r="B1042" t="s">
        <v>7715</v>
      </c>
      <c r="C1042" t="s">
        <v>6490</v>
      </c>
      <c r="D1042" t="s">
        <v>5859</v>
      </c>
      <c r="E1042">
        <v>44.4</v>
      </c>
      <c r="F1042">
        <v>407247</v>
      </c>
      <c r="G1042" s="660">
        <v>45197</v>
      </c>
      <c r="H1042" t="s">
        <v>7807</v>
      </c>
    </row>
    <row r="1043" spans="1:8">
      <c r="A1043">
        <v>502757</v>
      </c>
      <c r="B1043" t="s">
        <v>7808</v>
      </c>
      <c r="C1043" t="s">
        <v>6490</v>
      </c>
      <c r="D1043" t="s">
        <v>5859</v>
      </c>
      <c r="E1043">
        <v>1273.1500000000001</v>
      </c>
      <c r="F1043">
        <v>407247</v>
      </c>
      <c r="G1043" s="660">
        <v>45197</v>
      </c>
      <c r="H1043" t="s">
        <v>7809</v>
      </c>
    </row>
    <row r="1044" spans="1:8">
      <c r="A1044">
        <v>502758</v>
      </c>
      <c r="B1044" t="s">
        <v>7810</v>
      </c>
      <c r="C1044" t="s">
        <v>1966</v>
      </c>
      <c r="D1044" t="s">
        <v>5859</v>
      </c>
      <c r="E1044">
        <v>74.06</v>
      </c>
      <c r="F1044">
        <v>407763</v>
      </c>
      <c r="G1044" s="660">
        <v>45302</v>
      </c>
      <c r="H1044" t="s">
        <v>7811</v>
      </c>
    </row>
    <row r="1045" spans="1:8">
      <c r="A1045">
        <v>502760</v>
      </c>
      <c r="B1045" t="s">
        <v>7812</v>
      </c>
      <c r="C1045" t="s">
        <v>1966</v>
      </c>
      <c r="D1045" t="s">
        <v>5859</v>
      </c>
      <c r="E1045">
        <v>6.4600000000000005E-2</v>
      </c>
      <c r="F1045">
        <v>410185</v>
      </c>
      <c r="G1045" s="660">
        <v>45764</v>
      </c>
      <c r="H1045" t="s">
        <v>7813</v>
      </c>
    </row>
    <row r="1046" spans="1:8">
      <c r="A1046">
        <v>502761</v>
      </c>
      <c r="B1046" t="s">
        <v>7814</v>
      </c>
      <c r="D1046" t="s">
        <v>5859</v>
      </c>
      <c r="G1046" s="660"/>
      <c r="H1046" t="s">
        <v>7815</v>
      </c>
    </row>
    <row r="1047" spans="1:8">
      <c r="A1047">
        <v>502762</v>
      </c>
      <c r="B1047" t="s">
        <v>7816</v>
      </c>
      <c r="C1047" t="s">
        <v>1966</v>
      </c>
      <c r="D1047" t="s">
        <v>5859</v>
      </c>
      <c r="E1047">
        <v>0.70799999999999996</v>
      </c>
      <c r="F1047">
        <v>407369</v>
      </c>
      <c r="G1047" s="660">
        <v>45219</v>
      </c>
      <c r="H1047" t="s">
        <v>7817</v>
      </c>
    </row>
    <row r="1048" spans="1:8">
      <c r="A1048">
        <v>502763</v>
      </c>
      <c r="B1048" t="s">
        <v>7818</v>
      </c>
      <c r="C1048" t="s">
        <v>1665</v>
      </c>
      <c r="D1048" t="s">
        <v>5859</v>
      </c>
      <c r="E1048">
        <v>498.06</v>
      </c>
      <c r="F1048">
        <v>407339</v>
      </c>
      <c r="G1048" s="660">
        <v>45212</v>
      </c>
      <c r="H1048" t="s">
        <v>7819</v>
      </c>
    </row>
    <row r="1049" spans="1:8">
      <c r="A1049">
        <v>502764</v>
      </c>
      <c r="B1049" t="s">
        <v>7820</v>
      </c>
      <c r="C1049" t="s">
        <v>1966</v>
      </c>
      <c r="D1049" t="s">
        <v>5859</v>
      </c>
      <c r="E1049">
        <v>8.74</v>
      </c>
      <c r="F1049">
        <v>407466</v>
      </c>
      <c r="G1049" s="660">
        <v>45233</v>
      </c>
      <c r="H1049" t="s">
        <v>7821</v>
      </c>
    </row>
    <row r="1050" spans="1:8">
      <c r="A1050">
        <v>502765</v>
      </c>
      <c r="B1050" t="s">
        <v>7822</v>
      </c>
      <c r="C1050" t="s">
        <v>5442</v>
      </c>
      <c r="D1050" t="s">
        <v>5859</v>
      </c>
      <c r="E1050">
        <v>12.728300000000001</v>
      </c>
      <c r="F1050">
        <v>407382</v>
      </c>
      <c r="G1050" s="660">
        <v>45222</v>
      </c>
      <c r="H1050" t="s">
        <v>7823</v>
      </c>
    </row>
    <row r="1051" spans="1:8">
      <c r="A1051">
        <v>502766</v>
      </c>
      <c r="B1051" t="s">
        <v>7824</v>
      </c>
      <c r="C1051" t="s">
        <v>1966</v>
      </c>
      <c r="D1051" t="s">
        <v>5859</v>
      </c>
      <c r="E1051">
        <v>9.18</v>
      </c>
      <c r="F1051">
        <v>410185</v>
      </c>
      <c r="G1051" s="660">
        <v>45764</v>
      </c>
      <c r="H1051" t="s">
        <v>7825</v>
      </c>
    </row>
    <row r="1052" spans="1:8">
      <c r="A1052">
        <v>502767</v>
      </c>
      <c r="B1052" t="s">
        <v>7826</v>
      </c>
      <c r="C1052" t="s">
        <v>1966</v>
      </c>
      <c r="D1052" t="s">
        <v>5859</v>
      </c>
      <c r="E1052">
        <v>12.03</v>
      </c>
      <c r="F1052">
        <v>410347</v>
      </c>
      <c r="G1052" s="660">
        <v>45793</v>
      </c>
      <c r="H1052" t="s">
        <v>7827</v>
      </c>
    </row>
    <row r="1053" spans="1:8">
      <c r="A1053">
        <v>502768</v>
      </c>
      <c r="B1053" t="s">
        <v>7828</v>
      </c>
      <c r="C1053" t="s">
        <v>1930</v>
      </c>
      <c r="D1053" t="s">
        <v>5859</v>
      </c>
      <c r="E1053">
        <v>5.62</v>
      </c>
      <c r="F1053">
        <v>409436</v>
      </c>
      <c r="G1053" s="660">
        <v>45608</v>
      </c>
      <c r="H1053" t="s">
        <v>7829</v>
      </c>
    </row>
    <row r="1054" spans="1:8">
      <c r="A1054">
        <v>502769</v>
      </c>
      <c r="B1054" t="s">
        <v>7830</v>
      </c>
      <c r="D1054" t="s">
        <v>5859</v>
      </c>
      <c r="G1054" s="660"/>
      <c r="H1054" t="s">
        <v>7829</v>
      </c>
    </row>
    <row r="1055" spans="1:8">
      <c r="A1055">
        <v>502770</v>
      </c>
      <c r="B1055" t="s">
        <v>7831</v>
      </c>
      <c r="C1055" t="s">
        <v>1966</v>
      </c>
      <c r="D1055" t="s">
        <v>5859</v>
      </c>
      <c r="E1055">
        <v>0.15809999999999999</v>
      </c>
      <c r="F1055">
        <v>407917</v>
      </c>
      <c r="G1055" s="660">
        <v>45323</v>
      </c>
      <c r="H1055" t="s">
        <v>7832</v>
      </c>
    </row>
    <row r="1056" spans="1:8">
      <c r="A1056">
        <v>502771</v>
      </c>
      <c r="B1056" t="s">
        <v>7833</v>
      </c>
      <c r="C1056" t="s">
        <v>6169</v>
      </c>
      <c r="D1056" t="s">
        <v>5859</v>
      </c>
      <c r="E1056">
        <v>0</v>
      </c>
      <c r="F1056">
        <v>407693</v>
      </c>
      <c r="G1056" s="660">
        <v>45287</v>
      </c>
      <c r="H1056" t="s">
        <v>7834</v>
      </c>
    </row>
    <row r="1057" spans="1:8">
      <c r="A1057">
        <v>502772</v>
      </c>
      <c r="B1057" t="s">
        <v>7835</v>
      </c>
      <c r="C1057" t="s">
        <v>6169</v>
      </c>
      <c r="D1057" t="s">
        <v>5859</v>
      </c>
      <c r="E1057">
        <v>0</v>
      </c>
      <c r="F1057">
        <v>407693</v>
      </c>
      <c r="G1057" s="660">
        <v>45287</v>
      </c>
      <c r="H1057" t="s">
        <v>7836</v>
      </c>
    </row>
    <row r="1058" spans="1:8">
      <c r="A1058">
        <v>502773</v>
      </c>
      <c r="B1058" t="s">
        <v>7837</v>
      </c>
      <c r="C1058" t="s">
        <v>7838</v>
      </c>
      <c r="D1058" t="s">
        <v>5859</v>
      </c>
      <c r="E1058">
        <v>265</v>
      </c>
      <c r="F1058">
        <v>409156</v>
      </c>
      <c r="G1058" s="660">
        <v>45555</v>
      </c>
      <c r="H1058" t="s">
        <v>2293</v>
      </c>
    </row>
    <row r="1059" spans="1:8">
      <c r="A1059">
        <v>502774</v>
      </c>
      <c r="B1059" t="s">
        <v>7839</v>
      </c>
      <c r="D1059" t="s">
        <v>5859</v>
      </c>
      <c r="G1059" s="660"/>
      <c r="H1059" t="s">
        <v>7840</v>
      </c>
    </row>
    <row r="1060" spans="1:8">
      <c r="A1060">
        <v>502775</v>
      </c>
      <c r="B1060" t="s">
        <v>7841</v>
      </c>
      <c r="D1060" t="s">
        <v>5859</v>
      </c>
      <c r="G1060" s="660"/>
      <c r="H1060" t="s">
        <v>7842</v>
      </c>
    </row>
    <row r="1061" spans="1:8">
      <c r="A1061">
        <v>502776</v>
      </c>
      <c r="B1061" t="s">
        <v>7843</v>
      </c>
      <c r="C1061" t="s">
        <v>1966</v>
      </c>
      <c r="D1061" t="s">
        <v>5859</v>
      </c>
      <c r="E1061">
        <v>13.94</v>
      </c>
      <c r="F1061">
        <v>408527</v>
      </c>
      <c r="G1061" s="660">
        <v>45427</v>
      </c>
      <c r="H1061" t="s">
        <v>7844</v>
      </c>
    </row>
    <row r="1062" spans="1:8">
      <c r="A1062">
        <v>502777</v>
      </c>
      <c r="B1062" t="s">
        <v>7845</v>
      </c>
      <c r="D1062" t="s">
        <v>5859</v>
      </c>
      <c r="G1062" s="660"/>
      <c r="H1062" t="s">
        <v>2293</v>
      </c>
    </row>
    <row r="1063" spans="1:8">
      <c r="A1063">
        <v>502778</v>
      </c>
      <c r="B1063" t="s">
        <v>7846</v>
      </c>
      <c r="C1063" t="s">
        <v>1690</v>
      </c>
      <c r="D1063" t="s">
        <v>5859</v>
      </c>
      <c r="E1063">
        <v>699.25</v>
      </c>
      <c r="F1063">
        <v>409354</v>
      </c>
      <c r="G1063" s="660">
        <v>45593</v>
      </c>
      <c r="H1063" t="s">
        <v>7847</v>
      </c>
    </row>
    <row r="1064" spans="1:8">
      <c r="A1064">
        <v>502780</v>
      </c>
      <c r="B1064" t="s">
        <v>7848</v>
      </c>
      <c r="D1064" t="s">
        <v>5859</v>
      </c>
      <c r="G1064" s="660"/>
      <c r="H1064" t="s">
        <v>7849</v>
      </c>
    </row>
    <row r="1065" spans="1:8">
      <c r="A1065">
        <v>502781</v>
      </c>
      <c r="B1065" t="s">
        <v>7850</v>
      </c>
      <c r="C1065" t="s">
        <v>7838</v>
      </c>
      <c r="D1065" t="s">
        <v>5859</v>
      </c>
      <c r="E1065">
        <v>45.9</v>
      </c>
      <c r="F1065">
        <v>408854</v>
      </c>
      <c r="G1065" s="660">
        <v>45491</v>
      </c>
      <c r="H1065" t="s">
        <v>7842</v>
      </c>
    </row>
    <row r="1066" spans="1:8">
      <c r="A1066">
        <v>502783</v>
      </c>
      <c r="B1066" t="s">
        <v>7851</v>
      </c>
      <c r="D1066" t="s">
        <v>5859</v>
      </c>
      <c r="G1066" s="660"/>
      <c r="H1066" t="s">
        <v>7852</v>
      </c>
    </row>
    <row r="1067" spans="1:8">
      <c r="A1067">
        <v>502784</v>
      </c>
      <c r="B1067" t="s">
        <v>7853</v>
      </c>
      <c r="C1067" t="s">
        <v>1966</v>
      </c>
      <c r="D1067" t="s">
        <v>5859</v>
      </c>
      <c r="E1067">
        <v>14.67</v>
      </c>
      <c r="F1067">
        <v>407763</v>
      </c>
      <c r="G1067" s="660">
        <v>45302</v>
      </c>
      <c r="H1067" t="s">
        <v>7854</v>
      </c>
    </row>
    <row r="1068" spans="1:8">
      <c r="A1068">
        <v>502785</v>
      </c>
      <c r="B1068" t="s">
        <v>7855</v>
      </c>
      <c r="C1068" t="s">
        <v>1966</v>
      </c>
      <c r="D1068" t="s">
        <v>5859</v>
      </c>
      <c r="E1068">
        <v>47.71</v>
      </c>
      <c r="F1068">
        <v>407599</v>
      </c>
      <c r="G1068" s="660">
        <v>45266</v>
      </c>
      <c r="H1068" t="s">
        <v>7856</v>
      </c>
    </row>
    <row r="1069" spans="1:8">
      <c r="A1069">
        <v>502786</v>
      </c>
      <c r="B1069" t="s">
        <v>7857</v>
      </c>
      <c r="C1069" t="s">
        <v>7858</v>
      </c>
      <c r="D1069" t="s">
        <v>5859</v>
      </c>
      <c r="E1069">
        <v>86.64</v>
      </c>
      <c r="F1069">
        <v>407644</v>
      </c>
      <c r="G1069" s="660">
        <v>45275</v>
      </c>
      <c r="H1069" t="s">
        <v>7859</v>
      </c>
    </row>
    <row r="1070" spans="1:8">
      <c r="A1070">
        <v>502787</v>
      </c>
      <c r="B1070" t="s">
        <v>7860</v>
      </c>
      <c r="C1070" t="s">
        <v>7858</v>
      </c>
      <c r="D1070" t="s">
        <v>5859</v>
      </c>
      <c r="E1070">
        <v>91.03</v>
      </c>
      <c r="F1070">
        <v>409442</v>
      </c>
      <c r="G1070" s="660">
        <v>45608</v>
      </c>
      <c r="H1070" t="s">
        <v>7861</v>
      </c>
    </row>
    <row r="1071" spans="1:8">
      <c r="A1071">
        <v>502788</v>
      </c>
      <c r="B1071" t="s">
        <v>7862</v>
      </c>
      <c r="C1071" t="s">
        <v>1665</v>
      </c>
      <c r="D1071" t="s">
        <v>5859</v>
      </c>
      <c r="E1071">
        <v>432.33</v>
      </c>
      <c r="F1071">
        <v>407715</v>
      </c>
      <c r="G1071" s="660">
        <v>45293</v>
      </c>
      <c r="H1071" t="s">
        <v>7863</v>
      </c>
    </row>
    <row r="1072" spans="1:8">
      <c r="A1072">
        <v>502789</v>
      </c>
      <c r="B1072" t="s">
        <v>7864</v>
      </c>
      <c r="C1072" t="s">
        <v>1665</v>
      </c>
      <c r="D1072" t="s">
        <v>5859</v>
      </c>
      <c r="E1072">
        <v>1504</v>
      </c>
      <c r="F1072">
        <v>407736</v>
      </c>
      <c r="G1072" s="660">
        <v>45295</v>
      </c>
      <c r="H1072" t="s">
        <v>7865</v>
      </c>
    </row>
    <row r="1073" spans="1:8">
      <c r="A1073">
        <v>502790</v>
      </c>
      <c r="B1073" t="s">
        <v>7866</v>
      </c>
      <c r="C1073" t="s">
        <v>1665</v>
      </c>
      <c r="D1073" t="s">
        <v>5859</v>
      </c>
      <c r="E1073">
        <v>765.41</v>
      </c>
      <c r="F1073">
        <v>410170</v>
      </c>
      <c r="G1073" s="660">
        <v>45761</v>
      </c>
      <c r="H1073" t="s">
        <v>7056</v>
      </c>
    </row>
    <row r="1074" spans="1:8">
      <c r="A1074">
        <v>502791</v>
      </c>
      <c r="B1074" t="s">
        <v>7867</v>
      </c>
      <c r="C1074" t="s">
        <v>5900</v>
      </c>
      <c r="D1074" t="s">
        <v>5859</v>
      </c>
      <c r="E1074">
        <v>22.24</v>
      </c>
      <c r="F1074">
        <v>409615</v>
      </c>
      <c r="G1074" s="660">
        <v>45663</v>
      </c>
      <c r="H1074" t="s">
        <v>7868</v>
      </c>
    </row>
    <row r="1075" spans="1:8">
      <c r="A1075">
        <v>502792</v>
      </c>
      <c r="B1075" t="s">
        <v>7869</v>
      </c>
      <c r="D1075" t="s">
        <v>5859</v>
      </c>
      <c r="G1075" s="660"/>
      <c r="H1075" t="s">
        <v>7870</v>
      </c>
    </row>
    <row r="1076" spans="1:8">
      <c r="A1076">
        <v>502793</v>
      </c>
      <c r="B1076" t="s">
        <v>7871</v>
      </c>
      <c r="C1076" t="s">
        <v>1966</v>
      </c>
      <c r="D1076" t="s">
        <v>5859</v>
      </c>
      <c r="E1076">
        <v>8.3000000000000007</v>
      </c>
      <c r="F1076">
        <v>407763</v>
      </c>
      <c r="G1076" s="660">
        <v>45302</v>
      </c>
      <c r="H1076" t="s">
        <v>7872</v>
      </c>
    </row>
    <row r="1077" spans="1:8">
      <c r="A1077">
        <v>502794</v>
      </c>
      <c r="B1077" t="s">
        <v>7873</v>
      </c>
      <c r="C1077" t="s">
        <v>1966</v>
      </c>
      <c r="D1077" t="s">
        <v>5859</v>
      </c>
      <c r="E1077">
        <v>25.73</v>
      </c>
      <c r="F1077">
        <v>409011</v>
      </c>
      <c r="G1077" s="660">
        <v>45525</v>
      </c>
      <c r="H1077" t="s">
        <v>7874</v>
      </c>
    </row>
    <row r="1078" spans="1:8">
      <c r="A1078">
        <v>502795</v>
      </c>
      <c r="B1078" t="s">
        <v>7875</v>
      </c>
      <c r="C1078" t="s">
        <v>1966</v>
      </c>
      <c r="D1078" t="s">
        <v>5859</v>
      </c>
      <c r="E1078">
        <v>128.66999999999999</v>
      </c>
      <c r="F1078">
        <v>407763</v>
      </c>
      <c r="G1078" s="660">
        <v>45302</v>
      </c>
      <c r="H1078" t="s">
        <v>7876</v>
      </c>
    </row>
    <row r="1079" spans="1:8">
      <c r="A1079">
        <v>502796</v>
      </c>
      <c r="B1079" t="s">
        <v>7877</v>
      </c>
      <c r="C1079" t="s">
        <v>6497</v>
      </c>
      <c r="D1079" t="s">
        <v>5859</v>
      </c>
      <c r="E1079">
        <v>163.19999999999999</v>
      </c>
      <c r="F1079">
        <v>409765</v>
      </c>
      <c r="G1079" s="660">
        <v>45691</v>
      </c>
      <c r="H1079" t="s">
        <v>7878</v>
      </c>
    </row>
    <row r="1080" spans="1:8">
      <c r="A1080">
        <v>502797</v>
      </c>
      <c r="B1080" t="s">
        <v>7879</v>
      </c>
      <c r="C1080" t="s">
        <v>6497</v>
      </c>
      <c r="D1080" t="s">
        <v>5859</v>
      </c>
      <c r="E1080">
        <v>1359.15</v>
      </c>
      <c r="F1080">
        <v>408867</v>
      </c>
      <c r="G1080" s="660">
        <v>45494</v>
      </c>
      <c r="H1080" t="s">
        <v>7880</v>
      </c>
    </row>
    <row r="1081" spans="1:8">
      <c r="A1081">
        <v>502798</v>
      </c>
      <c r="B1081" t="s">
        <v>7881</v>
      </c>
      <c r="C1081" t="s">
        <v>6078</v>
      </c>
      <c r="D1081" t="s">
        <v>5859</v>
      </c>
      <c r="E1081">
        <v>0</v>
      </c>
      <c r="F1081">
        <v>408787</v>
      </c>
      <c r="G1081" s="660">
        <v>45476</v>
      </c>
      <c r="H1081" t="s">
        <v>7882</v>
      </c>
    </row>
    <row r="1082" spans="1:8">
      <c r="A1082">
        <v>502799</v>
      </c>
      <c r="B1082" t="s">
        <v>7883</v>
      </c>
      <c r="D1082" t="s">
        <v>5859</v>
      </c>
      <c r="G1082" s="660"/>
      <c r="H1082" t="s">
        <v>6976</v>
      </c>
    </row>
    <row r="1083" spans="1:8">
      <c r="A1083">
        <v>502800</v>
      </c>
      <c r="B1083" t="s">
        <v>7883</v>
      </c>
      <c r="C1083" t="s">
        <v>1966</v>
      </c>
      <c r="D1083" t="s">
        <v>5859</v>
      </c>
      <c r="E1083">
        <v>1.57</v>
      </c>
      <c r="F1083">
        <v>410127</v>
      </c>
      <c r="G1083" s="660">
        <v>45755</v>
      </c>
      <c r="H1083" t="s">
        <v>6976</v>
      </c>
    </row>
    <row r="1084" spans="1:8">
      <c r="A1084">
        <v>502801</v>
      </c>
      <c r="B1084" t="s">
        <v>7884</v>
      </c>
      <c r="C1084" t="s">
        <v>1665</v>
      </c>
      <c r="D1084" t="s">
        <v>5859</v>
      </c>
      <c r="E1084">
        <v>515.36</v>
      </c>
      <c r="F1084">
        <v>409140</v>
      </c>
      <c r="G1084" s="660">
        <v>45552</v>
      </c>
      <c r="H1084" t="s">
        <v>7863</v>
      </c>
    </row>
    <row r="1085" spans="1:8">
      <c r="A1085">
        <v>502802</v>
      </c>
      <c r="B1085" t="s">
        <v>7885</v>
      </c>
      <c r="C1085" t="s">
        <v>1852</v>
      </c>
      <c r="D1085" t="s">
        <v>5859</v>
      </c>
      <c r="E1085">
        <v>2.95</v>
      </c>
      <c r="F1085">
        <v>408735</v>
      </c>
      <c r="G1085" s="660">
        <v>45462</v>
      </c>
      <c r="H1085" t="s">
        <v>7886</v>
      </c>
    </row>
    <row r="1086" spans="1:8">
      <c r="A1086">
        <v>502803</v>
      </c>
      <c r="B1086" t="s">
        <v>7887</v>
      </c>
      <c r="C1086" t="s">
        <v>1852</v>
      </c>
      <c r="D1086" t="s">
        <v>5859</v>
      </c>
      <c r="E1086">
        <v>4.3499999999999996</v>
      </c>
      <c r="F1086">
        <v>408735</v>
      </c>
      <c r="G1086" s="660">
        <v>45462</v>
      </c>
      <c r="H1086" t="s">
        <v>7888</v>
      </c>
    </row>
    <row r="1087" spans="1:8">
      <c r="A1087">
        <v>502804</v>
      </c>
      <c r="B1087" t="s">
        <v>7889</v>
      </c>
      <c r="C1087" t="s">
        <v>1966</v>
      </c>
      <c r="D1087" t="s">
        <v>5859</v>
      </c>
      <c r="E1087">
        <v>561.25</v>
      </c>
      <c r="F1087">
        <v>408623</v>
      </c>
      <c r="G1087" s="660">
        <v>45446</v>
      </c>
      <c r="H1087" t="s">
        <v>7890</v>
      </c>
    </row>
    <row r="1088" spans="1:8">
      <c r="A1088">
        <v>502805</v>
      </c>
      <c r="B1088" t="s">
        <v>7891</v>
      </c>
      <c r="D1088" t="s">
        <v>5901</v>
      </c>
      <c r="G1088" s="660"/>
      <c r="H1088" t="s">
        <v>7892</v>
      </c>
    </row>
    <row r="1089" spans="1:8">
      <c r="A1089">
        <v>502806</v>
      </c>
      <c r="B1089" t="s">
        <v>7893</v>
      </c>
      <c r="D1089" t="s">
        <v>5901</v>
      </c>
      <c r="G1089" s="660"/>
      <c r="H1089" t="s">
        <v>7894</v>
      </c>
    </row>
    <row r="1090" spans="1:8">
      <c r="A1090">
        <v>502807</v>
      </c>
      <c r="B1090" t="s">
        <v>7895</v>
      </c>
      <c r="C1090" t="s">
        <v>1966</v>
      </c>
      <c r="D1090" t="s">
        <v>5859</v>
      </c>
      <c r="E1090">
        <v>1.234</v>
      </c>
      <c r="F1090">
        <v>409083</v>
      </c>
      <c r="G1090" s="660">
        <v>45541</v>
      </c>
      <c r="H1090" t="s">
        <v>7896</v>
      </c>
    </row>
    <row r="1091" spans="1:8">
      <c r="A1091">
        <v>502808</v>
      </c>
      <c r="B1091" t="s">
        <v>7897</v>
      </c>
      <c r="D1091" t="s">
        <v>5859</v>
      </c>
      <c r="G1091" s="660"/>
      <c r="H1091" t="s">
        <v>2293</v>
      </c>
    </row>
    <row r="1092" spans="1:8">
      <c r="A1092">
        <v>502810</v>
      </c>
      <c r="B1092" t="s">
        <v>7898</v>
      </c>
      <c r="D1092" t="s">
        <v>5859</v>
      </c>
      <c r="G1092" s="660"/>
      <c r="H1092" t="s">
        <v>7899</v>
      </c>
    </row>
    <row r="1093" spans="1:8">
      <c r="A1093">
        <v>502811</v>
      </c>
      <c r="B1093" t="s">
        <v>7900</v>
      </c>
      <c r="D1093" t="s">
        <v>5859</v>
      </c>
      <c r="G1093" s="660"/>
      <c r="H1093" t="s">
        <v>7901</v>
      </c>
    </row>
    <row r="1094" spans="1:8">
      <c r="A1094">
        <v>502812</v>
      </c>
      <c r="B1094" t="s">
        <v>7902</v>
      </c>
      <c r="C1094" t="s">
        <v>1966</v>
      </c>
      <c r="D1094" t="s">
        <v>5859</v>
      </c>
      <c r="E1094">
        <v>16.43</v>
      </c>
      <c r="F1094">
        <v>408091</v>
      </c>
      <c r="G1094" s="660">
        <v>45355</v>
      </c>
      <c r="H1094" t="s">
        <v>7903</v>
      </c>
    </row>
    <row r="1095" spans="1:8">
      <c r="A1095">
        <v>502813</v>
      </c>
      <c r="B1095" t="s">
        <v>7904</v>
      </c>
      <c r="D1095" t="s">
        <v>6830</v>
      </c>
      <c r="G1095" s="660"/>
      <c r="H1095" t="s">
        <v>7905</v>
      </c>
    </row>
    <row r="1096" spans="1:8">
      <c r="A1096">
        <v>502814</v>
      </c>
      <c r="B1096" t="s">
        <v>7906</v>
      </c>
      <c r="C1096" t="s">
        <v>6352</v>
      </c>
      <c r="D1096" t="s">
        <v>5859</v>
      </c>
      <c r="E1096">
        <v>7.32</v>
      </c>
      <c r="F1096">
        <v>407874</v>
      </c>
      <c r="G1096" s="660">
        <v>45317</v>
      </c>
      <c r="H1096" t="s">
        <v>7907</v>
      </c>
    </row>
    <row r="1097" spans="1:8">
      <c r="A1097">
        <v>502815</v>
      </c>
      <c r="B1097" t="s">
        <v>7908</v>
      </c>
      <c r="C1097" t="s">
        <v>1930</v>
      </c>
      <c r="D1097" t="s">
        <v>5859</v>
      </c>
      <c r="E1097">
        <v>720</v>
      </c>
      <c r="F1097">
        <v>407855</v>
      </c>
      <c r="G1097" s="660">
        <v>45316</v>
      </c>
      <c r="H1097" t="s">
        <v>7909</v>
      </c>
    </row>
    <row r="1098" spans="1:8">
      <c r="A1098">
        <v>502816</v>
      </c>
      <c r="B1098" t="s">
        <v>7910</v>
      </c>
      <c r="C1098" t="s">
        <v>5951</v>
      </c>
      <c r="D1098" t="s">
        <v>5859</v>
      </c>
      <c r="E1098">
        <v>627.16</v>
      </c>
      <c r="F1098">
        <v>407968</v>
      </c>
      <c r="G1098" s="660">
        <v>45331</v>
      </c>
      <c r="H1098" t="s">
        <v>7911</v>
      </c>
    </row>
    <row r="1099" spans="1:8">
      <c r="A1099">
        <v>502817</v>
      </c>
      <c r="B1099" t="s">
        <v>7912</v>
      </c>
      <c r="C1099" t="s">
        <v>1966</v>
      </c>
      <c r="D1099" t="s">
        <v>5859</v>
      </c>
      <c r="E1099">
        <v>8.3699999999999992</v>
      </c>
      <c r="F1099">
        <v>407917</v>
      </c>
      <c r="G1099" s="660">
        <v>45323</v>
      </c>
      <c r="H1099" t="s">
        <v>7913</v>
      </c>
    </row>
    <row r="1100" spans="1:8">
      <c r="A1100">
        <v>502818</v>
      </c>
      <c r="B1100" t="s">
        <v>7914</v>
      </c>
      <c r="C1100" t="s">
        <v>1966</v>
      </c>
      <c r="D1100" t="s">
        <v>5859</v>
      </c>
      <c r="E1100">
        <v>15.04</v>
      </c>
      <c r="F1100">
        <v>407917</v>
      </c>
      <c r="G1100" s="660">
        <v>45323</v>
      </c>
      <c r="H1100" t="s">
        <v>7915</v>
      </c>
    </row>
    <row r="1101" spans="1:8">
      <c r="A1101">
        <v>502819</v>
      </c>
      <c r="B1101" t="s">
        <v>7916</v>
      </c>
      <c r="C1101" t="s">
        <v>5900</v>
      </c>
      <c r="D1101" t="s">
        <v>5859</v>
      </c>
      <c r="E1101">
        <v>23.74</v>
      </c>
      <c r="F1101">
        <v>407929</v>
      </c>
      <c r="G1101" s="660">
        <v>45327</v>
      </c>
      <c r="H1101" t="s">
        <v>7917</v>
      </c>
    </row>
    <row r="1102" spans="1:8">
      <c r="A1102">
        <v>502821</v>
      </c>
      <c r="B1102" t="s">
        <v>7918</v>
      </c>
      <c r="C1102" t="s">
        <v>1930</v>
      </c>
      <c r="D1102" t="s">
        <v>5859</v>
      </c>
      <c r="E1102">
        <v>6.28</v>
      </c>
      <c r="F1102">
        <v>408650</v>
      </c>
      <c r="G1102" s="660">
        <v>45449</v>
      </c>
      <c r="H1102" t="s">
        <v>7919</v>
      </c>
    </row>
    <row r="1103" spans="1:8">
      <c r="A1103">
        <v>502822</v>
      </c>
      <c r="B1103" t="s">
        <v>7920</v>
      </c>
      <c r="C1103" t="s">
        <v>1665</v>
      </c>
      <c r="D1103" t="s">
        <v>5859</v>
      </c>
      <c r="E1103">
        <v>450.43</v>
      </c>
      <c r="F1103">
        <v>408524</v>
      </c>
      <c r="G1103" s="660">
        <v>45427</v>
      </c>
      <c r="H1103" t="s">
        <v>7921</v>
      </c>
    </row>
    <row r="1104" spans="1:8">
      <c r="A1104">
        <v>502823</v>
      </c>
      <c r="B1104" t="s">
        <v>7922</v>
      </c>
      <c r="C1104" t="s">
        <v>5951</v>
      </c>
      <c r="D1104" t="s">
        <v>5859</v>
      </c>
      <c r="E1104">
        <v>555.1</v>
      </c>
      <c r="F1104">
        <v>408526</v>
      </c>
      <c r="G1104" s="660">
        <v>45427</v>
      </c>
      <c r="H1104" t="s">
        <v>7923</v>
      </c>
    </row>
    <row r="1105" spans="1:8">
      <c r="A1105">
        <v>502826</v>
      </c>
      <c r="B1105" t="s">
        <v>7924</v>
      </c>
      <c r="C1105" t="s">
        <v>1930</v>
      </c>
      <c r="D1105" t="s">
        <v>6830</v>
      </c>
      <c r="E1105">
        <v>5.58</v>
      </c>
      <c r="F1105">
        <v>408210</v>
      </c>
      <c r="G1105" s="660">
        <v>45377</v>
      </c>
      <c r="H1105" t="s">
        <v>7829</v>
      </c>
    </row>
    <row r="1106" spans="1:8">
      <c r="A1106">
        <v>502827</v>
      </c>
      <c r="B1106" t="s">
        <v>7925</v>
      </c>
      <c r="C1106" t="s">
        <v>5442</v>
      </c>
      <c r="D1106" t="s">
        <v>5859</v>
      </c>
      <c r="E1106">
        <v>428.97</v>
      </c>
      <c r="F1106">
        <v>407955</v>
      </c>
      <c r="G1106" s="660">
        <v>45329</v>
      </c>
      <c r="H1106" t="s">
        <v>6676</v>
      </c>
    </row>
    <row r="1107" spans="1:8">
      <c r="A1107">
        <v>502829</v>
      </c>
      <c r="B1107" t="s">
        <v>7926</v>
      </c>
      <c r="C1107" t="s">
        <v>1966</v>
      </c>
      <c r="D1107" t="s">
        <v>5859</v>
      </c>
      <c r="E1107">
        <v>191.84</v>
      </c>
      <c r="F1107">
        <v>408436</v>
      </c>
      <c r="G1107" s="660">
        <v>45413</v>
      </c>
      <c r="H1107" t="s">
        <v>7927</v>
      </c>
    </row>
    <row r="1108" spans="1:8">
      <c r="A1108">
        <v>502830</v>
      </c>
      <c r="B1108" t="s">
        <v>7928</v>
      </c>
      <c r="C1108" t="s">
        <v>5900</v>
      </c>
      <c r="D1108" t="s">
        <v>5859</v>
      </c>
      <c r="E1108">
        <v>876.82</v>
      </c>
      <c r="F1108">
        <v>409782</v>
      </c>
      <c r="G1108" s="660">
        <v>45694</v>
      </c>
      <c r="H1108" t="s">
        <v>7929</v>
      </c>
    </row>
    <row r="1109" spans="1:8">
      <c r="A1109">
        <v>502831</v>
      </c>
      <c r="B1109" t="s">
        <v>7930</v>
      </c>
      <c r="C1109" t="s">
        <v>7143</v>
      </c>
      <c r="D1109" t="s">
        <v>5859</v>
      </c>
      <c r="E1109">
        <v>33.979999999999997</v>
      </c>
      <c r="F1109">
        <v>408838</v>
      </c>
      <c r="G1109" s="660">
        <v>45490</v>
      </c>
      <c r="H1109" t="s">
        <v>7931</v>
      </c>
    </row>
    <row r="1110" spans="1:8">
      <c r="A1110">
        <v>502832</v>
      </c>
      <c r="B1110" t="s">
        <v>7932</v>
      </c>
      <c r="C1110" t="s">
        <v>7143</v>
      </c>
      <c r="D1110" t="s">
        <v>5859</v>
      </c>
      <c r="E1110">
        <v>52.9</v>
      </c>
      <c r="F1110">
        <v>408838</v>
      </c>
      <c r="G1110" s="660">
        <v>45490</v>
      </c>
      <c r="H1110" t="s">
        <v>7933</v>
      </c>
    </row>
    <row r="1111" spans="1:8">
      <c r="A1111">
        <v>502833</v>
      </c>
      <c r="B1111" t="s">
        <v>7934</v>
      </c>
      <c r="C1111" t="s">
        <v>5864</v>
      </c>
      <c r="D1111" t="s">
        <v>5859</v>
      </c>
      <c r="E1111">
        <v>735.9</v>
      </c>
      <c r="F1111">
        <v>410340</v>
      </c>
      <c r="G1111" s="660">
        <v>45792</v>
      </c>
      <c r="H1111" t="s">
        <v>7935</v>
      </c>
    </row>
    <row r="1112" spans="1:8">
      <c r="A1112">
        <v>502834</v>
      </c>
      <c r="B1112" t="s">
        <v>7936</v>
      </c>
      <c r="C1112" t="s">
        <v>1665</v>
      </c>
      <c r="D1112" t="s">
        <v>5859</v>
      </c>
      <c r="E1112">
        <v>286.25</v>
      </c>
      <c r="F1112">
        <v>408130</v>
      </c>
      <c r="G1112" s="660">
        <v>45362</v>
      </c>
      <c r="H1112" t="s">
        <v>7937</v>
      </c>
    </row>
    <row r="1113" spans="1:8">
      <c r="A1113">
        <v>502835</v>
      </c>
      <c r="B1113" t="s">
        <v>7938</v>
      </c>
      <c r="C1113" t="s">
        <v>5951</v>
      </c>
      <c r="D1113" t="s">
        <v>5859</v>
      </c>
      <c r="E1113">
        <v>2477.29</v>
      </c>
      <c r="F1113">
        <v>408250</v>
      </c>
      <c r="G1113" s="660">
        <v>45384</v>
      </c>
      <c r="H1113" t="s">
        <v>7939</v>
      </c>
    </row>
    <row r="1114" spans="1:8">
      <c r="A1114">
        <v>502836</v>
      </c>
      <c r="B1114" t="s">
        <v>7940</v>
      </c>
      <c r="C1114" t="s">
        <v>5951</v>
      </c>
      <c r="D1114" t="s">
        <v>5859</v>
      </c>
      <c r="E1114">
        <v>2477.29</v>
      </c>
      <c r="F1114">
        <v>408250</v>
      </c>
      <c r="G1114" s="660">
        <v>45384</v>
      </c>
      <c r="H1114" t="s">
        <v>7941</v>
      </c>
    </row>
    <row r="1115" spans="1:8">
      <c r="A1115">
        <v>502838</v>
      </c>
      <c r="B1115" t="s">
        <v>7942</v>
      </c>
      <c r="C1115" t="s">
        <v>7838</v>
      </c>
      <c r="D1115" t="s">
        <v>5859</v>
      </c>
      <c r="E1115">
        <v>7.1</v>
      </c>
      <c r="F1115">
        <v>408172</v>
      </c>
      <c r="G1115" s="660">
        <v>45369</v>
      </c>
      <c r="H1115" t="s">
        <v>7943</v>
      </c>
    </row>
    <row r="1116" spans="1:8">
      <c r="A1116">
        <v>502839</v>
      </c>
      <c r="B1116" t="s">
        <v>7944</v>
      </c>
      <c r="C1116" t="s">
        <v>1966</v>
      </c>
      <c r="D1116" t="s">
        <v>5859</v>
      </c>
      <c r="E1116">
        <v>6.75</v>
      </c>
      <c r="F1116">
        <v>408436</v>
      </c>
      <c r="G1116" s="660">
        <v>45413</v>
      </c>
      <c r="H1116" t="s">
        <v>7945</v>
      </c>
    </row>
    <row r="1117" spans="1:8">
      <c r="A1117">
        <v>502840</v>
      </c>
      <c r="B1117" t="s">
        <v>7946</v>
      </c>
      <c r="C1117" t="s">
        <v>1930</v>
      </c>
      <c r="D1117" t="s">
        <v>5859</v>
      </c>
      <c r="E1117">
        <v>1016.25</v>
      </c>
      <c r="F1117">
        <v>410016</v>
      </c>
      <c r="G1117" s="660">
        <v>45734</v>
      </c>
      <c r="H1117" t="s">
        <v>7947</v>
      </c>
    </row>
    <row r="1118" spans="1:8">
      <c r="A1118">
        <v>502841</v>
      </c>
      <c r="B1118" t="s">
        <v>7948</v>
      </c>
      <c r="C1118" t="s">
        <v>5951</v>
      </c>
      <c r="D1118" t="s">
        <v>5859</v>
      </c>
      <c r="E1118">
        <v>7520.34</v>
      </c>
      <c r="F1118">
        <v>409579</v>
      </c>
      <c r="G1118" s="660">
        <v>45644</v>
      </c>
      <c r="H1118" t="s">
        <v>7704</v>
      </c>
    </row>
    <row r="1119" spans="1:8">
      <c r="A1119">
        <v>502842</v>
      </c>
      <c r="B1119" t="s">
        <v>7949</v>
      </c>
      <c r="C1119" t="s">
        <v>5951</v>
      </c>
      <c r="D1119" t="s">
        <v>5859</v>
      </c>
      <c r="E1119">
        <v>7520.34</v>
      </c>
      <c r="F1119">
        <v>409579</v>
      </c>
      <c r="G1119" s="660">
        <v>45644</v>
      </c>
      <c r="H1119" t="s">
        <v>7706</v>
      </c>
    </row>
    <row r="1120" spans="1:8">
      <c r="A1120">
        <v>502843</v>
      </c>
      <c r="B1120" t="s">
        <v>7950</v>
      </c>
      <c r="C1120" t="s">
        <v>1930</v>
      </c>
      <c r="D1120" t="s">
        <v>5859</v>
      </c>
      <c r="E1120">
        <v>7</v>
      </c>
      <c r="F1120">
        <v>410034</v>
      </c>
      <c r="G1120" s="660">
        <v>45736</v>
      </c>
      <c r="H1120" t="s">
        <v>7829</v>
      </c>
    </row>
    <row r="1121" spans="1:8">
      <c r="A1121">
        <v>502845</v>
      </c>
      <c r="B1121" t="s">
        <v>7951</v>
      </c>
      <c r="D1121" t="s">
        <v>5859</v>
      </c>
      <c r="G1121" s="660"/>
      <c r="H1121" t="s">
        <v>7952</v>
      </c>
    </row>
    <row r="1122" spans="1:8">
      <c r="A1122">
        <v>502849</v>
      </c>
      <c r="B1122" t="s">
        <v>7953</v>
      </c>
      <c r="C1122" t="s">
        <v>1966</v>
      </c>
      <c r="D1122" t="s">
        <v>5859</v>
      </c>
      <c r="E1122">
        <v>5.69</v>
      </c>
      <c r="F1122">
        <v>408892</v>
      </c>
      <c r="G1122" s="660">
        <v>45516</v>
      </c>
      <c r="H1122" t="s">
        <v>7954</v>
      </c>
    </row>
    <row r="1123" spans="1:8">
      <c r="A1123">
        <v>502856</v>
      </c>
      <c r="B1123" t="s">
        <v>7955</v>
      </c>
      <c r="C1123" t="s">
        <v>1690</v>
      </c>
      <c r="D1123" t="s">
        <v>5859</v>
      </c>
      <c r="E1123">
        <v>587.59</v>
      </c>
      <c r="F1123">
        <v>409448</v>
      </c>
      <c r="G1123" s="660">
        <v>45609</v>
      </c>
      <c r="H1123" t="s">
        <v>7956</v>
      </c>
    </row>
    <row r="1124" spans="1:8">
      <c r="A1124">
        <v>502857</v>
      </c>
      <c r="B1124" t="s">
        <v>7957</v>
      </c>
      <c r="C1124" t="s">
        <v>1690</v>
      </c>
      <c r="D1124" t="s">
        <v>5859</v>
      </c>
      <c r="E1124">
        <v>752.76</v>
      </c>
      <c r="F1124">
        <v>409448</v>
      </c>
      <c r="G1124" s="660">
        <v>45609</v>
      </c>
      <c r="H1124" t="s">
        <v>7958</v>
      </c>
    </row>
    <row r="1125" spans="1:8">
      <c r="A1125">
        <v>502862</v>
      </c>
      <c r="B1125" t="s">
        <v>7959</v>
      </c>
      <c r="C1125" t="s">
        <v>6585</v>
      </c>
      <c r="D1125" t="s">
        <v>5859</v>
      </c>
      <c r="E1125">
        <v>1902.81</v>
      </c>
      <c r="F1125">
        <v>408427</v>
      </c>
      <c r="G1125" s="660">
        <v>45413</v>
      </c>
      <c r="H1125" t="s">
        <v>7960</v>
      </c>
    </row>
    <row r="1126" spans="1:8">
      <c r="A1126">
        <v>502866</v>
      </c>
      <c r="B1126" t="s">
        <v>7961</v>
      </c>
      <c r="C1126" t="s">
        <v>6473</v>
      </c>
      <c r="D1126" t="s">
        <v>5859</v>
      </c>
      <c r="E1126">
        <v>2053.35</v>
      </c>
      <c r="F1126">
        <v>410381</v>
      </c>
      <c r="G1126" s="660">
        <v>45799</v>
      </c>
      <c r="H1126" t="s">
        <v>7962</v>
      </c>
    </row>
    <row r="1127" spans="1:8">
      <c r="A1127">
        <v>502868</v>
      </c>
      <c r="B1127" t="s">
        <v>7963</v>
      </c>
      <c r="C1127" t="s">
        <v>7285</v>
      </c>
      <c r="D1127" t="s">
        <v>5859</v>
      </c>
      <c r="E1127">
        <v>41.2</v>
      </c>
      <c r="F1127">
        <v>408546</v>
      </c>
      <c r="G1127" s="660">
        <v>45429</v>
      </c>
      <c r="H1127" t="s">
        <v>7964</v>
      </c>
    </row>
    <row r="1128" spans="1:8">
      <c r="A1128">
        <v>502869</v>
      </c>
      <c r="B1128" t="s">
        <v>7965</v>
      </c>
      <c r="D1128" t="s">
        <v>5859</v>
      </c>
      <c r="G1128" s="660"/>
      <c r="H1128" t="s">
        <v>7738</v>
      </c>
    </row>
    <row r="1129" spans="1:8">
      <c r="A1129">
        <v>502871</v>
      </c>
      <c r="B1129" t="s">
        <v>7966</v>
      </c>
      <c r="D1129" t="s">
        <v>5859</v>
      </c>
      <c r="G1129" s="660"/>
      <c r="H1129" t="s">
        <v>7967</v>
      </c>
    </row>
    <row r="1130" spans="1:8">
      <c r="A1130">
        <v>502872</v>
      </c>
      <c r="B1130" t="s">
        <v>7968</v>
      </c>
      <c r="D1130" t="s">
        <v>5859</v>
      </c>
      <c r="G1130" s="660"/>
      <c r="H1130" t="s">
        <v>7969</v>
      </c>
    </row>
    <row r="1131" spans="1:8">
      <c r="A1131">
        <v>502873</v>
      </c>
      <c r="B1131" t="s">
        <v>7970</v>
      </c>
      <c r="C1131" t="s">
        <v>6524</v>
      </c>
      <c r="D1131" t="s">
        <v>5859</v>
      </c>
      <c r="E1131">
        <v>454</v>
      </c>
      <c r="F1131">
        <v>408625</v>
      </c>
      <c r="G1131" s="660">
        <v>45446</v>
      </c>
      <c r="H1131" t="s">
        <v>7971</v>
      </c>
    </row>
    <row r="1132" spans="1:8">
      <c r="A1132">
        <v>502874</v>
      </c>
      <c r="B1132" t="s">
        <v>7972</v>
      </c>
      <c r="C1132" t="s">
        <v>6524</v>
      </c>
      <c r="D1132" t="s">
        <v>5859</v>
      </c>
      <c r="E1132">
        <v>952</v>
      </c>
      <c r="F1132">
        <v>408625</v>
      </c>
      <c r="G1132" s="660">
        <v>45446</v>
      </c>
      <c r="H1132" t="s">
        <v>7973</v>
      </c>
    </row>
    <row r="1133" spans="1:8">
      <c r="A1133">
        <v>502875</v>
      </c>
      <c r="B1133" t="s">
        <v>7974</v>
      </c>
      <c r="C1133" t="s">
        <v>6524</v>
      </c>
      <c r="D1133" t="s">
        <v>5859</v>
      </c>
      <c r="E1133">
        <v>740</v>
      </c>
      <c r="F1133">
        <v>408625</v>
      </c>
      <c r="G1133" s="660">
        <v>45446</v>
      </c>
      <c r="H1133" t="s">
        <v>7975</v>
      </c>
    </row>
    <row r="1134" spans="1:8">
      <c r="A1134">
        <v>502876</v>
      </c>
      <c r="B1134" t="s">
        <v>7976</v>
      </c>
      <c r="C1134" t="s">
        <v>6524</v>
      </c>
      <c r="D1134" t="s">
        <v>5859</v>
      </c>
      <c r="E1134">
        <v>1266</v>
      </c>
      <c r="F1134">
        <v>408625</v>
      </c>
      <c r="G1134" s="660">
        <v>45446</v>
      </c>
      <c r="H1134" t="s">
        <v>7977</v>
      </c>
    </row>
    <row r="1135" spans="1:8">
      <c r="A1135">
        <v>502877</v>
      </c>
      <c r="B1135" t="s">
        <v>7978</v>
      </c>
      <c r="C1135" t="s">
        <v>1966</v>
      </c>
      <c r="D1135" t="s">
        <v>2814</v>
      </c>
      <c r="E1135">
        <v>213</v>
      </c>
      <c r="F1135">
        <v>409421</v>
      </c>
      <c r="G1135" s="660">
        <v>45608</v>
      </c>
      <c r="H1135" t="s">
        <v>7979</v>
      </c>
    </row>
    <row r="1136" spans="1:8">
      <c r="A1136">
        <v>502878</v>
      </c>
      <c r="B1136" t="s">
        <v>7980</v>
      </c>
      <c r="C1136" t="s">
        <v>5808</v>
      </c>
      <c r="D1136" t="s">
        <v>5859</v>
      </c>
      <c r="E1136">
        <v>16.86</v>
      </c>
      <c r="F1136">
        <v>409753</v>
      </c>
      <c r="G1136" s="660">
        <v>45687</v>
      </c>
      <c r="H1136" t="s">
        <v>7981</v>
      </c>
    </row>
    <row r="1137" spans="1:8">
      <c r="A1137">
        <v>502879</v>
      </c>
      <c r="B1137" t="s">
        <v>7982</v>
      </c>
      <c r="C1137" t="s">
        <v>1966</v>
      </c>
      <c r="D1137" t="s">
        <v>5859</v>
      </c>
      <c r="E1137">
        <v>85.17</v>
      </c>
      <c r="F1137">
        <v>408676</v>
      </c>
      <c r="G1137" s="660">
        <v>45454</v>
      </c>
      <c r="H1137" t="s">
        <v>7983</v>
      </c>
    </row>
    <row r="1138" spans="1:8">
      <c r="A1138">
        <v>502880</v>
      </c>
      <c r="B1138" t="s">
        <v>7984</v>
      </c>
      <c r="D1138" t="s">
        <v>5859</v>
      </c>
      <c r="G1138" s="660"/>
      <c r="H1138" t="s">
        <v>7985</v>
      </c>
    </row>
    <row r="1139" spans="1:8">
      <c r="A1139">
        <v>502886</v>
      </c>
      <c r="B1139" t="s">
        <v>7986</v>
      </c>
      <c r="C1139" t="s">
        <v>6481</v>
      </c>
      <c r="D1139" t="s">
        <v>5859</v>
      </c>
      <c r="E1139">
        <v>1659.7</v>
      </c>
      <c r="F1139">
        <v>409293</v>
      </c>
      <c r="G1139" s="660">
        <v>45581</v>
      </c>
      <c r="H1139" t="s">
        <v>7987</v>
      </c>
    </row>
    <row r="1140" spans="1:8">
      <c r="A1140">
        <v>502887</v>
      </c>
      <c r="B1140" t="s">
        <v>6689</v>
      </c>
      <c r="D1140" t="s">
        <v>5859</v>
      </c>
      <c r="G1140" s="660"/>
      <c r="H1140" t="s">
        <v>7988</v>
      </c>
    </row>
    <row r="1141" spans="1:8">
      <c r="A1141">
        <v>502889</v>
      </c>
      <c r="B1141" t="s">
        <v>7989</v>
      </c>
      <c r="C1141" t="s">
        <v>6497</v>
      </c>
      <c r="D1141" t="s">
        <v>5859</v>
      </c>
      <c r="E1141">
        <v>1490.9</v>
      </c>
      <c r="F1141">
        <v>408867</v>
      </c>
      <c r="G1141" s="660">
        <v>45494</v>
      </c>
      <c r="H1141" t="s">
        <v>7990</v>
      </c>
    </row>
    <row r="1142" spans="1:8">
      <c r="A1142">
        <v>502890</v>
      </c>
      <c r="B1142" t="s">
        <v>7991</v>
      </c>
      <c r="C1142" t="s">
        <v>1966</v>
      </c>
      <c r="D1142" t="s">
        <v>5859</v>
      </c>
      <c r="E1142">
        <v>1.3</v>
      </c>
      <c r="F1142">
        <v>409011</v>
      </c>
      <c r="G1142" s="660">
        <v>45525</v>
      </c>
      <c r="H1142" t="s">
        <v>7992</v>
      </c>
    </row>
    <row r="1143" spans="1:8">
      <c r="A1143">
        <v>502892</v>
      </c>
      <c r="B1143" t="s">
        <v>7993</v>
      </c>
      <c r="C1143" t="s">
        <v>1966</v>
      </c>
      <c r="D1143" t="s">
        <v>5859</v>
      </c>
      <c r="E1143">
        <v>2.82</v>
      </c>
      <c r="F1143">
        <v>409101</v>
      </c>
      <c r="G1143" s="660">
        <v>45545</v>
      </c>
      <c r="H1143" t="s">
        <v>2293</v>
      </c>
    </row>
    <row r="1144" spans="1:8">
      <c r="A1144">
        <v>502893</v>
      </c>
      <c r="B1144" t="s">
        <v>7994</v>
      </c>
      <c r="C1144" t="s">
        <v>5992</v>
      </c>
      <c r="D1144" t="s">
        <v>5859</v>
      </c>
      <c r="E1144">
        <v>751.2</v>
      </c>
      <c r="F1144">
        <v>410150</v>
      </c>
      <c r="G1144" s="660">
        <v>45756</v>
      </c>
      <c r="H1144" t="s">
        <v>7995</v>
      </c>
    </row>
    <row r="1145" spans="1:8">
      <c r="A1145">
        <v>502894</v>
      </c>
      <c r="B1145" t="s">
        <v>7996</v>
      </c>
      <c r="C1145" t="s">
        <v>1966</v>
      </c>
      <c r="D1145" t="s">
        <v>5859</v>
      </c>
      <c r="E1145">
        <v>0.72719999999999996</v>
      </c>
      <c r="F1145">
        <v>409101</v>
      </c>
      <c r="G1145" s="660">
        <v>45545</v>
      </c>
      <c r="H1145" t="s">
        <v>2293</v>
      </c>
    </row>
    <row r="1146" spans="1:8">
      <c r="A1146">
        <v>502895</v>
      </c>
      <c r="B1146" t="s">
        <v>7997</v>
      </c>
      <c r="C1146" t="s">
        <v>1966</v>
      </c>
      <c r="D1146" t="s">
        <v>5859</v>
      </c>
      <c r="E1146">
        <v>12</v>
      </c>
      <c r="F1146">
        <v>409101</v>
      </c>
      <c r="G1146" s="660">
        <v>45545</v>
      </c>
      <c r="H1146" t="s">
        <v>2293</v>
      </c>
    </row>
    <row r="1147" spans="1:8">
      <c r="A1147">
        <v>502896</v>
      </c>
      <c r="B1147" t="s">
        <v>7998</v>
      </c>
      <c r="C1147" t="s">
        <v>5992</v>
      </c>
      <c r="D1147" t="s">
        <v>5859</v>
      </c>
      <c r="E1147">
        <v>748.8</v>
      </c>
      <c r="F1147">
        <v>408884</v>
      </c>
      <c r="G1147" s="660">
        <v>45497</v>
      </c>
      <c r="H1147" t="s">
        <v>7999</v>
      </c>
    </row>
    <row r="1148" spans="1:8">
      <c r="A1148">
        <v>502897</v>
      </c>
      <c r="B1148" t="s">
        <v>8000</v>
      </c>
      <c r="D1148" t="s">
        <v>5859</v>
      </c>
      <c r="G1148" s="660"/>
      <c r="H1148" t="s">
        <v>8001</v>
      </c>
    </row>
    <row r="1149" spans="1:8">
      <c r="A1149">
        <v>502898</v>
      </c>
      <c r="B1149" t="s">
        <v>8002</v>
      </c>
      <c r="C1149" t="s">
        <v>1966</v>
      </c>
      <c r="D1149" t="s">
        <v>5859</v>
      </c>
      <c r="E1149">
        <v>61.05</v>
      </c>
      <c r="F1149">
        <v>409101</v>
      </c>
      <c r="G1149" s="660">
        <v>45545</v>
      </c>
      <c r="H1149" t="s">
        <v>8003</v>
      </c>
    </row>
    <row r="1150" spans="1:8">
      <c r="A1150">
        <v>502899</v>
      </c>
      <c r="B1150" t="s">
        <v>8004</v>
      </c>
      <c r="D1150" t="s">
        <v>5859</v>
      </c>
      <c r="G1150" s="660"/>
      <c r="H1150" t="s">
        <v>8005</v>
      </c>
    </row>
    <row r="1151" spans="1:8">
      <c r="A1151">
        <v>502900</v>
      </c>
      <c r="B1151" t="s">
        <v>8006</v>
      </c>
      <c r="D1151" t="s">
        <v>5859</v>
      </c>
      <c r="G1151" s="660"/>
      <c r="H1151" t="s">
        <v>8007</v>
      </c>
    </row>
    <row r="1152" spans="1:8">
      <c r="A1152">
        <v>502901</v>
      </c>
      <c r="B1152" t="s">
        <v>8008</v>
      </c>
      <c r="C1152" t="s">
        <v>1966</v>
      </c>
      <c r="D1152" t="s">
        <v>5859</v>
      </c>
      <c r="E1152">
        <v>7.65</v>
      </c>
      <c r="F1152">
        <v>409011</v>
      </c>
      <c r="G1152" s="660">
        <v>45525</v>
      </c>
      <c r="H1152" t="s">
        <v>8009</v>
      </c>
    </row>
    <row r="1153" spans="1:8">
      <c r="A1153">
        <v>502903</v>
      </c>
      <c r="B1153" t="s">
        <v>8010</v>
      </c>
      <c r="C1153" t="s">
        <v>6524</v>
      </c>
      <c r="D1153" t="s">
        <v>5859</v>
      </c>
      <c r="E1153">
        <v>678.64</v>
      </c>
      <c r="F1153">
        <v>408908</v>
      </c>
      <c r="G1153" s="660">
        <v>45503</v>
      </c>
      <c r="H1153" t="s">
        <v>8011</v>
      </c>
    </row>
    <row r="1154" spans="1:8">
      <c r="A1154">
        <v>502904</v>
      </c>
      <c r="B1154" t="s">
        <v>8012</v>
      </c>
      <c r="C1154" t="s">
        <v>6524</v>
      </c>
      <c r="D1154" t="s">
        <v>5859</v>
      </c>
      <c r="E1154">
        <v>1114.3599999999999</v>
      </c>
      <c r="F1154">
        <v>408908</v>
      </c>
      <c r="G1154" s="660">
        <v>45503</v>
      </c>
      <c r="H1154" t="s">
        <v>8013</v>
      </c>
    </row>
    <row r="1155" spans="1:8">
      <c r="A1155">
        <v>502907</v>
      </c>
      <c r="B1155" t="s">
        <v>8014</v>
      </c>
      <c r="C1155" t="s">
        <v>5992</v>
      </c>
      <c r="D1155" t="s">
        <v>5859</v>
      </c>
      <c r="E1155">
        <v>427.2</v>
      </c>
      <c r="F1155">
        <v>408974</v>
      </c>
      <c r="G1155" s="660">
        <v>45518</v>
      </c>
      <c r="H1155" t="s">
        <v>8015</v>
      </c>
    </row>
    <row r="1156" spans="1:8">
      <c r="A1156">
        <v>502919</v>
      </c>
      <c r="B1156" t="s">
        <v>8016</v>
      </c>
      <c r="D1156" t="s">
        <v>5859</v>
      </c>
      <c r="G1156" s="660"/>
      <c r="H1156" t="s">
        <v>8017</v>
      </c>
    </row>
    <row r="1157" spans="1:8">
      <c r="A1157">
        <v>502920</v>
      </c>
      <c r="B1157" t="s">
        <v>8018</v>
      </c>
      <c r="C1157" t="s">
        <v>1966</v>
      </c>
      <c r="D1157" t="s">
        <v>2814</v>
      </c>
      <c r="E1157">
        <v>6.52</v>
      </c>
      <c r="F1157">
        <v>409701</v>
      </c>
      <c r="G1157" s="660">
        <v>45678</v>
      </c>
      <c r="H1157" t="s">
        <v>8019</v>
      </c>
    </row>
    <row r="1158" spans="1:8">
      <c r="A1158">
        <v>502921</v>
      </c>
      <c r="B1158" t="s">
        <v>8020</v>
      </c>
      <c r="C1158" t="s">
        <v>1966</v>
      </c>
      <c r="D1158" t="s">
        <v>5859</v>
      </c>
      <c r="E1158">
        <v>35.35</v>
      </c>
      <c r="F1158">
        <v>410370</v>
      </c>
      <c r="G1158" s="660">
        <v>45798</v>
      </c>
      <c r="H1158" t="s">
        <v>8021</v>
      </c>
    </row>
    <row r="1159" spans="1:8">
      <c r="A1159">
        <v>502923</v>
      </c>
      <c r="B1159" t="s">
        <v>8022</v>
      </c>
      <c r="C1159" t="s">
        <v>1966</v>
      </c>
      <c r="D1159" t="s">
        <v>5859</v>
      </c>
      <c r="E1159">
        <v>2.91</v>
      </c>
      <c r="F1159">
        <v>409961</v>
      </c>
      <c r="G1159" s="660">
        <v>45726</v>
      </c>
      <c r="H1159" t="s">
        <v>8023</v>
      </c>
    </row>
    <row r="1160" spans="1:8">
      <c r="A1160">
        <v>502924</v>
      </c>
      <c r="B1160" t="s">
        <v>8024</v>
      </c>
      <c r="C1160" t="s">
        <v>1665</v>
      </c>
      <c r="D1160" t="s">
        <v>5859</v>
      </c>
      <c r="E1160">
        <v>174.76</v>
      </c>
      <c r="F1160">
        <v>409279</v>
      </c>
      <c r="G1160" s="660">
        <v>45579</v>
      </c>
      <c r="H1160" t="s">
        <v>8025</v>
      </c>
    </row>
    <row r="1161" spans="1:8">
      <c r="A1161">
        <v>502926</v>
      </c>
      <c r="B1161" t="s">
        <v>8026</v>
      </c>
      <c r="C1161" t="s">
        <v>1966</v>
      </c>
      <c r="D1161" t="s">
        <v>5859</v>
      </c>
      <c r="E1161">
        <v>150.93</v>
      </c>
      <c r="F1161">
        <v>409296</v>
      </c>
      <c r="G1161" s="660">
        <v>45582</v>
      </c>
      <c r="H1161" t="s">
        <v>8027</v>
      </c>
    </row>
    <row r="1162" spans="1:8">
      <c r="A1162">
        <v>502927</v>
      </c>
      <c r="B1162" t="s">
        <v>8028</v>
      </c>
      <c r="C1162" t="s">
        <v>1966</v>
      </c>
      <c r="D1162" t="s">
        <v>5859</v>
      </c>
      <c r="E1162">
        <v>231.57</v>
      </c>
      <c r="F1162">
        <v>409296</v>
      </c>
      <c r="G1162" s="660">
        <v>45582</v>
      </c>
      <c r="H1162" t="s">
        <v>8029</v>
      </c>
    </row>
    <row r="1163" spans="1:8">
      <c r="A1163">
        <v>502928</v>
      </c>
      <c r="B1163" t="s">
        <v>8030</v>
      </c>
      <c r="C1163" t="s">
        <v>1966</v>
      </c>
      <c r="D1163" t="s">
        <v>5859</v>
      </c>
      <c r="E1163">
        <v>26.64</v>
      </c>
      <c r="F1163">
        <v>409083</v>
      </c>
      <c r="G1163" s="660">
        <v>45541</v>
      </c>
      <c r="H1163" t="s">
        <v>8031</v>
      </c>
    </row>
    <row r="1164" spans="1:8">
      <c r="A1164">
        <v>502929</v>
      </c>
      <c r="B1164" t="s">
        <v>8032</v>
      </c>
      <c r="C1164" t="s">
        <v>1966</v>
      </c>
      <c r="D1164" t="s">
        <v>5859</v>
      </c>
      <c r="E1164">
        <v>9.02</v>
      </c>
      <c r="F1164">
        <v>409083</v>
      </c>
      <c r="G1164" s="660">
        <v>45541</v>
      </c>
      <c r="H1164" t="s">
        <v>8033</v>
      </c>
    </row>
    <row r="1165" spans="1:8">
      <c r="A1165">
        <v>502930</v>
      </c>
      <c r="B1165" t="s">
        <v>8034</v>
      </c>
      <c r="C1165" t="s">
        <v>1966</v>
      </c>
      <c r="D1165" t="s">
        <v>5859</v>
      </c>
      <c r="E1165">
        <v>10.58</v>
      </c>
      <c r="F1165">
        <v>409083</v>
      </c>
      <c r="G1165" s="660">
        <v>45541</v>
      </c>
      <c r="H1165" t="s">
        <v>8035</v>
      </c>
    </row>
    <row r="1166" spans="1:8">
      <c r="A1166">
        <v>502931</v>
      </c>
      <c r="B1166" t="s">
        <v>8036</v>
      </c>
      <c r="C1166" t="s">
        <v>1966</v>
      </c>
      <c r="D1166" t="s">
        <v>5859</v>
      </c>
      <c r="E1166">
        <v>415.32</v>
      </c>
      <c r="F1166">
        <v>409083</v>
      </c>
      <c r="G1166" s="660">
        <v>45541</v>
      </c>
      <c r="H1166" t="s">
        <v>8037</v>
      </c>
    </row>
    <row r="1167" spans="1:8">
      <c r="A1167">
        <v>502932</v>
      </c>
      <c r="B1167" t="s">
        <v>8038</v>
      </c>
      <c r="C1167" t="s">
        <v>1966</v>
      </c>
      <c r="D1167" t="s">
        <v>5859</v>
      </c>
      <c r="E1167">
        <v>110</v>
      </c>
      <c r="F1167">
        <v>409083</v>
      </c>
      <c r="G1167" s="660">
        <v>45541</v>
      </c>
      <c r="H1167" t="s">
        <v>8039</v>
      </c>
    </row>
    <row r="1168" spans="1:8">
      <c r="A1168">
        <v>502933</v>
      </c>
      <c r="B1168" t="s">
        <v>8040</v>
      </c>
      <c r="C1168" t="s">
        <v>1966</v>
      </c>
      <c r="D1168" t="s">
        <v>5859</v>
      </c>
      <c r="E1168">
        <v>79.099999999999994</v>
      </c>
      <c r="F1168">
        <v>409083</v>
      </c>
      <c r="G1168" s="660">
        <v>45541</v>
      </c>
      <c r="H1168" t="s">
        <v>8041</v>
      </c>
    </row>
    <row r="1169" spans="1:8">
      <c r="A1169">
        <v>502937</v>
      </c>
      <c r="B1169" t="s">
        <v>8042</v>
      </c>
      <c r="C1169" t="s">
        <v>1966</v>
      </c>
      <c r="D1169" t="s">
        <v>5859</v>
      </c>
      <c r="E1169">
        <v>18.079999999999998</v>
      </c>
      <c r="F1169">
        <v>409130</v>
      </c>
      <c r="G1169" s="660">
        <v>45552</v>
      </c>
      <c r="H1169" t="s">
        <v>8043</v>
      </c>
    </row>
    <row r="1170" spans="1:8">
      <c r="A1170">
        <v>502940</v>
      </c>
      <c r="B1170" t="s">
        <v>8044</v>
      </c>
      <c r="D1170" t="s">
        <v>6830</v>
      </c>
      <c r="G1170" s="660"/>
      <c r="H1170" t="s">
        <v>8045</v>
      </c>
    </row>
    <row r="1171" spans="1:8">
      <c r="A1171">
        <v>502943</v>
      </c>
      <c r="B1171" t="s">
        <v>8046</v>
      </c>
      <c r="C1171" t="s">
        <v>1966</v>
      </c>
      <c r="D1171" t="s">
        <v>5859</v>
      </c>
      <c r="E1171">
        <v>10.8</v>
      </c>
      <c r="F1171">
        <v>409439</v>
      </c>
      <c r="G1171" s="660">
        <v>45608</v>
      </c>
      <c r="H1171" t="s">
        <v>8047</v>
      </c>
    </row>
    <row r="1172" spans="1:8">
      <c r="A1172">
        <v>502944</v>
      </c>
      <c r="B1172" t="s">
        <v>8048</v>
      </c>
      <c r="C1172" t="s">
        <v>1966</v>
      </c>
      <c r="D1172" t="s">
        <v>5859</v>
      </c>
      <c r="E1172">
        <v>34.979999999999997</v>
      </c>
      <c r="F1172">
        <v>409439</v>
      </c>
      <c r="G1172" s="660">
        <v>45608</v>
      </c>
      <c r="H1172" t="s">
        <v>8049</v>
      </c>
    </row>
    <row r="1173" spans="1:8">
      <c r="A1173">
        <v>502945</v>
      </c>
      <c r="B1173" t="s">
        <v>8050</v>
      </c>
      <c r="C1173" t="s">
        <v>1966</v>
      </c>
      <c r="D1173" t="s">
        <v>5859</v>
      </c>
      <c r="E1173">
        <v>3.32</v>
      </c>
      <c r="F1173">
        <v>409439</v>
      </c>
      <c r="G1173" s="660">
        <v>45608</v>
      </c>
      <c r="H1173" t="s">
        <v>8051</v>
      </c>
    </row>
    <row r="1174" spans="1:8">
      <c r="A1174">
        <v>502946</v>
      </c>
      <c r="B1174" t="s">
        <v>8052</v>
      </c>
      <c r="C1174" t="s">
        <v>7410</v>
      </c>
      <c r="D1174" t="s">
        <v>5859</v>
      </c>
      <c r="E1174">
        <v>577</v>
      </c>
      <c r="F1174">
        <v>409227</v>
      </c>
      <c r="G1174" s="660">
        <v>45568</v>
      </c>
      <c r="H1174" t="s">
        <v>8053</v>
      </c>
    </row>
    <row r="1175" spans="1:8">
      <c r="A1175">
        <v>502947</v>
      </c>
      <c r="B1175" t="s">
        <v>8054</v>
      </c>
      <c r="C1175" t="s">
        <v>7410</v>
      </c>
      <c r="D1175" t="s">
        <v>5859</v>
      </c>
      <c r="E1175">
        <v>5.38</v>
      </c>
      <c r="F1175">
        <v>409227</v>
      </c>
      <c r="G1175" s="660">
        <v>45568</v>
      </c>
      <c r="H1175" t="s">
        <v>8053</v>
      </c>
    </row>
    <row r="1176" spans="1:8">
      <c r="A1176">
        <v>502948</v>
      </c>
      <c r="B1176" t="s">
        <v>8055</v>
      </c>
      <c r="C1176" t="s">
        <v>1908</v>
      </c>
      <c r="D1176" t="s">
        <v>6830</v>
      </c>
      <c r="E1176">
        <v>18.559999999999999</v>
      </c>
      <c r="F1176">
        <v>409582</v>
      </c>
      <c r="G1176" s="660">
        <v>45645</v>
      </c>
      <c r="H1176" t="s">
        <v>2293</v>
      </c>
    </row>
    <row r="1177" spans="1:8">
      <c r="A1177">
        <v>502950</v>
      </c>
      <c r="B1177" t="s">
        <v>8056</v>
      </c>
      <c r="D1177" t="s">
        <v>5859</v>
      </c>
      <c r="G1177" s="660"/>
      <c r="H1177" t="s">
        <v>8057</v>
      </c>
    </row>
    <row r="1178" spans="1:8">
      <c r="A1178">
        <v>502951</v>
      </c>
      <c r="B1178" t="s">
        <v>8058</v>
      </c>
      <c r="D1178" t="s">
        <v>5859</v>
      </c>
      <c r="G1178" s="660"/>
      <c r="H1178" t="s">
        <v>8059</v>
      </c>
    </row>
    <row r="1179" spans="1:8">
      <c r="A1179">
        <v>502953</v>
      </c>
      <c r="B1179" t="s">
        <v>8058</v>
      </c>
      <c r="C1179" t="s">
        <v>1966</v>
      </c>
      <c r="D1179" t="s">
        <v>5859</v>
      </c>
      <c r="E1179">
        <v>9.48</v>
      </c>
      <c r="F1179">
        <v>409280</v>
      </c>
      <c r="G1179" s="660">
        <v>45579</v>
      </c>
      <c r="H1179" t="s">
        <v>8060</v>
      </c>
    </row>
    <row r="1180" spans="1:8">
      <c r="A1180">
        <v>502954</v>
      </c>
      <c r="B1180" t="s">
        <v>8061</v>
      </c>
      <c r="C1180" t="s">
        <v>1966</v>
      </c>
      <c r="D1180" t="s">
        <v>5859</v>
      </c>
      <c r="E1180">
        <v>9.3000000000000007</v>
      </c>
      <c r="F1180">
        <v>409280</v>
      </c>
      <c r="G1180" s="660">
        <v>45579</v>
      </c>
      <c r="H1180" t="s">
        <v>8062</v>
      </c>
    </row>
    <row r="1181" spans="1:8">
      <c r="A1181">
        <v>502956</v>
      </c>
      <c r="B1181" t="s">
        <v>8063</v>
      </c>
      <c r="C1181" t="s">
        <v>6497</v>
      </c>
      <c r="D1181" t="s">
        <v>5859</v>
      </c>
      <c r="E1181">
        <v>1949.9</v>
      </c>
      <c r="F1181">
        <v>409278</v>
      </c>
      <c r="G1181" s="660">
        <v>45579</v>
      </c>
      <c r="H1181" t="s">
        <v>8064</v>
      </c>
    </row>
    <row r="1182" spans="1:8">
      <c r="A1182">
        <v>502957</v>
      </c>
      <c r="B1182" t="s">
        <v>8065</v>
      </c>
      <c r="D1182" t="s">
        <v>5859</v>
      </c>
      <c r="G1182" s="660"/>
      <c r="H1182" t="s">
        <v>8066</v>
      </c>
    </row>
    <row r="1183" spans="1:8">
      <c r="A1183">
        <v>502958</v>
      </c>
      <c r="B1183" t="s">
        <v>8067</v>
      </c>
      <c r="C1183" t="s">
        <v>1966</v>
      </c>
      <c r="D1183" t="s">
        <v>5859</v>
      </c>
      <c r="E1183">
        <v>55.77</v>
      </c>
      <c r="F1183">
        <v>409439</v>
      </c>
      <c r="G1183" s="660">
        <v>45608</v>
      </c>
      <c r="H1183" t="s">
        <v>8068</v>
      </c>
    </row>
    <row r="1184" spans="1:8">
      <c r="A1184">
        <v>502959</v>
      </c>
      <c r="B1184" t="s">
        <v>8069</v>
      </c>
      <c r="C1184" t="s">
        <v>1966</v>
      </c>
      <c r="D1184" t="s">
        <v>5859</v>
      </c>
      <c r="E1184">
        <v>2.8839999999999999</v>
      </c>
      <c r="F1184">
        <v>409468</v>
      </c>
      <c r="G1184" s="660">
        <v>45614</v>
      </c>
      <c r="H1184" t="s">
        <v>8070</v>
      </c>
    </row>
    <row r="1185" spans="1:8">
      <c r="A1185">
        <v>502960</v>
      </c>
      <c r="B1185" t="s">
        <v>8071</v>
      </c>
      <c r="C1185" t="s">
        <v>1665</v>
      </c>
      <c r="D1185" t="s">
        <v>5859</v>
      </c>
      <c r="E1185">
        <v>464.81</v>
      </c>
      <c r="F1185">
        <v>409741</v>
      </c>
      <c r="G1185" s="660">
        <v>45685</v>
      </c>
      <c r="H1185" t="s">
        <v>8072</v>
      </c>
    </row>
    <row r="1186" spans="1:8">
      <c r="A1186">
        <v>502961</v>
      </c>
      <c r="B1186" t="s">
        <v>8073</v>
      </c>
      <c r="C1186" t="s">
        <v>7318</v>
      </c>
      <c r="D1186" t="s">
        <v>5859</v>
      </c>
      <c r="E1186">
        <v>410.37</v>
      </c>
      <c r="F1186">
        <v>409371</v>
      </c>
      <c r="G1186" s="660">
        <v>45597</v>
      </c>
      <c r="H1186" t="s">
        <v>8074</v>
      </c>
    </row>
    <row r="1187" spans="1:8">
      <c r="A1187">
        <v>502962</v>
      </c>
      <c r="B1187" t="s">
        <v>8075</v>
      </c>
      <c r="C1187" t="s">
        <v>7318</v>
      </c>
      <c r="D1187" t="s">
        <v>5859</v>
      </c>
      <c r="E1187">
        <v>1165.24</v>
      </c>
      <c r="F1187">
        <v>409371</v>
      </c>
      <c r="G1187" s="660">
        <v>45597</v>
      </c>
      <c r="H1187" t="s">
        <v>8076</v>
      </c>
    </row>
    <row r="1188" spans="1:8">
      <c r="A1188">
        <v>502963</v>
      </c>
      <c r="B1188" t="s">
        <v>8077</v>
      </c>
      <c r="C1188" t="s">
        <v>1966</v>
      </c>
      <c r="D1188" t="s">
        <v>5859</v>
      </c>
      <c r="E1188">
        <v>51.74</v>
      </c>
      <c r="F1188">
        <v>409439</v>
      </c>
      <c r="G1188" s="660">
        <v>45608</v>
      </c>
      <c r="H1188" t="s">
        <v>8078</v>
      </c>
    </row>
    <row r="1189" spans="1:8">
      <c r="A1189">
        <v>502964</v>
      </c>
      <c r="B1189" t="s">
        <v>8079</v>
      </c>
      <c r="C1189" t="s">
        <v>1966</v>
      </c>
      <c r="D1189" t="s">
        <v>5859</v>
      </c>
      <c r="E1189">
        <v>0.3896</v>
      </c>
      <c r="F1189">
        <v>409425</v>
      </c>
      <c r="G1189" s="660">
        <v>45608</v>
      </c>
      <c r="H1189" t="s">
        <v>8080</v>
      </c>
    </row>
    <row r="1190" spans="1:8">
      <c r="A1190">
        <v>502969</v>
      </c>
      <c r="B1190" t="s">
        <v>8081</v>
      </c>
      <c r="D1190" t="s">
        <v>5859</v>
      </c>
      <c r="G1190" s="660"/>
      <c r="H1190" t="s">
        <v>8082</v>
      </c>
    </row>
    <row r="1191" spans="1:8">
      <c r="A1191">
        <v>502970</v>
      </c>
      <c r="B1191" t="s">
        <v>8083</v>
      </c>
      <c r="D1191" t="s">
        <v>5859</v>
      </c>
      <c r="G1191" s="660"/>
      <c r="H1191" t="s">
        <v>8084</v>
      </c>
    </row>
    <row r="1192" spans="1:8">
      <c r="A1192">
        <v>502971</v>
      </c>
      <c r="B1192" t="s">
        <v>8085</v>
      </c>
      <c r="C1192" t="s">
        <v>5900</v>
      </c>
      <c r="D1192" t="s">
        <v>5859</v>
      </c>
      <c r="E1192">
        <v>133.24</v>
      </c>
      <c r="F1192">
        <v>409514</v>
      </c>
      <c r="G1192" s="660">
        <v>45621</v>
      </c>
      <c r="H1192" t="s">
        <v>8086</v>
      </c>
    </row>
    <row r="1193" spans="1:8">
      <c r="A1193">
        <v>502972</v>
      </c>
      <c r="B1193" t="s">
        <v>8087</v>
      </c>
      <c r="C1193" t="s">
        <v>5900</v>
      </c>
      <c r="D1193" t="s">
        <v>5859</v>
      </c>
      <c r="E1193">
        <v>29.23</v>
      </c>
      <c r="F1193">
        <v>409514</v>
      </c>
      <c r="G1193" s="660">
        <v>45621</v>
      </c>
      <c r="H1193" t="s">
        <v>8088</v>
      </c>
    </row>
    <row r="1194" spans="1:8">
      <c r="A1194">
        <v>502973</v>
      </c>
      <c r="B1194" t="s">
        <v>8089</v>
      </c>
      <c r="D1194" t="s">
        <v>5859</v>
      </c>
      <c r="G1194" s="660"/>
      <c r="H1194" t="s">
        <v>8090</v>
      </c>
    </row>
    <row r="1195" spans="1:8">
      <c r="A1195">
        <v>502975</v>
      </c>
      <c r="B1195" t="s">
        <v>8091</v>
      </c>
      <c r="C1195" t="s">
        <v>6684</v>
      </c>
      <c r="D1195" t="s">
        <v>5859</v>
      </c>
      <c r="E1195">
        <v>123.82</v>
      </c>
      <c r="F1195">
        <v>409541</v>
      </c>
      <c r="G1195" s="660">
        <v>45632</v>
      </c>
      <c r="H1195" t="s">
        <v>8092</v>
      </c>
    </row>
    <row r="1196" spans="1:8">
      <c r="A1196">
        <v>502978</v>
      </c>
      <c r="B1196" t="s">
        <v>8093</v>
      </c>
      <c r="C1196" t="s">
        <v>6013</v>
      </c>
      <c r="D1196" t="s">
        <v>5859</v>
      </c>
      <c r="E1196">
        <v>176.71</v>
      </c>
      <c r="F1196">
        <v>409552</v>
      </c>
      <c r="G1196" s="660">
        <v>45637</v>
      </c>
      <c r="H1196" t="s">
        <v>8094</v>
      </c>
    </row>
    <row r="1197" spans="1:8">
      <c r="A1197">
        <v>502979</v>
      </c>
      <c r="B1197" t="s">
        <v>8095</v>
      </c>
      <c r="C1197" t="s">
        <v>1966</v>
      </c>
      <c r="D1197" t="s">
        <v>5859</v>
      </c>
      <c r="E1197">
        <v>6.83</v>
      </c>
      <c r="F1197">
        <v>409793</v>
      </c>
      <c r="G1197" s="660">
        <v>45698</v>
      </c>
      <c r="H1197" t="s">
        <v>8096</v>
      </c>
    </row>
    <row r="1198" spans="1:8">
      <c r="A1198">
        <v>502980</v>
      </c>
      <c r="B1198" t="s">
        <v>8097</v>
      </c>
      <c r="C1198" t="s">
        <v>1665</v>
      </c>
      <c r="D1198" t="s">
        <v>5859</v>
      </c>
      <c r="E1198">
        <v>112.79</v>
      </c>
      <c r="F1198">
        <v>409557</v>
      </c>
      <c r="G1198" s="660">
        <v>45637</v>
      </c>
      <c r="H1198" t="s">
        <v>8098</v>
      </c>
    </row>
    <row r="1199" spans="1:8">
      <c r="A1199">
        <v>502981</v>
      </c>
      <c r="B1199" t="s">
        <v>8099</v>
      </c>
      <c r="C1199" t="s">
        <v>1665</v>
      </c>
      <c r="D1199" t="s">
        <v>5859</v>
      </c>
      <c r="E1199">
        <v>243.55</v>
      </c>
      <c r="F1199">
        <v>409557</v>
      </c>
      <c r="G1199" s="660">
        <v>45637</v>
      </c>
      <c r="H1199" t="s">
        <v>8100</v>
      </c>
    </row>
    <row r="1200" spans="1:8">
      <c r="A1200">
        <v>502983</v>
      </c>
      <c r="B1200" t="s">
        <v>8101</v>
      </c>
      <c r="C1200" t="s">
        <v>1966</v>
      </c>
      <c r="D1200" t="s">
        <v>5859</v>
      </c>
      <c r="E1200">
        <v>2.294</v>
      </c>
      <c r="F1200">
        <v>409732</v>
      </c>
      <c r="G1200" s="660">
        <v>45684</v>
      </c>
      <c r="H1200" t="s">
        <v>8102</v>
      </c>
    </row>
    <row r="1201" spans="1:8">
      <c r="A1201">
        <v>502986</v>
      </c>
      <c r="B1201" t="s">
        <v>8103</v>
      </c>
      <c r="C1201" t="s">
        <v>6490</v>
      </c>
      <c r="D1201" t="s">
        <v>5859</v>
      </c>
      <c r="E1201">
        <v>42.25</v>
      </c>
      <c r="F1201">
        <v>409637</v>
      </c>
      <c r="G1201" s="660">
        <v>45666</v>
      </c>
      <c r="H1201" t="s">
        <v>8104</v>
      </c>
    </row>
    <row r="1202" spans="1:8">
      <c r="A1202">
        <v>502987</v>
      </c>
      <c r="B1202" t="s">
        <v>8105</v>
      </c>
      <c r="C1202" t="s">
        <v>6490</v>
      </c>
      <c r="D1202" t="s">
        <v>5859</v>
      </c>
      <c r="E1202">
        <v>266.3</v>
      </c>
      <c r="F1202">
        <v>409637</v>
      </c>
      <c r="G1202" s="660">
        <v>45666</v>
      </c>
      <c r="H1202" t="s">
        <v>8106</v>
      </c>
    </row>
    <row r="1203" spans="1:8">
      <c r="A1203">
        <v>502988</v>
      </c>
      <c r="B1203" t="s">
        <v>8107</v>
      </c>
      <c r="C1203" t="s">
        <v>1665</v>
      </c>
      <c r="D1203" t="s">
        <v>5859</v>
      </c>
      <c r="E1203">
        <v>103.04</v>
      </c>
      <c r="F1203">
        <v>409658</v>
      </c>
      <c r="G1203" s="660">
        <v>45671</v>
      </c>
      <c r="H1203" t="s">
        <v>8108</v>
      </c>
    </row>
    <row r="1204" spans="1:8">
      <c r="A1204">
        <v>502989</v>
      </c>
      <c r="B1204" t="s">
        <v>8109</v>
      </c>
      <c r="C1204" t="s">
        <v>1665</v>
      </c>
      <c r="D1204" t="s">
        <v>5859</v>
      </c>
      <c r="E1204">
        <v>136.44</v>
      </c>
      <c r="F1204">
        <v>409658</v>
      </c>
      <c r="G1204" s="660">
        <v>45671</v>
      </c>
      <c r="H1204" t="s">
        <v>8110</v>
      </c>
    </row>
    <row r="1205" spans="1:8">
      <c r="A1205">
        <v>502991</v>
      </c>
      <c r="B1205" t="s">
        <v>7299</v>
      </c>
      <c r="C1205" t="s">
        <v>1665</v>
      </c>
      <c r="D1205" t="s">
        <v>5859</v>
      </c>
      <c r="E1205">
        <v>572.99</v>
      </c>
      <c r="F1205">
        <v>409935</v>
      </c>
      <c r="G1205" s="660">
        <v>45720</v>
      </c>
      <c r="H1205" t="s">
        <v>8111</v>
      </c>
    </row>
    <row r="1206" spans="1:8">
      <c r="A1206">
        <v>502992</v>
      </c>
      <c r="B1206" t="s">
        <v>8112</v>
      </c>
      <c r="C1206" t="s">
        <v>1930</v>
      </c>
      <c r="D1206" t="s">
        <v>5859</v>
      </c>
      <c r="E1206">
        <v>19.8</v>
      </c>
      <c r="F1206">
        <v>410094</v>
      </c>
      <c r="G1206" s="660">
        <v>45750</v>
      </c>
      <c r="H1206" t="s">
        <v>8113</v>
      </c>
    </row>
    <row r="1207" spans="1:8">
      <c r="A1207">
        <v>502993</v>
      </c>
      <c r="B1207" t="s">
        <v>8114</v>
      </c>
      <c r="C1207" t="s">
        <v>1966</v>
      </c>
      <c r="D1207" t="s">
        <v>5859</v>
      </c>
      <c r="E1207">
        <v>74.06</v>
      </c>
      <c r="F1207">
        <v>410370</v>
      </c>
      <c r="G1207" s="660">
        <v>45798</v>
      </c>
      <c r="H1207" t="s">
        <v>8115</v>
      </c>
    </row>
    <row r="1208" spans="1:8">
      <c r="A1208">
        <v>502994</v>
      </c>
      <c r="B1208" t="s">
        <v>8116</v>
      </c>
      <c r="C1208" t="s">
        <v>1966</v>
      </c>
      <c r="D1208" t="s">
        <v>5859</v>
      </c>
      <c r="E1208">
        <v>27.06</v>
      </c>
      <c r="F1208">
        <v>409702</v>
      </c>
      <c r="G1208" s="660">
        <v>45678</v>
      </c>
      <c r="H1208" t="s">
        <v>8117</v>
      </c>
    </row>
    <row r="1209" spans="1:8">
      <c r="A1209">
        <v>502996</v>
      </c>
      <c r="B1209" t="s">
        <v>8118</v>
      </c>
      <c r="D1209" t="s">
        <v>5859</v>
      </c>
      <c r="G1209" s="660"/>
      <c r="H1209" t="s">
        <v>8119</v>
      </c>
    </row>
    <row r="1210" spans="1:8">
      <c r="A1210">
        <v>502997</v>
      </c>
      <c r="B1210" t="s">
        <v>8120</v>
      </c>
      <c r="C1210" t="s">
        <v>1966</v>
      </c>
      <c r="D1210" t="s">
        <v>5859</v>
      </c>
      <c r="E1210">
        <v>0</v>
      </c>
      <c r="F1210">
        <v>410095</v>
      </c>
      <c r="G1210" s="660">
        <v>45750</v>
      </c>
      <c r="H1210" t="s">
        <v>8121</v>
      </c>
    </row>
    <row r="1211" spans="1:8">
      <c r="A1211">
        <v>502998</v>
      </c>
      <c r="B1211" t="s">
        <v>8122</v>
      </c>
      <c r="C1211" t="s">
        <v>1690</v>
      </c>
      <c r="D1211" t="s">
        <v>5859</v>
      </c>
      <c r="E1211">
        <v>1532.05</v>
      </c>
      <c r="F1211">
        <v>409809</v>
      </c>
      <c r="G1211" s="660">
        <v>45698</v>
      </c>
      <c r="H1211" t="s">
        <v>8123</v>
      </c>
    </row>
    <row r="1212" spans="1:8">
      <c r="A1212">
        <v>503000</v>
      </c>
      <c r="B1212" t="s">
        <v>8124</v>
      </c>
      <c r="D1212" t="s">
        <v>5859</v>
      </c>
      <c r="G1212" s="660"/>
      <c r="H1212" t="s">
        <v>8125</v>
      </c>
    </row>
    <row r="1213" spans="1:8">
      <c r="A1213">
        <v>503001</v>
      </c>
      <c r="B1213" t="s">
        <v>8126</v>
      </c>
      <c r="D1213" t="s">
        <v>5901</v>
      </c>
      <c r="G1213" s="660"/>
      <c r="H1213" t="s">
        <v>8127</v>
      </c>
    </row>
    <row r="1214" spans="1:8">
      <c r="A1214">
        <v>503002</v>
      </c>
      <c r="B1214" t="s">
        <v>8128</v>
      </c>
      <c r="C1214" t="s">
        <v>5900</v>
      </c>
      <c r="D1214" t="s">
        <v>5901</v>
      </c>
      <c r="E1214">
        <v>0</v>
      </c>
      <c r="F1214">
        <v>409892</v>
      </c>
      <c r="G1214" s="660">
        <v>45713</v>
      </c>
      <c r="H1214" t="s">
        <v>8129</v>
      </c>
    </row>
    <row r="1215" spans="1:8">
      <c r="A1215">
        <v>503003</v>
      </c>
      <c r="B1215" t="s">
        <v>8130</v>
      </c>
      <c r="C1215" t="s">
        <v>7456</v>
      </c>
      <c r="D1215" t="s">
        <v>5859</v>
      </c>
      <c r="E1215">
        <v>266.8</v>
      </c>
      <c r="F1215">
        <v>410337</v>
      </c>
      <c r="G1215" s="660">
        <v>45792</v>
      </c>
      <c r="H1215" t="s">
        <v>8131</v>
      </c>
    </row>
    <row r="1216" spans="1:8">
      <c r="A1216">
        <v>503004</v>
      </c>
      <c r="B1216" t="s">
        <v>8132</v>
      </c>
      <c r="C1216" t="s">
        <v>5085</v>
      </c>
      <c r="D1216" t="s">
        <v>5859</v>
      </c>
      <c r="E1216">
        <v>124.38</v>
      </c>
      <c r="F1216">
        <v>409874</v>
      </c>
      <c r="G1216" s="660">
        <v>45709</v>
      </c>
      <c r="H1216" t="s">
        <v>8133</v>
      </c>
    </row>
    <row r="1217" spans="1:8">
      <c r="A1217">
        <v>503005</v>
      </c>
      <c r="B1217" t="s">
        <v>8134</v>
      </c>
      <c r="C1217" t="s">
        <v>5900</v>
      </c>
      <c r="D1217" t="s">
        <v>5859</v>
      </c>
      <c r="E1217">
        <v>18.760000000000002</v>
      </c>
      <c r="F1217">
        <v>410363</v>
      </c>
      <c r="G1217" s="660">
        <v>45797</v>
      </c>
      <c r="H1217" t="s">
        <v>8135</v>
      </c>
    </row>
    <row r="1218" spans="1:8">
      <c r="A1218">
        <v>503006</v>
      </c>
      <c r="B1218" t="s">
        <v>6466</v>
      </c>
      <c r="C1218" t="s">
        <v>6004</v>
      </c>
      <c r="D1218" t="s">
        <v>5859</v>
      </c>
      <c r="E1218">
        <v>21.1</v>
      </c>
      <c r="F1218">
        <v>409877</v>
      </c>
      <c r="G1218" s="660">
        <v>45709</v>
      </c>
      <c r="H1218" t="s">
        <v>8136</v>
      </c>
    </row>
    <row r="1219" spans="1:8">
      <c r="A1219">
        <v>503007</v>
      </c>
      <c r="B1219" t="s">
        <v>8137</v>
      </c>
      <c r="C1219" t="s">
        <v>5900</v>
      </c>
      <c r="D1219" t="s">
        <v>5859</v>
      </c>
      <c r="E1219">
        <v>20.57</v>
      </c>
      <c r="F1219">
        <v>409878</v>
      </c>
      <c r="G1219" s="660">
        <v>45709</v>
      </c>
      <c r="H1219" t="s">
        <v>8137</v>
      </c>
    </row>
    <row r="1220" spans="1:8">
      <c r="A1220">
        <v>503008</v>
      </c>
      <c r="B1220" t="s">
        <v>8138</v>
      </c>
      <c r="C1220" t="s">
        <v>5900</v>
      </c>
      <c r="D1220" t="s">
        <v>5859</v>
      </c>
      <c r="E1220">
        <v>4.1500000000000004</v>
      </c>
      <c r="F1220">
        <v>409878</v>
      </c>
      <c r="G1220" s="660">
        <v>45709</v>
      </c>
      <c r="H1220" t="s">
        <v>8138</v>
      </c>
    </row>
    <row r="1221" spans="1:8">
      <c r="A1221">
        <v>503009</v>
      </c>
      <c r="B1221" t="s">
        <v>8139</v>
      </c>
      <c r="D1221" t="s">
        <v>5901</v>
      </c>
      <c r="G1221" s="660"/>
      <c r="H1221" t="s">
        <v>8140</v>
      </c>
    </row>
    <row r="1222" spans="1:8">
      <c r="A1222">
        <v>503010</v>
      </c>
      <c r="B1222" t="s">
        <v>8141</v>
      </c>
      <c r="D1222" t="s">
        <v>5901</v>
      </c>
      <c r="G1222" s="660"/>
      <c r="H1222" t="s">
        <v>8142</v>
      </c>
    </row>
    <row r="1223" spans="1:8">
      <c r="A1223">
        <v>503011</v>
      </c>
      <c r="B1223" t="s">
        <v>8143</v>
      </c>
      <c r="C1223" t="s">
        <v>6013</v>
      </c>
      <c r="D1223" t="s">
        <v>5859</v>
      </c>
      <c r="E1223">
        <v>1549.32</v>
      </c>
      <c r="F1223">
        <v>409928</v>
      </c>
      <c r="G1223" s="660">
        <v>45719</v>
      </c>
      <c r="H1223" t="s">
        <v>8144</v>
      </c>
    </row>
    <row r="1224" spans="1:8">
      <c r="A1224">
        <v>503012</v>
      </c>
      <c r="B1224" t="s">
        <v>8145</v>
      </c>
      <c r="D1224" t="s">
        <v>5859</v>
      </c>
      <c r="G1224" s="660"/>
      <c r="H1224" t="s">
        <v>8146</v>
      </c>
    </row>
    <row r="1225" spans="1:8">
      <c r="A1225">
        <v>503013</v>
      </c>
      <c r="B1225" t="s">
        <v>8147</v>
      </c>
      <c r="D1225" t="s">
        <v>5859</v>
      </c>
      <c r="G1225" s="660"/>
      <c r="H1225" t="s">
        <v>8148</v>
      </c>
    </row>
    <row r="1226" spans="1:8">
      <c r="A1226">
        <v>503017</v>
      </c>
      <c r="B1226" t="s">
        <v>8149</v>
      </c>
      <c r="C1226" t="s">
        <v>1966</v>
      </c>
      <c r="D1226" t="s">
        <v>5859</v>
      </c>
      <c r="E1226">
        <v>35.35</v>
      </c>
      <c r="F1226">
        <v>410290</v>
      </c>
      <c r="G1226" s="660">
        <v>45785</v>
      </c>
      <c r="H1226" t="s">
        <v>8150</v>
      </c>
    </row>
    <row r="1227" spans="1:8">
      <c r="A1227">
        <v>503018</v>
      </c>
      <c r="B1227" t="s">
        <v>8151</v>
      </c>
      <c r="C1227" t="s">
        <v>8152</v>
      </c>
      <c r="D1227" t="s">
        <v>5859</v>
      </c>
      <c r="E1227">
        <v>77.22</v>
      </c>
      <c r="F1227">
        <v>410104</v>
      </c>
      <c r="G1227" s="660">
        <v>45750</v>
      </c>
      <c r="H1227" t="s">
        <v>8153</v>
      </c>
    </row>
    <row r="1228" spans="1:8">
      <c r="A1228">
        <v>503025</v>
      </c>
      <c r="B1228" t="s">
        <v>8154</v>
      </c>
      <c r="C1228" t="s">
        <v>6013</v>
      </c>
      <c r="D1228" t="s">
        <v>5859</v>
      </c>
      <c r="E1228">
        <v>509.54</v>
      </c>
      <c r="F1228">
        <v>410348</v>
      </c>
      <c r="G1228" s="660">
        <v>45796</v>
      </c>
      <c r="H1228" t="s">
        <v>8155</v>
      </c>
    </row>
    <row r="1229" spans="1:8">
      <c r="A1229">
        <v>503026</v>
      </c>
      <c r="B1229" t="s">
        <v>8156</v>
      </c>
      <c r="C1229" t="s">
        <v>1665</v>
      </c>
      <c r="D1229" t="s">
        <v>5859</v>
      </c>
      <c r="E1229">
        <v>611.69000000000005</v>
      </c>
      <c r="F1229">
        <v>410182</v>
      </c>
      <c r="G1229" s="660">
        <v>45763</v>
      </c>
      <c r="H1229" t="s">
        <v>8157</v>
      </c>
    </row>
    <row r="1230" spans="1:8">
      <c r="A1230">
        <v>503027</v>
      </c>
      <c r="B1230" t="s">
        <v>8158</v>
      </c>
      <c r="C1230" t="s">
        <v>1665</v>
      </c>
      <c r="D1230" t="s">
        <v>5859</v>
      </c>
      <c r="E1230">
        <v>1459.39</v>
      </c>
      <c r="F1230">
        <v>410182</v>
      </c>
      <c r="G1230" s="660">
        <v>45763</v>
      </c>
      <c r="H1230" t="s">
        <v>8159</v>
      </c>
    </row>
    <row r="1231" spans="1:8">
      <c r="A1231">
        <v>503028</v>
      </c>
      <c r="B1231" t="s">
        <v>8160</v>
      </c>
      <c r="C1231" t="s">
        <v>1665</v>
      </c>
      <c r="D1231" t="s">
        <v>5859</v>
      </c>
      <c r="E1231">
        <v>996</v>
      </c>
      <c r="F1231">
        <v>410182</v>
      </c>
      <c r="G1231" s="660">
        <v>45763</v>
      </c>
      <c r="H1231" t="s">
        <v>8161</v>
      </c>
    </row>
    <row r="1232" spans="1:8">
      <c r="A1232">
        <v>503029</v>
      </c>
      <c r="B1232" t="s">
        <v>8162</v>
      </c>
      <c r="C1232" t="s">
        <v>1665</v>
      </c>
      <c r="D1232" t="s">
        <v>5859</v>
      </c>
      <c r="E1232">
        <v>21</v>
      </c>
      <c r="F1232">
        <v>410182</v>
      </c>
      <c r="G1232" s="660">
        <v>45763</v>
      </c>
      <c r="H1232" t="s">
        <v>8163</v>
      </c>
    </row>
    <row r="1233" spans="1:8">
      <c r="A1233">
        <v>503030</v>
      </c>
      <c r="B1233" t="s">
        <v>8164</v>
      </c>
      <c r="C1233" t="s">
        <v>1665</v>
      </c>
      <c r="D1233" t="s">
        <v>5859</v>
      </c>
      <c r="E1233">
        <v>127.33</v>
      </c>
      <c r="F1233">
        <v>410182</v>
      </c>
      <c r="G1233" s="660">
        <v>45763</v>
      </c>
      <c r="H1233" t="s">
        <v>8165</v>
      </c>
    </row>
    <row r="1234" spans="1:8">
      <c r="A1234">
        <v>503031</v>
      </c>
      <c r="B1234" t="s">
        <v>8166</v>
      </c>
      <c r="C1234" t="s">
        <v>1665</v>
      </c>
      <c r="D1234" t="s">
        <v>5859</v>
      </c>
      <c r="E1234">
        <v>201.16</v>
      </c>
      <c r="F1234">
        <v>410182</v>
      </c>
      <c r="G1234" s="660">
        <v>45763</v>
      </c>
      <c r="H1234" t="s">
        <v>8167</v>
      </c>
    </row>
    <row r="1235" spans="1:8">
      <c r="A1235">
        <v>503032</v>
      </c>
      <c r="B1235" t="s">
        <v>8168</v>
      </c>
      <c r="C1235" t="s">
        <v>1665</v>
      </c>
      <c r="D1235" t="s">
        <v>5859</v>
      </c>
      <c r="E1235">
        <v>48.69</v>
      </c>
      <c r="F1235">
        <v>410182</v>
      </c>
      <c r="G1235" s="660">
        <v>45763</v>
      </c>
      <c r="H1235" t="s">
        <v>8169</v>
      </c>
    </row>
    <row r="1236" spans="1:8">
      <c r="A1236">
        <v>503033</v>
      </c>
      <c r="B1236" t="s">
        <v>8170</v>
      </c>
      <c r="C1236" t="s">
        <v>1665</v>
      </c>
      <c r="D1236" t="s">
        <v>5859</v>
      </c>
      <c r="E1236">
        <v>176.6</v>
      </c>
      <c r="F1236">
        <v>410182</v>
      </c>
      <c r="G1236" s="660">
        <v>45763</v>
      </c>
      <c r="H1236" t="s">
        <v>8171</v>
      </c>
    </row>
    <row r="1237" spans="1:8">
      <c r="A1237">
        <v>503034</v>
      </c>
      <c r="B1237" t="s">
        <v>8172</v>
      </c>
      <c r="C1237" t="s">
        <v>1665</v>
      </c>
      <c r="D1237" t="s">
        <v>5859</v>
      </c>
      <c r="E1237">
        <v>3.93</v>
      </c>
      <c r="F1237">
        <v>410182</v>
      </c>
      <c r="G1237" s="660">
        <v>45763</v>
      </c>
      <c r="H1237" t="s">
        <v>8173</v>
      </c>
    </row>
    <row r="1238" spans="1:8">
      <c r="A1238">
        <v>503050</v>
      </c>
      <c r="B1238" t="s">
        <v>8174</v>
      </c>
      <c r="C1238" t="s">
        <v>1665</v>
      </c>
      <c r="D1238" t="s">
        <v>5859</v>
      </c>
      <c r="E1238">
        <v>669.5</v>
      </c>
      <c r="F1238">
        <v>410341</v>
      </c>
      <c r="G1238" s="660">
        <v>45792</v>
      </c>
      <c r="H1238" t="s">
        <v>8175</v>
      </c>
    </row>
    <row r="1239" spans="1:8">
      <c r="A1239">
        <v>503051</v>
      </c>
      <c r="B1239" t="s">
        <v>8176</v>
      </c>
      <c r="C1239" t="s">
        <v>5900</v>
      </c>
      <c r="D1239" t="s">
        <v>5859</v>
      </c>
      <c r="E1239">
        <v>20.57</v>
      </c>
      <c r="F1239">
        <v>410363</v>
      </c>
      <c r="G1239" s="660">
        <v>45797</v>
      </c>
      <c r="H1239" t="s">
        <v>8177</v>
      </c>
    </row>
    <row r="1240" spans="1:8">
      <c r="A1240">
        <v>503052</v>
      </c>
      <c r="B1240" t="s">
        <v>8178</v>
      </c>
      <c r="C1240" t="s">
        <v>5900</v>
      </c>
      <c r="D1240" t="s">
        <v>5859</v>
      </c>
      <c r="E1240">
        <v>4.1500000000000004</v>
      </c>
      <c r="F1240">
        <v>410363</v>
      </c>
      <c r="G1240" s="660">
        <v>45797</v>
      </c>
      <c r="H1240" t="s">
        <v>8179</v>
      </c>
    </row>
    <row r="1241" spans="1:8">
      <c r="A1241">
        <v>503053</v>
      </c>
      <c r="B1241" t="s">
        <v>8180</v>
      </c>
      <c r="C1241" t="s">
        <v>5900</v>
      </c>
      <c r="D1241" t="s">
        <v>5859</v>
      </c>
      <c r="E1241">
        <v>20.16</v>
      </c>
      <c r="F1241">
        <v>410360</v>
      </c>
      <c r="G1241" s="660">
        <v>45797</v>
      </c>
      <c r="H1241" t="s">
        <v>8181</v>
      </c>
    </row>
    <row r="1242" spans="1:8">
      <c r="A1242">
        <v>503055</v>
      </c>
      <c r="B1242" t="s">
        <v>8182</v>
      </c>
      <c r="D1242" t="s">
        <v>5859</v>
      </c>
      <c r="G1242" s="660"/>
      <c r="H1242" t="s">
        <v>8183</v>
      </c>
    </row>
  </sheetData>
  <phoneticPr fontId="5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F1E27B1179E144B7DE3F9CACAF6058" ma:contentTypeVersion="18" ma:contentTypeDescription="Create a new document." ma:contentTypeScope="" ma:versionID="69b6f5008f9372079af4c258cc89bfc6">
  <xsd:schema xmlns:xsd="http://www.w3.org/2001/XMLSchema" xmlns:xs="http://www.w3.org/2001/XMLSchema" xmlns:p="http://schemas.microsoft.com/office/2006/metadata/properties" xmlns:ns2="ffe1eb56-2b5a-4523-8932-57300ff92859" xmlns:ns3="5e8aeea1-48a0-42dc-9898-ef95ad8b75bc" targetNamespace="http://schemas.microsoft.com/office/2006/metadata/properties" ma:root="true" ma:fieldsID="8ef1aa32eadf31945a952ed5613d52ef" ns2:_="" ns3:_="">
    <xsd:import namespace="ffe1eb56-2b5a-4523-8932-57300ff92859"/>
    <xsd:import namespace="5e8aeea1-48a0-42dc-9898-ef95ad8b75b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e1eb56-2b5a-4523-8932-57300ff928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de0ff0a8-f12e-4bf1-806a-1ec3b2c177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8aeea1-48a0-42dc-9898-ef95ad8b75bc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adf7107-d36d-4c42-bf1e-bce59a1f1077}" ma:internalName="TaxCatchAll" ma:showField="CatchAllData" ma:web="5e8aeea1-48a0-42dc-9898-ef95ad8b75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e8aeea1-48a0-42dc-9898-ef95ad8b75bc" xsi:nil="true"/>
    <lcf76f155ced4ddcb4097134ff3c332f xmlns="ffe1eb56-2b5a-4523-8932-57300ff92859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3A019D0-A8CA-4FB8-A45C-DD7DEFC51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131172-03F0-4DE5-BB8E-A0A847F293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e1eb56-2b5a-4523-8932-57300ff92859"/>
    <ds:schemaRef ds:uri="5e8aeea1-48a0-42dc-9898-ef95ad8b75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FDB239-957D-49FB-B8E9-B590AC48CF1B}">
  <ds:schemaRefs>
    <ds:schemaRef ds:uri="http://schemas.microsoft.com/office/2006/metadata/properties"/>
    <ds:schemaRef ds:uri="http://schemas.microsoft.com/office/infopath/2007/PartnerControls"/>
    <ds:schemaRef ds:uri="5e8aeea1-48a0-42dc-9898-ef95ad8b75bc"/>
    <ds:schemaRef ds:uri="ffe1eb56-2b5a-4523-8932-57300ff92859"/>
  </ds:schemaRefs>
</ds:datastoreItem>
</file>

<file path=customXml/itemProps4.xml><?xml version="1.0" encoding="utf-8"?>
<ds:datastoreItem xmlns:ds="http://schemas.openxmlformats.org/officeDocument/2006/customXml" ds:itemID="{7C81E812-4EE5-4CBE-972C-D080F056C2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81</vt:i4>
      </vt:variant>
    </vt:vector>
  </HeadingPairs>
  <TitlesOfParts>
    <vt:vector size="100" baseType="lpstr">
      <vt:lpstr>Instructions</vt:lpstr>
      <vt:lpstr>Design</vt:lpstr>
      <vt:lpstr>Carrying Idler Bearing Life (2)</vt:lpstr>
      <vt:lpstr>Data Sheet</vt:lpstr>
      <vt:lpstr>Vertical Curve (2)</vt:lpstr>
      <vt:lpstr>RISA Inputs</vt:lpstr>
      <vt:lpstr>Revision</vt:lpstr>
      <vt:lpstr>List</vt:lpstr>
      <vt:lpstr>Bio-BELT Design</vt:lpstr>
      <vt:lpstr>Bio-BELT Cost Summary</vt:lpstr>
      <vt:lpstr>BOM</vt:lpstr>
      <vt:lpstr>MATERIAL COST</vt:lpstr>
      <vt:lpstr>TAIL-HEAD SECTIONS</vt:lpstr>
      <vt:lpstr>STANDARDS</vt:lpstr>
      <vt:lpstr>COST PER FT</vt:lpstr>
      <vt:lpstr>PURCHASED</vt:lpstr>
      <vt:lpstr>Sheet &amp; Plate - NEW</vt:lpstr>
      <vt:lpstr>100 PN</vt:lpstr>
      <vt:lpstr>500 PN</vt:lpstr>
      <vt:lpstr>B_SCALE</vt:lpstr>
      <vt:lpstr>B_TYPE</vt:lpstr>
      <vt:lpstr>BB_C</vt:lpstr>
      <vt:lpstr>BB_PC</vt:lpstr>
      <vt:lpstr>BB_PS</vt:lpstr>
      <vt:lpstr>Belt_Type</vt:lpstr>
      <vt:lpstr>Belt_W</vt:lpstr>
      <vt:lpstr>BMS</vt:lpstr>
      <vt:lpstr>C_DIM_A</vt:lpstr>
      <vt:lpstr>C_DIM_B</vt:lpstr>
      <vt:lpstr>C_DIM_C</vt:lpstr>
      <vt:lpstr>C_INC_ANG</vt:lpstr>
      <vt:lpstr>CI_SPACING</vt:lpstr>
      <vt:lpstr>CLEAR</vt:lpstr>
      <vt:lpstr>Cov_Type</vt:lpstr>
      <vt:lpstr>CPF_LABOR</vt:lpstr>
      <vt:lpstr>DP_DIA</vt:lpstr>
      <vt:lpstr>DP_L</vt:lpstr>
      <vt:lpstr>ESS</vt:lpstr>
      <vt:lpstr>ESS_Q</vt:lpstr>
      <vt:lpstr>FI_COST</vt:lpstr>
      <vt:lpstr>FI_DESC</vt:lpstr>
      <vt:lpstr>FI_PN</vt:lpstr>
      <vt:lpstr>FI_WT</vt:lpstr>
      <vt:lpstr>'Bio-BELT Design'!Field_Service_Daily_Exp</vt:lpstr>
      <vt:lpstr>'Bio-BELT Design'!Field_Service_Travel_Exp</vt:lpstr>
      <vt:lpstr>GUID_QTY</vt:lpstr>
      <vt:lpstr>GUIDELERS</vt:lpstr>
      <vt:lpstr>HP_PN</vt:lpstr>
      <vt:lpstr>HP_SPN</vt:lpstr>
      <vt:lpstr>HP_TYPE</vt:lpstr>
      <vt:lpstr>HPL_Th</vt:lpstr>
      <vt:lpstr>HSD</vt:lpstr>
      <vt:lpstr>HW_TCOST</vt:lpstr>
      <vt:lpstr>I_TYPE</vt:lpstr>
      <vt:lpstr>IF_LEN</vt:lpstr>
      <vt:lpstr>IFL_LEN</vt:lpstr>
      <vt:lpstr>II_SPACING</vt:lpstr>
      <vt:lpstr>JMS_HP</vt:lpstr>
      <vt:lpstr>JMS_TP</vt:lpstr>
      <vt:lpstr>L_IMP_Z</vt:lpstr>
      <vt:lpstr>LABOR_COST</vt:lpstr>
      <vt:lpstr>MoC</vt:lpstr>
      <vt:lpstr>MR_PN</vt:lpstr>
      <vt:lpstr>N_IMP_Z</vt:lpstr>
      <vt:lpstr>NofM</vt:lpstr>
      <vt:lpstr>NofNM</vt:lpstr>
      <vt:lpstr>NofPP</vt:lpstr>
      <vt:lpstr>NoNM</vt:lpstr>
      <vt:lpstr>PE_STAMP</vt:lpstr>
      <vt:lpstr>'Bio-BELT Design'!Print_Area</vt:lpstr>
      <vt:lpstr>Design!Print_Area</vt:lpstr>
      <vt:lpstr>Q_PLOWS</vt:lpstr>
      <vt:lpstr>RI_COST</vt:lpstr>
      <vt:lpstr>RI_DESC</vt:lpstr>
      <vt:lpstr>RI_PN</vt:lpstr>
      <vt:lpstr>RI_SPACING</vt:lpstr>
      <vt:lpstr>RIA_DESC</vt:lpstr>
      <vt:lpstr>SB_L</vt:lpstr>
      <vt:lpstr>SCRAPER_TYPE</vt:lpstr>
      <vt:lpstr>SEC_SCRAPER</vt:lpstr>
      <vt:lpstr>SHEETS</vt:lpstr>
      <vt:lpstr>Splice_PN</vt:lpstr>
      <vt:lpstr>Splice_T</vt:lpstr>
      <vt:lpstr>STAN_LABOR</vt:lpstr>
      <vt:lpstr>SUP_10</vt:lpstr>
      <vt:lpstr>SUP_15</vt:lpstr>
      <vt:lpstr>SUP_2</vt:lpstr>
      <vt:lpstr>SUP_20</vt:lpstr>
      <vt:lpstr>SUP_5</vt:lpstr>
      <vt:lpstr>THS_LABOR</vt:lpstr>
      <vt:lpstr>TP_LAG</vt:lpstr>
      <vt:lpstr>TP_PN</vt:lpstr>
      <vt:lpstr>TP_SPN</vt:lpstr>
      <vt:lpstr>TP_TYPE</vt:lpstr>
      <vt:lpstr>TSD</vt:lpstr>
      <vt:lpstr>TU_LEN</vt:lpstr>
      <vt:lpstr>TU_TYPE</vt:lpstr>
      <vt:lpstr>WASH_BOX</vt:lpstr>
      <vt:lpstr>WC_L</vt:lpstr>
      <vt:lpstr>ZSS</vt:lpstr>
    </vt:vector>
  </TitlesOfParts>
  <Manager/>
  <Company>SANDWELL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 Authorized Customer</dc:creator>
  <cp:keywords/>
  <dc:description/>
  <cp:lastModifiedBy>Jim Hohler</cp:lastModifiedBy>
  <cp:revision/>
  <dcterms:created xsi:type="dcterms:W3CDTF">2008-09-10T15:49:43Z</dcterms:created>
  <dcterms:modified xsi:type="dcterms:W3CDTF">2026-08-12T13:37:46Z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0x01010004F1E27B1179E144B7DE3F9CACAF6058</vt:lpwstr>
  </property>
  <property fmtid="{D5CDD505-2E9C-101B-9397-08002B2CF9AE}" pid="3" name="MediaServiceImageTags">
    <vt:lpwstr/>
  </property>
</Properties>
</file>