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N:\Bio-HANDLING Tools\Bio-SCREW\"/>
    </mc:Choice>
  </mc:AlternateContent>
  <xr:revisionPtr revIDLastSave="0" documentId="13_ncr:1_{042AE77B-B3AB-490D-9290-4295A32B734B}" xr6:coauthVersionLast="47" xr6:coauthVersionMax="47" xr10:uidLastSave="{00000000-0000-0000-0000-000000000000}"/>
  <bookViews>
    <workbookView xWindow="0" yWindow="0" windowWidth="38400" windowHeight="21150" activeTab="1" xr2:uid="{BE8FB7BE-55A9-4616-96E2-76D8385D0E50}"/>
  </bookViews>
  <sheets>
    <sheet name="Instructions" sheetId="8" r:id="rId1"/>
    <sheet name="Design" sheetId="3" r:id="rId2"/>
    <sheet name="Data Sheet" sheetId="6" r:id="rId3"/>
    <sheet name="Report" sheetId="7" r:id="rId4"/>
    <sheet name="Screw Thrust Calculator" sheetId="11" r:id="rId5"/>
    <sheet name="Seismic" sheetId="10" r:id="rId6"/>
    <sheet name="List" sheetId="4" r:id="rId7"/>
    <sheet name="Reference" sheetId="2" r:id="rId8"/>
    <sheet name="Revision" sheetId="5" r:id="rId9"/>
  </sheets>
  <definedNames>
    <definedName name="_xlnm.Print_Area" localSheetId="2">'Data Sheet'!$A$2:$BB$53</definedName>
    <definedName name="_xlnm.Print_Area" localSheetId="1">Design!$B$2:$BC$130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2" i="11" l="1"/>
  <c r="B5" i="11" l="1"/>
  <c r="B4" i="11"/>
  <c r="B3" i="11"/>
  <c r="B16" i="11"/>
  <c r="B10" i="11" l="1"/>
  <c r="AO32" i="3" l="1"/>
  <c r="A4" i="5"/>
  <c r="A3" i="5"/>
  <c r="CA1" i="2"/>
  <c r="CG1" i="2" s="1"/>
  <c r="AP17" i="3" s="1"/>
  <c r="AP48" i="6"/>
  <c r="AP47" i="6"/>
  <c r="AH48" i="6"/>
  <c r="AH47" i="6"/>
  <c r="Z48" i="6"/>
  <c r="Z47" i="6"/>
  <c r="R48" i="6"/>
  <c r="R47" i="6"/>
  <c r="J48" i="6"/>
  <c r="J47" i="6"/>
  <c r="R2" i="2"/>
  <c r="CC1" i="2" l="1"/>
  <c r="AP12" i="3" s="1"/>
  <c r="CD1" i="2"/>
  <c r="AP14" i="3" s="1"/>
  <c r="CF1" i="2"/>
  <c r="AP15" i="3" s="1"/>
  <c r="CH1" i="2"/>
  <c r="CB1" i="2"/>
  <c r="AP11" i="3" s="1"/>
  <c r="CE1" i="2"/>
  <c r="AP13" i="3" s="1"/>
  <c r="DW28" i="2"/>
  <c r="AK60" i="3"/>
  <c r="H3" i="2"/>
  <c r="S78" i="3"/>
  <c r="AY1" i="2"/>
  <c r="EO1" i="2"/>
  <c r="EP1" i="2" s="1"/>
  <c r="AO41" i="3" s="1"/>
  <c r="EP9" i="2" l="1"/>
  <c r="EP8" i="2"/>
  <c r="EP7" i="2"/>
  <c r="S82" i="3" l="1"/>
  <c r="O21" i="6"/>
  <c r="O20" i="6"/>
  <c r="O19" i="6"/>
  <c r="O18" i="6"/>
  <c r="O17" i="6"/>
  <c r="AO20" i="6"/>
  <c r="J52" i="3"/>
  <c r="DP1" i="2"/>
  <c r="DQ1" i="2" s="1"/>
  <c r="D36" i="3"/>
  <c r="AO22" i="6"/>
  <c r="DR1" i="2" l="1"/>
  <c r="AA50" i="3" s="1"/>
  <c r="BY12" i="2"/>
  <c r="BY11" i="2"/>
  <c r="BY10" i="2"/>
  <c r="BY9" i="2"/>
  <c r="E16" i="10"/>
  <c r="E15" i="10"/>
  <c r="AK6" i="10" l="1"/>
  <c r="AK5" i="10"/>
  <c r="AK4" i="10"/>
  <c r="U8" i="10"/>
  <c r="U7" i="10"/>
  <c r="U6" i="10"/>
  <c r="U5" i="10"/>
  <c r="U4" i="10"/>
  <c r="M22" i="2"/>
  <c r="M21" i="2"/>
  <c r="M20" i="2"/>
  <c r="M19" i="2"/>
  <c r="M18" i="2"/>
  <c r="M17" i="2"/>
  <c r="M16" i="2"/>
  <c r="M15" i="2"/>
  <c r="DV1" i="2"/>
  <c r="DV2" i="2" s="1"/>
  <c r="AJ7" i="6"/>
  <c r="C130" i="3"/>
  <c r="AM8" i="6"/>
  <c r="AJ8" i="6"/>
  <c r="AJ6" i="6"/>
  <c r="AJ5" i="6"/>
  <c r="AJ4" i="6"/>
  <c r="T7" i="6"/>
  <c r="T6" i="6"/>
  <c r="T5" i="6"/>
  <c r="T4" i="6"/>
  <c r="T104" i="3"/>
  <c r="O22" i="3"/>
  <c r="AP50" i="6"/>
  <c r="AP49" i="6"/>
  <c r="AP46" i="6"/>
  <c r="AP45" i="6"/>
  <c r="AP44" i="6"/>
  <c r="AP41" i="6"/>
  <c r="AH50" i="6"/>
  <c r="Z50" i="6"/>
  <c r="R50" i="6"/>
  <c r="J50" i="6"/>
  <c r="AH49" i="6"/>
  <c r="Z49" i="6"/>
  <c r="R49" i="6"/>
  <c r="J49" i="6"/>
  <c r="B50" i="6"/>
  <c r="B49" i="6"/>
  <c r="AA87" i="3"/>
  <c r="Z43" i="6" s="1"/>
  <c r="AA86" i="3"/>
  <c r="Z42" i="6" s="1"/>
  <c r="J46" i="6"/>
  <c r="J45" i="6"/>
  <c r="J44" i="6"/>
  <c r="J43" i="6"/>
  <c r="J42" i="6"/>
  <c r="AH46" i="6"/>
  <c r="Z46" i="6"/>
  <c r="R46" i="6"/>
  <c r="AH45" i="6"/>
  <c r="Z45" i="6"/>
  <c r="R45" i="6"/>
  <c r="AH44" i="6"/>
  <c r="Z44" i="6"/>
  <c r="R44" i="6"/>
  <c r="AH43" i="6"/>
  <c r="AH42" i="6"/>
  <c r="AH41" i="6"/>
  <c r="Z41" i="6"/>
  <c r="R41" i="6"/>
  <c r="J41" i="6"/>
  <c r="AH40" i="6"/>
  <c r="Z40" i="6"/>
  <c r="R40" i="6"/>
  <c r="J40" i="6"/>
  <c r="J38" i="6"/>
  <c r="P32" i="3" l="1"/>
  <c r="B7" i="11"/>
  <c r="B15" i="11" s="1"/>
  <c r="AK7" i="10"/>
  <c r="Z38" i="6"/>
  <c r="AH38" i="6"/>
  <c r="R31" i="6"/>
  <c r="T96" i="3"/>
  <c r="AP38" i="6"/>
  <c r="J37" i="6"/>
  <c r="J36" i="6"/>
  <c r="AP36" i="6" s="1"/>
  <c r="J34" i="6"/>
  <c r="AP34" i="6" s="1"/>
  <c r="Z31" i="6"/>
  <c r="O13" i="6"/>
  <c r="AO16" i="6"/>
  <c r="AO15" i="6"/>
  <c r="Z30" i="6"/>
  <c r="R30" i="6"/>
  <c r="J30" i="6"/>
  <c r="Z29" i="6"/>
  <c r="AP28" i="6"/>
  <c r="Z28" i="6"/>
  <c r="O12" i="6"/>
  <c r="AO17" i="6"/>
  <c r="AO18" i="6"/>
  <c r="AO19" i="6"/>
  <c r="AO21" i="6"/>
  <c r="AO14" i="6"/>
  <c r="AO13" i="6"/>
  <c r="O14" i="6"/>
  <c r="AO10" i="6"/>
  <c r="AO11" i="6"/>
  <c r="AO12" i="6"/>
  <c r="O10" i="6"/>
  <c r="S79" i="3"/>
  <c r="V84" i="3"/>
  <c r="AK63" i="3"/>
  <c r="AK62" i="3"/>
  <c r="AK61" i="3"/>
  <c r="T64" i="3"/>
  <c r="T68" i="3"/>
  <c r="T72" i="3"/>
  <c r="AZ1" i="2"/>
  <c r="O11" i="6"/>
  <c r="AO34" i="3"/>
  <c r="T106" i="3"/>
  <c r="EH13" i="2"/>
  <c r="EH12" i="2"/>
  <c r="EH11" i="2"/>
  <c r="EH10" i="2"/>
  <c r="EH9" i="2"/>
  <c r="EH8" i="2"/>
  <c r="EH7" i="2"/>
  <c r="EH6" i="2"/>
  <c r="EH5" i="2"/>
  <c r="EH4" i="2"/>
  <c r="ED13" i="2"/>
  <c r="ED12" i="2"/>
  <c r="ED11" i="2"/>
  <c r="ED10" i="2"/>
  <c r="ED9" i="2"/>
  <c r="ED8" i="2"/>
  <c r="ED7" i="2"/>
  <c r="ED6" i="2"/>
  <c r="ED5" i="2"/>
  <c r="ED4" i="2"/>
  <c r="EF1" i="2"/>
  <c r="EC1" i="2"/>
  <c r="L123" i="3"/>
  <c r="L122" i="3"/>
  <c r="L127" i="3"/>
  <c r="L126" i="3"/>
  <c r="L121" i="3"/>
  <c r="L120" i="3"/>
  <c r="DH3" i="2"/>
  <c r="DE3" i="2"/>
  <c r="DF14" i="2" s="1"/>
  <c r="DG14" i="2" s="1"/>
  <c r="P34" i="3"/>
  <c r="BQ1" i="2"/>
  <c r="BR1" i="2" s="1"/>
  <c r="M127" i="3" s="1"/>
  <c r="AP37" i="6" l="1"/>
  <c r="AP31" i="6"/>
  <c r="AP33" i="6"/>
  <c r="R34" i="6"/>
  <c r="Z34" i="6"/>
  <c r="AH34" i="6"/>
  <c r="Z36" i="6"/>
  <c r="AH36" i="6"/>
  <c r="Z37" i="6"/>
  <c r="AH37" i="6"/>
  <c r="DH14" i="2"/>
  <c r="DI3" i="2"/>
  <c r="DI4" i="2" s="1"/>
  <c r="DF12" i="2"/>
  <c r="DF13" i="2"/>
  <c r="DF10" i="2"/>
  <c r="DF7" i="2"/>
  <c r="DF18" i="2"/>
  <c r="DF6" i="2"/>
  <c r="DF5" i="2"/>
  <c r="DF15" i="2"/>
  <c r="DF11" i="2"/>
  <c r="DF9" i="2"/>
  <c r="DF8" i="2"/>
  <c r="DF4" i="2"/>
  <c r="DF17" i="2"/>
  <c r="DF16" i="2"/>
  <c r="V85" i="3"/>
  <c r="T102" i="3"/>
  <c r="T101" i="3"/>
  <c r="DG9" i="2" l="1"/>
  <c r="DH9" i="2" s="1"/>
  <c r="DG7" i="2"/>
  <c r="DH7" i="2" s="1"/>
  <c r="DG15" i="2"/>
  <c r="DH15" i="2" s="1"/>
  <c r="DG18" i="2"/>
  <c r="DH18" i="2" s="1"/>
  <c r="DG10" i="2"/>
  <c r="DH10" i="2" s="1"/>
  <c r="DG16" i="2"/>
  <c r="DH16" i="2" s="1"/>
  <c r="DG13" i="2"/>
  <c r="DH13" i="2" s="1"/>
  <c r="DG5" i="2"/>
  <c r="DH5" i="2" s="1"/>
  <c r="DG17" i="2"/>
  <c r="DH17" i="2" s="1"/>
  <c r="DG12" i="2"/>
  <c r="DH12" i="2" s="1"/>
  <c r="DG11" i="2"/>
  <c r="DH11" i="2" s="1"/>
  <c r="DG6" i="2"/>
  <c r="DH6" i="2" s="1"/>
  <c r="DG4" i="2"/>
  <c r="DH4" i="2" s="1"/>
  <c r="DG8" i="2"/>
  <c r="DH8" i="2" s="1"/>
  <c r="T103" i="3"/>
  <c r="P50" i="3"/>
  <c r="T65" i="3"/>
  <c r="R38" i="6" s="1"/>
  <c r="T63" i="3"/>
  <c r="T58" i="3"/>
  <c r="T59" i="3"/>
  <c r="T62" i="3" s="1"/>
  <c r="AO35" i="3"/>
  <c r="AO30" i="3"/>
  <c r="U13" i="3"/>
  <c r="T13" i="6" s="1"/>
  <c r="Q20" i="3"/>
  <c r="P33" i="3"/>
  <c r="P30" i="3"/>
  <c r="P39" i="3"/>
  <c r="A2" i="2"/>
  <c r="AO33" i="3"/>
  <c r="DX1" i="2"/>
  <c r="N6" i="2"/>
  <c r="N7" i="2"/>
  <c r="N8" i="2"/>
  <c r="N9" i="2"/>
  <c r="N10" i="2"/>
  <c r="N11" i="2"/>
  <c r="N12" i="2"/>
  <c r="N13" i="2"/>
  <c r="N14" i="2"/>
  <c r="N15" i="2"/>
  <c r="N16" i="2"/>
  <c r="N17" i="2"/>
  <c r="N18" i="2"/>
  <c r="N19" i="2"/>
  <c r="N20" i="2"/>
  <c r="N21" i="2"/>
  <c r="N22" i="2"/>
  <c r="N5" i="2"/>
  <c r="M6" i="2"/>
  <c r="M7" i="2"/>
  <c r="M8" i="2"/>
  <c r="M9" i="2"/>
  <c r="M10" i="2"/>
  <c r="M11" i="2"/>
  <c r="M12" i="2"/>
  <c r="M13" i="2"/>
  <c r="M14" i="2"/>
  <c r="M5" i="2"/>
  <c r="G24" i="2"/>
  <c r="G25" i="2"/>
  <c r="G26" i="2"/>
  <c r="G27" i="2"/>
  <c r="G28" i="2"/>
  <c r="G29" i="2"/>
  <c r="G30" i="2"/>
  <c r="G31" i="2"/>
  <c r="G32" i="2"/>
  <c r="G33" i="2"/>
  <c r="G34" i="2"/>
  <c r="G35" i="2"/>
  <c r="G36" i="2"/>
  <c r="G37" i="2"/>
  <c r="G38" i="2"/>
  <c r="G39" i="2"/>
  <c r="G40" i="2"/>
  <c r="G41" i="2"/>
  <c r="G42" i="2"/>
  <c r="G43" i="2"/>
  <c r="G44" i="2"/>
  <c r="G45" i="2"/>
  <c r="G46" i="2"/>
  <c r="G47" i="2"/>
  <c r="G48" i="2"/>
  <c r="G49" i="2"/>
  <c r="G23" i="2"/>
  <c r="AR62" i="3" l="1"/>
  <c r="AI62" i="3" s="1"/>
  <c r="DX2" i="2"/>
  <c r="T99" i="3" s="1"/>
  <c r="DW2" i="2"/>
  <c r="AX62" i="3"/>
  <c r="J28" i="6"/>
  <c r="J33" i="6" s="1"/>
  <c r="R33" i="6" s="1"/>
  <c r="J35" i="6"/>
  <c r="T97" i="3"/>
  <c r="T122" i="3" s="1"/>
  <c r="AB122" i="3" s="1"/>
  <c r="J32" i="6"/>
  <c r="R32" i="6" s="1"/>
  <c r="EG2" i="2"/>
  <c r="EK1" i="2"/>
  <c r="EL1" i="2" s="1"/>
  <c r="AP40" i="6" s="1"/>
  <c r="EE2" i="2"/>
  <c r="EE1" i="2"/>
  <c r="T61" i="3"/>
  <c r="M121" i="3"/>
  <c r="CP2" i="2"/>
  <c r="CQ2" i="2" s="1"/>
  <c r="CN2" i="2"/>
  <c r="CO2" i="2" s="1"/>
  <c r="T108" i="3" s="1"/>
  <c r="CL2" i="2"/>
  <c r="CM2" i="2" s="1"/>
  <c r="CI2" i="2"/>
  <c r="CJ2" i="2"/>
  <c r="CK2" i="2" s="1"/>
  <c r="T105" i="3"/>
  <c r="T123" i="3" s="1"/>
  <c r="AB123" i="3" s="1"/>
  <c r="D2" i="2"/>
  <c r="D3" i="2" s="1"/>
  <c r="Z33" i="6" l="1"/>
  <c r="AH33" i="6"/>
  <c r="Z35" i="6"/>
  <c r="AH35" i="6"/>
  <c r="R35" i="6"/>
  <c r="AP35" i="6"/>
  <c r="AP32" i="6"/>
  <c r="AH32" i="6"/>
  <c r="Z32" i="6"/>
  <c r="AP43" i="6"/>
  <c r="AP42" i="6"/>
  <c r="ED2" i="2"/>
  <c r="ED1" i="2"/>
  <c r="CO3" i="2"/>
  <c r="H14" i="2"/>
  <c r="H5" i="2"/>
  <c r="H16" i="2"/>
  <c r="H7" i="2"/>
  <c r="B2" i="2"/>
  <c r="B3" i="2" s="1"/>
  <c r="P2" i="2" s="1"/>
  <c r="J29" i="6" s="1"/>
  <c r="G16" i="2"/>
  <c r="G17" i="2"/>
  <c r="G18" i="2"/>
  <c r="G19" i="2"/>
  <c r="G20" i="2"/>
  <c r="G21" i="2"/>
  <c r="G22" i="2"/>
  <c r="G15" i="2"/>
  <c r="G7" i="2"/>
  <c r="G8" i="2"/>
  <c r="G9" i="2"/>
  <c r="G10" i="2"/>
  <c r="G11" i="2"/>
  <c r="G12" i="2"/>
  <c r="G13" i="2"/>
  <c r="G6" i="2"/>
  <c r="AO36" i="3"/>
  <c r="D37" i="3"/>
  <c r="P37" i="3" s="1"/>
  <c r="P36" i="3"/>
  <c r="T115" i="3"/>
  <c r="P40" i="3" l="1"/>
  <c r="AO43" i="3" s="1"/>
  <c r="N2" i="2"/>
  <c r="M2" i="2"/>
  <c r="S80" i="3"/>
  <c r="R36" i="6" s="1"/>
  <c r="S83" i="3"/>
  <c r="S81" i="3"/>
  <c r="R37" i="6" s="1"/>
  <c r="BA1" i="2"/>
  <c r="BB1" i="2" s="1"/>
  <c r="P38" i="3" s="1"/>
  <c r="Q2" i="2"/>
  <c r="R49" i="3" s="1"/>
  <c r="EC2" i="2"/>
  <c r="S86" i="3" s="1"/>
  <c r="R42" i="6" s="1"/>
  <c r="EF2" i="2"/>
  <c r="S87" i="3" s="1"/>
  <c r="R43" i="6" s="1"/>
  <c r="A3" i="2"/>
  <c r="C2" i="2" s="1"/>
  <c r="C3" i="2" s="1"/>
  <c r="J39" i="6" l="1"/>
  <c r="J3" i="2"/>
  <c r="I2" i="2"/>
  <c r="T113" i="3"/>
  <c r="T112" i="3"/>
  <c r="L2" i="2"/>
  <c r="T111" i="3" s="1"/>
  <c r="T114" i="3" s="1"/>
  <c r="I3" i="2"/>
  <c r="K2" i="2"/>
  <c r="T98" i="3" s="1"/>
  <c r="J2" i="2"/>
  <c r="AP39" i="6" l="1"/>
  <c r="AH39" i="6"/>
  <c r="Z39" i="6"/>
  <c r="R39" i="6"/>
  <c r="R29" i="6"/>
  <c r="U52" i="3"/>
  <c r="U50" i="3"/>
  <c r="T126" i="3"/>
  <c r="AB126" i="3" s="1"/>
  <c r="R25" i="3"/>
  <c r="F2" i="2"/>
  <c r="G2" i="2" s="1"/>
  <c r="T67" i="3" s="1"/>
  <c r="R24" i="3"/>
  <c r="T107" i="3"/>
  <c r="BF1" i="2"/>
  <c r="BG1" i="2" s="1"/>
  <c r="T69" i="3"/>
  <c r="T116" i="3"/>
  <c r="T117" i="3" s="1"/>
  <c r="U54" i="3" l="1"/>
  <c r="F3" i="2"/>
  <c r="S2" i="2" s="1"/>
  <c r="T66" i="3" s="1"/>
  <c r="T71" i="3" s="1"/>
  <c r="R28" i="6"/>
  <c r="T73" i="3"/>
  <c r="AR60" i="3" s="1"/>
  <c r="AI60" i="3" s="1"/>
  <c r="T127" i="3"/>
  <c r="AB127" i="3" s="1"/>
  <c r="T100" i="3" l="1"/>
  <c r="T120" i="3" s="1"/>
  <c r="T121" i="3" s="1"/>
  <c r="AB121" i="3" s="1"/>
  <c r="T70" i="3"/>
  <c r="AX60" i="3"/>
  <c r="T74" i="3"/>
  <c r="H2" i="2"/>
  <c r="P31" i="3" s="1"/>
  <c r="AR61" i="3"/>
  <c r="AI61" i="3" s="1"/>
  <c r="P41" i="3" l="1"/>
  <c r="P42" i="3" s="1"/>
  <c r="B6" i="11"/>
  <c r="B11" i="11" s="1"/>
  <c r="B17" i="11" s="1"/>
  <c r="AS96" i="3" s="1"/>
  <c r="AX61" i="3"/>
  <c r="AB120" i="3"/>
  <c r="AR63" i="3"/>
  <c r="AX63" i="3" l="1"/>
  <c r="AI63" i="3"/>
  <c r="AO31" i="3"/>
  <c r="O16" i="6" s="1"/>
  <c r="P43" i="3"/>
  <c r="P44" i="3" s="1"/>
  <c r="T109" i="3"/>
  <c r="T124" i="3" s="1"/>
  <c r="AB124" i="3" s="1"/>
  <c r="AI124" i="3" s="1"/>
  <c r="T110" i="3"/>
  <c r="T125" i="3" s="1"/>
  <c r="AB125" i="3" s="1"/>
  <c r="AI125" i="3" s="1"/>
  <c r="AO42" i="3"/>
  <c r="AD39" i="3" l="1"/>
  <c r="AO39" i="3" s="1"/>
  <c r="AJ63" i="3"/>
  <c r="AJ60" i="3"/>
  <c r="AJ61" i="3"/>
  <c r="AJ62" i="3"/>
  <c r="AD64" i="3" s="1"/>
  <c r="W43" i="3"/>
  <c r="AO44" i="3" s="1"/>
  <c r="O15" i="6"/>
  <c r="AV43" i="3"/>
  <c r="W44" i="3"/>
  <c r="AV44" i="3" s="1"/>
  <c r="AO45" i="3" l="1"/>
  <c r="AD40" i="3"/>
  <c r="AO40" i="3" s="1"/>
  <c r="AO46" i="3" s="1"/>
  <c r="T1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 Alexander</author>
  </authors>
  <commentList>
    <comment ref="J26" authorId="0" shapeId="0" xr:uid="{71C613D7-B89C-4FFF-A02F-7C86ACD9426C}">
      <text>
        <r>
          <rPr>
            <b/>
            <sz val="9"/>
            <color indexed="81"/>
            <rFont val="Tahoma"/>
            <family val="2"/>
          </rPr>
          <t>Philip Alexander:</t>
        </r>
        <r>
          <rPr>
            <sz val="9"/>
            <color indexed="81"/>
            <rFont val="Tahoma"/>
            <family val="2"/>
          </rPr>
          <t xml:space="preserve">
Keep trough fill below 50% for shafted screws with hanger bearings.</t>
        </r>
      </text>
    </comment>
    <comment ref="T35" authorId="0" shapeId="0" xr:uid="{74F1FF97-9E8E-4F73-84D6-270EFE1BF0AF}">
      <text>
        <r>
          <rPr>
            <b/>
            <sz val="9"/>
            <color indexed="81"/>
            <rFont val="Tahoma"/>
            <family val="2"/>
          </rPr>
          <t>Philip Alexander:</t>
        </r>
        <r>
          <rPr>
            <sz val="9"/>
            <color indexed="81"/>
            <rFont val="Tahoma"/>
            <family val="2"/>
          </rPr>
          <t xml:space="preserve">
Pitch Factor (CF1) set to 1.0 because pitch value is used in the capacity per rotation equation. Using pitch factor per CEMA Table 4.2 is only applicable when using capacity per revolution per CEMA Table 2.3 (not the calculated value).</t>
        </r>
      </text>
    </comment>
    <comment ref="P42" authorId="0" shapeId="0" xr:uid="{4600BC7E-F608-4CEB-8017-D718D7C9D3D6}">
      <text>
        <r>
          <rPr>
            <b/>
            <sz val="9"/>
            <color indexed="81"/>
            <rFont val="Tahoma"/>
            <family val="2"/>
          </rPr>
          <t>Philip Alexander:</t>
        </r>
        <r>
          <rPr>
            <sz val="9"/>
            <color indexed="81"/>
            <rFont val="Tahoma"/>
            <family val="2"/>
          </rPr>
          <t xml:space="preserve">
The gearbox output speed should match the conveyor speed, or be slightly higher.</t>
        </r>
      </text>
    </comment>
    <comment ref="AO46" authorId="0" shapeId="0" xr:uid="{60A9E824-5876-4E49-A3F5-012844011BEE}">
      <text>
        <r>
          <rPr>
            <b/>
            <sz val="9"/>
            <color indexed="81"/>
            <rFont val="Tahoma"/>
            <family val="2"/>
          </rPr>
          <t>Philip Alexander:</t>
        </r>
        <r>
          <rPr>
            <sz val="9"/>
            <color indexed="81"/>
            <rFont val="Tahoma"/>
            <family val="2"/>
          </rPr>
          <t xml:space="preserve">
The motor power should exceed this value.</t>
        </r>
      </text>
    </comment>
  </commentList>
</comments>
</file>

<file path=xl/sharedStrings.xml><?xml version="1.0" encoding="utf-8"?>
<sst xmlns="http://schemas.openxmlformats.org/spreadsheetml/2006/main" count="3468" uniqueCount="2028">
  <si>
    <t>C</t>
  </si>
  <si>
    <t>ID</t>
  </si>
  <si>
    <t>X</t>
  </si>
  <si>
    <t>SIZE</t>
  </si>
  <si>
    <t>LB/HR</t>
  </si>
  <si>
    <t>PIPE SHAFT</t>
  </si>
  <si>
    <t>3" SCH 40</t>
  </si>
  <si>
    <r>
      <t>D</t>
    </r>
    <r>
      <rPr>
        <vertAlign val="subscript"/>
        <sz val="11"/>
        <color theme="1"/>
        <rFont val="Calibri"/>
        <family val="2"/>
        <scheme val="minor"/>
      </rPr>
      <t>s</t>
    </r>
  </si>
  <si>
    <r>
      <t>D</t>
    </r>
    <r>
      <rPr>
        <vertAlign val="subscript"/>
        <sz val="11"/>
        <color theme="1"/>
        <rFont val="Calibri"/>
        <family val="2"/>
        <scheme val="minor"/>
      </rPr>
      <t>p</t>
    </r>
  </si>
  <si>
    <t>P</t>
  </si>
  <si>
    <t>K</t>
  </si>
  <si>
    <t>N</t>
  </si>
  <si>
    <t>CF1</t>
  </si>
  <si>
    <t>CF2</t>
  </si>
  <si>
    <t>CF3</t>
  </si>
  <si>
    <t>Pitch</t>
  </si>
  <si>
    <t>CEMA Table 2-4</t>
  </si>
  <si>
    <t>Full</t>
  </si>
  <si>
    <t>Short</t>
  </si>
  <si>
    <t>Half</t>
  </si>
  <si>
    <t>Pitch Capacity Factor</t>
  </si>
  <si>
    <t>OD</t>
  </si>
  <si>
    <t>1/2 OD</t>
  </si>
  <si>
    <t>2/3 OD</t>
  </si>
  <si>
    <t>Long</t>
  </si>
  <si>
    <t>3/2 OD</t>
  </si>
  <si>
    <t>Type</t>
  </si>
  <si>
    <t>Cut</t>
  </si>
  <si>
    <t>Cut &amp; Folded</t>
  </si>
  <si>
    <t>Ribbon</t>
  </si>
  <si>
    <t>Special Mixing Paddle Capacity Factor</t>
  </si>
  <si>
    <t>Paddles per Pitch set at 45deg reverse pitch</t>
  </si>
  <si>
    <t>None</t>
  </si>
  <si>
    <t>HPf</t>
  </si>
  <si>
    <t>HPm</t>
  </si>
  <si>
    <t>L</t>
  </si>
  <si>
    <t>Fd</t>
  </si>
  <si>
    <t>Fb</t>
  </si>
  <si>
    <t>Dm</t>
  </si>
  <si>
    <t>Fm</t>
  </si>
  <si>
    <t>Ff</t>
  </si>
  <si>
    <t>Fp</t>
  </si>
  <si>
    <t>HPt</t>
  </si>
  <si>
    <t>e</t>
  </si>
  <si>
    <t>Fo</t>
  </si>
  <si>
    <t>Direct Couplied In-line</t>
  </si>
  <si>
    <t>Screw Conveyor Drive</t>
  </si>
  <si>
    <t>Shaft Mount Drive</t>
  </si>
  <si>
    <t>Gearbox with Chain &amp; Sprocket</t>
  </si>
  <si>
    <t>Drive Mounting</t>
  </si>
  <si>
    <t>Size</t>
  </si>
  <si>
    <t>Material</t>
  </si>
  <si>
    <t>Flowability</t>
  </si>
  <si>
    <t>Abrasiveness</t>
  </si>
  <si>
    <t>Spiral Type</t>
  </si>
  <si>
    <t>Pipe</t>
  </si>
  <si>
    <t>Duty</t>
  </si>
  <si>
    <t>DRN90L4</t>
  </si>
  <si>
    <t>ADDITIONAL CALCULATIONS</t>
  </si>
  <si>
    <t>SCREW SIZE</t>
  </si>
  <si>
    <t>Drive Efficiency</t>
  </si>
  <si>
    <t>DC</t>
  </si>
  <si>
    <t>SC</t>
  </si>
  <si>
    <t>SM</t>
  </si>
  <si>
    <t>GR</t>
  </si>
  <si>
    <t>Light</t>
  </si>
  <si>
    <t>Standard</t>
  </si>
  <si>
    <t>Heavy</t>
  </si>
  <si>
    <t>Wet Sludge</t>
  </si>
  <si>
    <t>Material Factor</t>
  </si>
  <si>
    <t>Other</t>
  </si>
  <si>
    <t>Very Fine</t>
  </si>
  <si>
    <t>Fine</t>
  </si>
  <si>
    <t>Granular</t>
  </si>
  <si>
    <t>Lumpy</t>
  </si>
  <si>
    <t>Irregular</t>
  </si>
  <si>
    <t>Very Free Flowing</t>
  </si>
  <si>
    <t>Free Flowing</t>
  </si>
  <si>
    <t>Average</t>
  </si>
  <si>
    <t>Sluggish</t>
  </si>
  <si>
    <t>Other Properties</t>
  </si>
  <si>
    <t>Build Up / Harden</t>
  </si>
  <si>
    <t>Generate Static Electricity</t>
  </si>
  <si>
    <t>Decomposes in Storage</t>
  </si>
  <si>
    <t>Flammability</t>
  </si>
  <si>
    <t>Becomes Plastic / Softens</t>
  </si>
  <si>
    <t>Very Dusty</t>
  </si>
  <si>
    <t>Aerates / Becomes Fluid</t>
  </si>
  <si>
    <t>Explosiveness</t>
  </si>
  <si>
    <t>Stickiness / Adhesive</t>
  </si>
  <si>
    <t>Harmful / Toxic Gas or Fumes</t>
  </si>
  <si>
    <t>Highly Corrosive</t>
  </si>
  <si>
    <t>Mildly Corrosive</t>
  </si>
  <si>
    <t>Packs Under Pressure</t>
  </si>
  <si>
    <t>Elevated Temperature</t>
  </si>
  <si>
    <t>Mild</t>
  </si>
  <si>
    <t>Moderate</t>
  </si>
  <si>
    <t>Extreme</t>
  </si>
  <si>
    <t>Shafted</t>
  </si>
  <si>
    <t>Single Shaftless</t>
  </si>
  <si>
    <t>Dual Shaftless</t>
  </si>
  <si>
    <t>2" SCH 40</t>
  </si>
  <si>
    <t>2" SCH 80</t>
  </si>
  <si>
    <t>2.5" SCH 40</t>
  </si>
  <si>
    <t>2.5" SCH 80</t>
  </si>
  <si>
    <t>3" SCH 80</t>
  </si>
  <si>
    <t>3.5" SCH 40</t>
  </si>
  <si>
    <t>3.5" SCH 80</t>
  </si>
  <si>
    <t>4" SCH 40</t>
  </si>
  <si>
    <t>4" SCH 80</t>
  </si>
  <si>
    <t>5" SCH 40</t>
  </si>
  <si>
    <t>5" SCH 80</t>
  </si>
  <si>
    <t>6" SCH 40</t>
  </si>
  <si>
    <t>6" SCH 80</t>
  </si>
  <si>
    <t>8" SCH 40</t>
  </si>
  <si>
    <t>8" SCH 80</t>
  </si>
  <si>
    <t>10" SCH 40</t>
  </si>
  <si>
    <t>10" SCH 80</t>
  </si>
  <si>
    <t>12" SCH 40</t>
  </si>
  <si>
    <t>12" SCH 80</t>
  </si>
  <si>
    <t>Primary input</t>
  </si>
  <si>
    <t>Secondary input (only change under specific circumstances)</t>
  </si>
  <si>
    <t>Calculation - secondary or intermediate output</t>
  </si>
  <si>
    <t>Primary output "pass"</t>
  </si>
  <si>
    <t>Output "warning"</t>
  </si>
  <si>
    <t>Output "failure"</t>
  </si>
  <si>
    <t>Gearbox</t>
  </si>
  <si>
    <t>K57</t>
  </si>
  <si>
    <t>K67R37</t>
  </si>
  <si>
    <t>K77</t>
  </si>
  <si>
    <t>K77R37</t>
  </si>
  <si>
    <t>K87</t>
  </si>
  <si>
    <t>K87R57</t>
  </si>
  <si>
    <t>K97</t>
  </si>
  <si>
    <t>K97R57</t>
  </si>
  <si>
    <t>K107</t>
  </si>
  <si>
    <t>K107R77</t>
  </si>
  <si>
    <t>K127</t>
  </si>
  <si>
    <t>K127R77</t>
  </si>
  <si>
    <t>K127R87</t>
  </si>
  <si>
    <t>K157</t>
  </si>
  <si>
    <t>K157R97</t>
  </si>
  <si>
    <t>K157R107</t>
  </si>
  <si>
    <t>K167</t>
  </si>
  <si>
    <t>K167R97</t>
  </si>
  <si>
    <t>K167R107</t>
  </si>
  <si>
    <t>F57</t>
  </si>
  <si>
    <t>F67R37</t>
  </si>
  <si>
    <t>F77</t>
  </si>
  <si>
    <t>F77R37</t>
  </si>
  <si>
    <t>F87</t>
  </si>
  <si>
    <t>F97</t>
  </si>
  <si>
    <t>F97R57</t>
  </si>
  <si>
    <t>F107</t>
  </si>
  <si>
    <t>F107R77</t>
  </si>
  <si>
    <t>F127</t>
  </si>
  <si>
    <t>F127R87</t>
  </si>
  <si>
    <t>F157</t>
  </si>
  <si>
    <t>F157R97</t>
  </si>
  <si>
    <t>K57_1</t>
  </si>
  <si>
    <t>K5712</t>
  </si>
  <si>
    <t>K57_2</t>
  </si>
  <si>
    <t>K5714</t>
  </si>
  <si>
    <t>K57_3</t>
  </si>
  <si>
    <t>K5716</t>
  </si>
  <si>
    <t>K57_4</t>
  </si>
  <si>
    <t>K5717</t>
  </si>
  <si>
    <t>K57_5</t>
  </si>
  <si>
    <t>K5719</t>
  </si>
  <si>
    <t>K57_6</t>
  </si>
  <si>
    <t>K5723</t>
  </si>
  <si>
    <t>K57_7</t>
  </si>
  <si>
    <t>K5725</t>
  </si>
  <si>
    <t>K57_8</t>
  </si>
  <si>
    <t>K5729</t>
  </si>
  <si>
    <t>K57_9</t>
  </si>
  <si>
    <t>K5730</t>
  </si>
  <si>
    <t>K57_10</t>
  </si>
  <si>
    <t>K5736</t>
  </si>
  <si>
    <t>K57_11</t>
  </si>
  <si>
    <t>K5739</t>
  </si>
  <si>
    <t>K57_12</t>
  </si>
  <si>
    <t>K5745</t>
  </si>
  <si>
    <t>K57_13</t>
  </si>
  <si>
    <t>K5749</t>
  </si>
  <si>
    <t>K57_14</t>
  </si>
  <si>
    <t>K5758</t>
  </si>
  <si>
    <t>K57_15</t>
  </si>
  <si>
    <t>K5764</t>
  </si>
  <si>
    <t>K67R37_1</t>
  </si>
  <si>
    <t>K67R372.2</t>
  </si>
  <si>
    <t>K67R37_2</t>
  </si>
  <si>
    <t>K67R372.5</t>
  </si>
  <si>
    <t>K67R37_3</t>
  </si>
  <si>
    <t>K67R372.9</t>
  </si>
  <si>
    <t>K67R37_4</t>
  </si>
  <si>
    <t>K67R373.2</t>
  </si>
  <si>
    <t>K67R37_5</t>
  </si>
  <si>
    <t>K67R373.7</t>
  </si>
  <si>
    <t>K67R37_6</t>
  </si>
  <si>
    <t>K67R374.2</t>
  </si>
  <si>
    <t>K67R37_7</t>
  </si>
  <si>
    <t>K67R374.8</t>
  </si>
  <si>
    <t>K67R37_8</t>
  </si>
  <si>
    <t>K67R375.4</t>
  </si>
  <si>
    <t>K67R37_9</t>
  </si>
  <si>
    <t>K67R376.3</t>
  </si>
  <si>
    <t>K67R37_10</t>
  </si>
  <si>
    <t>K67R377.1</t>
  </si>
  <si>
    <t>K67R37_11</t>
  </si>
  <si>
    <t>K67R378.1</t>
  </si>
  <si>
    <t>K67R37_12</t>
  </si>
  <si>
    <t>K67R379.1</t>
  </si>
  <si>
    <t>K67R37_13</t>
  </si>
  <si>
    <t>K67R3711</t>
  </si>
  <si>
    <t>K67R37_14</t>
  </si>
  <si>
    <t>K67R3712</t>
  </si>
  <si>
    <t>K67R37_15</t>
  </si>
  <si>
    <t>K67R3714</t>
  </si>
  <si>
    <t>K77_1</t>
  </si>
  <si>
    <t>K779.1</t>
  </si>
  <si>
    <t>K77_2</t>
  </si>
  <si>
    <t>K779.8</t>
  </si>
  <si>
    <t>K77_3</t>
  </si>
  <si>
    <t>K7711</t>
  </si>
  <si>
    <t>K77_4</t>
  </si>
  <si>
    <t>K7713</t>
  </si>
  <si>
    <t>K77_5</t>
  </si>
  <si>
    <t>K7714</t>
  </si>
  <si>
    <t>K77_6</t>
  </si>
  <si>
    <t>K7715</t>
  </si>
  <si>
    <t>K77_7</t>
  </si>
  <si>
    <t>K7718</t>
  </si>
  <si>
    <t>K77_8</t>
  </si>
  <si>
    <t>K7720</t>
  </si>
  <si>
    <t>K77_9</t>
  </si>
  <si>
    <t>K7722</t>
  </si>
  <si>
    <t>K77_10</t>
  </si>
  <si>
    <t>K7724</t>
  </si>
  <si>
    <t>K77_11</t>
  </si>
  <si>
    <t>K7727</t>
  </si>
  <si>
    <t>K77_12</t>
  </si>
  <si>
    <t>K7730</t>
  </si>
  <si>
    <t>K77_13</t>
  </si>
  <si>
    <t>K7734</t>
  </si>
  <si>
    <t>K77_14</t>
  </si>
  <si>
    <t>K7739</t>
  </si>
  <si>
    <t>K77_15</t>
  </si>
  <si>
    <t>K7744</t>
  </si>
  <si>
    <t>K77R37_1</t>
  </si>
  <si>
    <t>K77R371.9</t>
  </si>
  <si>
    <t>K77R37_2</t>
  </si>
  <si>
    <t>K77R372.1</t>
  </si>
  <si>
    <t>K77R37_3</t>
  </si>
  <si>
    <t>K77R372.5</t>
  </si>
  <si>
    <t>K77R37_4</t>
  </si>
  <si>
    <t>K77R372.8</t>
  </si>
  <si>
    <t>K77R37_5</t>
  </si>
  <si>
    <t>K77R373.2</t>
  </si>
  <si>
    <t>K77R37_6</t>
  </si>
  <si>
    <t>K77R373.6</t>
  </si>
  <si>
    <t>K77R37_7</t>
  </si>
  <si>
    <t>K77R374.1</t>
  </si>
  <si>
    <t>K77R37_8</t>
  </si>
  <si>
    <t>K77R374.8</t>
  </si>
  <si>
    <t>K77R37_9</t>
  </si>
  <si>
    <t>K77R375.3</t>
  </si>
  <si>
    <t>K77R37_10</t>
  </si>
  <si>
    <t>K77R376</t>
  </si>
  <si>
    <t>K77R37_11</t>
  </si>
  <si>
    <t>K77R376.9</t>
  </si>
  <si>
    <t>K77R37_12</t>
  </si>
  <si>
    <t>K77R377.9</t>
  </si>
  <si>
    <t>K77R37_13</t>
  </si>
  <si>
    <t>K77R379</t>
  </si>
  <si>
    <t>K77R37_14</t>
  </si>
  <si>
    <t>K77R3710</t>
  </si>
  <si>
    <t>K77R37_15</t>
  </si>
  <si>
    <t>K77R3711</t>
  </si>
  <si>
    <t>K87_1</t>
  </si>
  <si>
    <t>K878.9</t>
  </si>
  <si>
    <t>K87_2</t>
  </si>
  <si>
    <t>K8710</t>
  </si>
  <si>
    <t>K87_3</t>
  </si>
  <si>
    <t>K8711</t>
  </si>
  <si>
    <t>K87_4</t>
  </si>
  <si>
    <t>K8712</t>
  </si>
  <si>
    <t>K87_5</t>
  </si>
  <si>
    <t>K8714</t>
  </si>
  <si>
    <t>K87_6</t>
  </si>
  <si>
    <t>K8715</t>
  </si>
  <si>
    <t>K87_7</t>
  </si>
  <si>
    <t>K8717</t>
  </si>
  <si>
    <t>K87_8</t>
  </si>
  <si>
    <t>K8720</t>
  </si>
  <si>
    <t>K87_9</t>
  </si>
  <si>
    <t>K8722</t>
  </si>
  <si>
    <t>K87_10</t>
  </si>
  <si>
    <t>K8725</t>
  </si>
  <si>
    <t>K87_11</t>
  </si>
  <si>
    <t>K8728</t>
  </si>
  <si>
    <t>K87_12</t>
  </si>
  <si>
    <t>K8731</t>
  </si>
  <si>
    <t>K87_13</t>
  </si>
  <si>
    <t>K8736</t>
  </si>
  <si>
    <t>K87_14</t>
  </si>
  <si>
    <t>K8740</t>
  </si>
  <si>
    <t>K87_15</t>
  </si>
  <si>
    <t>K8748</t>
  </si>
  <si>
    <t>K87R57_1</t>
  </si>
  <si>
    <t>K87R572.1</t>
  </si>
  <si>
    <t>K87R57_2</t>
  </si>
  <si>
    <t>K87R572.4</t>
  </si>
  <si>
    <t>K87R57_3</t>
  </si>
  <si>
    <t>K87R572.7</t>
  </si>
  <si>
    <t>K87R57_4</t>
  </si>
  <si>
    <t>K87R573.1</t>
  </si>
  <si>
    <t>K87R57_5</t>
  </si>
  <si>
    <t>K87R573.7</t>
  </si>
  <si>
    <t>K87R57_6</t>
  </si>
  <si>
    <t>K87R574.1</t>
  </si>
  <si>
    <t>K87R57_7</t>
  </si>
  <si>
    <t>K87R574.7</t>
  </si>
  <si>
    <t>K87R57_8</t>
  </si>
  <si>
    <t>K87R575.3</t>
  </si>
  <si>
    <t>K87R57_9</t>
  </si>
  <si>
    <t>K87R576</t>
  </si>
  <si>
    <t>K87R57_10</t>
  </si>
  <si>
    <t>K87R577</t>
  </si>
  <si>
    <t>K87R57_11</t>
  </si>
  <si>
    <t>K87R577.4</t>
  </si>
  <si>
    <t>K87R57_12</t>
  </si>
  <si>
    <t>K87R578.7</t>
  </si>
  <si>
    <t>K87R57_13</t>
  </si>
  <si>
    <t>K87R579.6</t>
  </si>
  <si>
    <t>K87R57_14</t>
  </si>
  <si>
    <t>K87R5711</t>
  </si>
  <si>
    <t>K87R57_15</t>
  </si>
  <si>
    <t>K87R5712</t>
  </si>
  <si>
    <t>K97_1</t>
  </si>
  <si>
    <t>K979.9</t>
  </si>
  <si>
    <t>K97_2</t>
  </si>
  <si>
    <t>K9711</t>
  </si>
  <si>
    <t>K97_3</t>
  </si>
  <si>
    <t>K9712</t>
  </si>
  <si>
    <t>K97_4</t>
  </si>
  <si>
    <t>K9714</t>
  </si>
  <si>
    <t>K97_5</t>
  </si>
  <si>
    <t>K9717</t>
  </si>
  <si>
    <t>K97_6</t>
  </si>
  <si>
    <t>K9718</t>
  </si>
  <si>
    <t>K97_7</t>
  </si>
  <si>
    <t>K9720</t>
  </si>
  <si>
    <t>K97_8</t>
  </si>
  <si>
    <t>K9722</t>
  </si>
  <si>
    <t>K97_9</t>
  </si>
  <si>
    <t>K9725</t>
  </si>
  <si>
    <t>K97_10</t>
  </si>
  <si>
    <t>K9728</t>
  </si>
  <si>
    <t>K97_11</t>
  </si>
  <si>
    <t>K9731</t>
  </si>
  <si>
    <t>K97_12</t>
  </si>
  <si>
    <t>K9737</t>
  </si>
  <si>
    <t>K97_13</t>
  </si>
  <si>
    <t>K9742</t>
  </si>
  <si>
    <t>K97_14</t>
  </si>
  <si>
    <t>K9746</t>
  </si>
  <si>
    <t>K97_15</t>
  </si>
  <si>
    <t>K9751</t>
  </si>
  <si>
    <t>K97R57_1</t>
  </si>
  <si>
    <t>K97R571.4</t>
  </si>
  <si>
    <t>K97R57_2</t>
  </si>
  <si>
    <t>K97R571.6</t>
  </si>
  <si>
    <t>K97R57_3</t>
  </si>
  <si>
    <t>K97R571.8</t>
  </si>
  <si>
    <t>K97R57_4</t>
  </si>
  <si>
    <t>K97R572</t>
  </si>
  <si>
    <t>K97R57_5</t>
  </si>
  <si>
    <t>K97R572.4</t>
  </si>
  <si>
    <t>K97R57_6</t>
  </si>
  <si>
    <t>K97R572.7</t>
  </si>
  <si>
    <t>K97R57_7</t>
  </si>
  <si>
    <t>K97R573.1</t>
  </si>
  <si>
    <t>K97R57_8</t>
  </si>
  <si>
    <t>K97R573.5</t>
  </si>
  <si>
    <t>K97R57_9</t>
  </si>
  <si>
    <t>K97R574</t>
  </si>
  <si>
    <t>K97R57_10</t>
  </si>
  <si>
    <t>K97R574.6</t>
  </si>
  <si>
    <t>K97R57_11</t>
  </si>
  <si>
    <t>K97R575.1</t>
  </si>
  <si>
    <t>K97R57_12</t>
  </si>
  <si>
    <t>K97R575.7</t>
  </si>
  <si>
    <t>K97R57_13</t>
  </si>
  <si>
    <t>K97R576.8</t>
  </si>
  <si>
    <t>K97R57_14</t>
  </si>
  <si>
    <t>K97R577.5</t>
  </si>
  <si>
    <t>K97R57_15</t>
  </si>
  <si>
    <t>K97R578.8</t>
  </si>
  <si>
    <t>K107_1</t>
  </si>
  <si>
    <t>K10712</t>
  </si>
  <si>
    <t>K107_2</t>
  </si>
  <si>
    <t>K10714</t>
  </si>
  <si>
    <t>K107_3</t>
  </si>
  <si>
    <t>K10716</t>
  </si>
  <si>
    <t>K107_4</t>
  </si>
  <si>
    <t>K10717</t>
  </si>
  <si>
    <t>K107_5</t>
  </si>
  <si>
    <t>K10719</t>
  </si>
  <si>
    <t>K107_6</t>
  </si>
  <si>
    <t>K10721</t>
  </si>
  <si>
    <t>K107_7</t>
  </si>
  <si>
    <t>K10724</t>
  </si>
  <si>
    <t>K107_8</t>
  </si>
  <si>
    <t>K10726</t>
  </si>
  <si>
    <t>K107_9</t>
  </si>
  <si>
    <t>K10731</t>
  </si>
  <si>
    <t>K107_10</t>
  </si>
  <si>
    <t>K10735</t>
  </si>
  <si>
    <t>K107_11</t>
  </si>
  <si>
    <t>K10741</t>
  </si>
  <si>
    <t>K107_12</t>
  </si>
  <si>
    <t>K10747</t>
  </si>
  <si>
    <t>K107_13</t>
  </si>
  <si>
    <t>K10754</t>
  </si>
  <si>
    <t>K107_14</t>
  </si>
  <si>
    <t>K10756</t>
  </si>
  <si>
    <t>K107_15</t>
  </si>
  <si>
    <t>K10760</t>
  </si>
  <si>
    <t>K107R77_1</t>
  </si>
  <si>
    <t>K107R772.2</t>
  </si>
  <si>
    <t>K107R77_2</t>
  </si>
  <si>
    <t>K107R772.5</t>
  </si>
  <si>
    <t>K107R77_3</t>
  </si>
  <si>
    <t>K107R772.8</t>
  </si>
  <si>
    <t>K107R77_4</t>
  </si>
  <si>
    <t>K107R773.4</t>
  </si>
  <si>
    <t>K107R77_5</t>
  </si>
  <si>
    <t>K107R773.8</t>
  </si>
  <si>
    <t>K107R77_6</t>
  </si>
  <si>
    <t>K107R774.3</t>
  </si>
  <si>
    <t>K107R77_7</t>
  </si>
  <si>
    <t>K107R774.8</t>
  </si>
  <si>
    <t>K107R77_8</t>
  </si>
  <si>
    <t>K107R775.5</t>
  </si>
  <si>
    <t>K107R77_9</t>
  </si>
  <si>
    <t>K107R776.1</t>
  </si>
  <si>
    <t>K107R77_10</t>
  </si>
  <si>
    <t>K107R777</t>
  </si>
  <si>
    <t>K107R77_11</t>
  </si>
  <si>
    <t>K107R777.9</t>
  </si>
  <si>
    <t>K107R77_12</t>
  </si>
  <si>
    <t>K107R778.9</t>
  </si>
  <si>
    <t>K107R77_13</t>
  </si>
  <si>
    <t>K107R7710</t>
  </si>
  <si>
    <t>K107R77_14</t>
  </si>
  <si>
    <t>K107R7711</t>
  </si>
  <si>
    <t>K107R77_15</t>
  </si>
  <si>
    <t>K107R7713</t>
  </si>
  <si>
    <t>K127_1</t>
  </si>
  <si>
    <t>K12712</t>
  </si>
  <si>
    <t>K127_2</t>
  </si>
  <si>
    <t>K12713</t>
  </si>
  <si>
    <t>K127_3</t>
  </si>
  <si>
    <t>K12714</t>
  </si>
  <si>
    <t>K127_4</t>
  </si>
  <si>
    <t>K12716</t>
  </si>
  <si>
    <t>K127_5</t>
  </si>
  <si>
    <t>K12719</t>
  </si>
  <si>
    <t>K127_6</t>
  </si>
  <si>
    <t>K12721</t>
  </si>
  <si>
    <t>K127_7</t>
  </si>
  <si>
    <t>K12725</t>
  </si>
  <si>
    <t>K127_8</t>
  </si>
  <si>
    <t>K12728</t>
  </si>
  <si>
    <t>K127_9</t>
  </si>
  <si>
    <t>K12732</t>
  </si>
  <si>
    <t>K127_10</t>
  </si>
  <si>
    <t>K12737</t>
  </si>
  <si>
    <t>K127_11</t>
  </si>
  <si>
    <t>K12744</t>
  </si>
  <si>
    <t>K127_12</t>
  </si>
  <si>
    <t>K12748</t>
  </si>
  <si>
    <t>K127_13</t>
  </si>
  <si>
    <t>K12756</t>
  </si>
  <si>
    <t>K127_14</t>
  </si>
  <si>
    <t>K12763</t>
  </si>
  <si>
    <t>K127_15</t>
  </si>
  <si>
    <t>K12773</t>
  </si>
  <si>
    <t>K127R77_1</t>
  </si>
  <si>
    <t>K127R770.67</t>
  </si>
  <si>
    <t>K127R77_2</t>
  </si>
  <si>
    <t>K127R770.77</t>
  </si>
  <si>
    <t>K127R77_3</t>
  </si>
  <si>
    <t>K127R770.91</t>
  </si>
  <si>
    <t>K127R77_4</t>
  </si>
  <si>
    <t>K127R771</t>
  </si>
  <si>
    <t>K127R77_5</t>
  </si>
  <si>
    <t>K127R771.1</t>
  </si>
  <si>
    <t>K127R77_6</t>
  </si>
  <si>
    <t>K127R771.3</t>
  </si>
  <si>
    <t>K127R77_7</t>
  </si>
  <si>
    <t>K127R771.5</t>
  </si>
  <si>
    <t>K127R77_8</t>
  </si>
  <si>
    <t>K127R771.7</t>
  </si>
  <si>
    <t>K127R77_9</t>
  </si>
  <si>
    <t>K127R771.9</t>
  </si>
  <si>
    <t>K127R77_10</t>
  </si>
  <si>
    <t>K127R772.2</t>
  </si>
  <si>
    <t>K127R77_11</t>
  </si>
  <si>
    <t>K127R772.5</t>
  </si>
  <si>
    <t>K127R77_12</t>
  </si>
  <si>
    <t>K127R772.9</t>
  </si>
  <si>
    <t>K127R77_13</t>
  </si>
  <si>
    <t>K127R773.2</t>
  </si>
  <si>
    <t>K127R77_14</t>
  </si>
  <si>
    <t>K127R773.7</t>
  </si>
  <si>
    <t>K127R77_15</t>
  </si>
  <si>
    <t>K127R774.2</t>
  </si>
  <si>
    <t>K127R87_1</t>
  </si>
  <si>
    <t>K127R873.3</t>
  </si>
  <si>
    <t>K127R87_2</t>
  </si>
  <si>
    <t>K127R873.7</t>
  </si>
  <si>
    <t>K127R87_3</t>
  </si>
  <si>
    <t>K127R874.2</t>
  </si>
  <si>
    <t>K127R87_4</t>
  </si>
  <si>
    <t>K127R874.8</t>
  </si>
  <si>
    <t>K127R87_5</t>
  </si>
  <si>
    <t>K127R875.3</t>
  </si>
  <si>
    <t>K127R87_6</t>
  </si>
  <si>
    <t>K127R876.1</t>
  </si>
  <si>
    <t>K127R87_7</t>
  </si>
  <si>
    <t>K127R876.9</t>
  </si>
  <si>
    <t>K127R87_8</t>
  </si>
  <si>
    <t>K127R878.2</t>
  </si>
  <si>
    <t>K127R87_9</t>
  </si>
  <si>
    <t>K127R878.7</t>
  </si>
  <si>
    <t>K127R87_10</t>
  </si>
  <si>
    <t>K127R8711</t>
  </si>
  <si>
    <t>K127R87_11</t>
  </si>
  <si>
    <t>K127R8712</t>
  </si>
  <si>
    <t>K127R87_12</t>
  </si>
  <si>
    <t>K127R870</t>
  </si>
  <si>
    <t>K127R87_13</t>
  </si>
  <si>
    <t>K127R87_14</t>
  </si>
  <si>
    <t>K127R87_15</t>
  </si>
  <si>
    <t>K157_1</t>
  </si>
  <si>
    <t>K15712</t>
  </si>
  <si>
    <t>K157_2</t>
  </si>
  <si>
    <t>K15714</t>
  </si>
  <si>
    <t>K157_3</t>
  </si>
  <si>
    <t>K15717</t>
  </si>
  <si>
    <t>K157_4</t>
  </si>
  <si>
    <t>K15719</t>
  </si>
  <si>
    <t>K157_5</t>
  </si>
  <si>
    <t>K15722</t>
  </si>
  <si>
    <t>K157_6</t>
  </si>
  <si>
    <t>K15725</t>
  </si>
  <si>
    <t>K157_7</t>
  </si>
  <si>
    <t>K15729</t>
  </si>
  <si>
    <t>K157_8</t>
  </si>
  <si>
    <t>K15732</t>
  </si>
  <si>
    <t>K157_9</t>
  </si>
  <si>
    <t>K15737</t>
  </si>
  <si>
    <t>K157_10</t>
  </si>
  <si>
    <t>K15746</t>
  </si>
  <si>
    <t>K157_11</t>
  </si>
  <si>
    <t>K15756</t>
  </si>
  <si>
    <t>K157_12</t>
  </si>
  <si>
    <t>K15763</t>
  </si>
  <si>
    <t>K157_13</t>
  </si>
  <si>
    <t>K15773</t>
  </si>
  <si>
    <t>K157_14</t>
  </si>
  <si>
    <t>K15782</t>
  </si>
  <si>
    <t>K157_15</t>
  </si>
  <si>
    <t>K15795</t>
  </si>
  <si>
    <t>K157R97_1</t>
  </si>
  <si>
    <t>K157R970.86</t>
  </si>
  <si>
    <t>K157R97_2</t>
  </si>
  <si>
    <t>K157R970.97</t>
  </si>
  <si>
    <t>K157R97_3</t>
  </si>
  <si>
    <t>K157R971.3</t>
  </si>
  <si>
    <t>K157R97_4</t>
  </si>
  <si>
    <t>K157R971.4</t>
  </si>
  <si>
    <t>K157R97_5</t>
  </si>
  <si>
    <t>K157R971.6</t>
  </si>
  <si>
    <t>K157R97_6</t>
  </si>
  <si>
    <t>K157R971.9</t>
  </si>
  <si>
    <t>K157R97_7</t>
  </si>
  <si>
    <t>K157R972</t>
  </si>
  <si>
    <t>K157R97_8</t>
  </si>
  <si>
    <t>K157R972.3</t>
  </si>
  <si>
    <t>K157R97_9</t>
  </si>
  <si>
    <t>K157R972.6</t>
  </si>
  <si>
    <t>K157R97_10</t>
  </si>
  <si>
    <t>K157R973.1</t>
  </si>
  <si>
    <t>K157R97_11</t>
  </si>
  <si>
    <t>K157R973.5</t>
  </si>
  <si>
    <t>K157R97_12</t>
  </si>
  <si>
    <t>K157R974</t>
  </si>
  <si>
    <t>K157R97_13</t>
  </si>
  <si>
    <t>K157R974.6</t>
  </si>
  <si>
    <t>K157R97_14</t>
  </si>
  <si>
    <t>K157R975.3</t>
  </si>
  <si>
    <t>K157R97_15</t>
  </si>
  <si>
    <t>K157R976</t>
  </si>
  <si>
    <t>K157R107_1</t>
  </si>
  <si>
    <t>K157R1074.5</t>
  </si>
  <si>
    <t>K157R107_2</t>
  </si>
  <si>
    <t>K157R1075.4</t>
  </si>
  <si>
    <t>K157R107_3</t>
  </si>
  <si>
    <t>K157R1075.9</t>
  </si>
  <si>
    <t>K157R107_4</t>
  </si>
  <si>
    <t>K157R1076.9</t>
  </si>
  <si>
    <t>K157R107_5</t>
  </si>
  <si>
    <t>K157R1077.6</t>
  </si>
  <si>
    <t>K157R107_6</t>
  </si>
  <si>
    <t>K157R1078.2</t>
  </si>
  <si>
    <t>K157R107_7</t>
  </si>
  <si>
    <t>K157R1079.3</t>
  </si>
  <si>
    <t>K157R107_8</t>
  </si>
  <si>
    <t>K157R10711</t>
  </si>
  <si>
    <t>K157R107_9</t>
  </si>
  <si>
    <t>K157R10714</t>
  </si>
  <si>
    <t>K157R107_10</t>
  </si>
  <si>
    <t>K157R10716</t>
  </si>
  <si>
    <t>K157R107_11</t>
  </si>
  <si>
    <t>K157R1070</t>
  </si>
  <si>
    <t>K157R107_12</t>
  </si>
  <si>
    <t>K157R10763</t>
  </si>
  <si>
    <t>K157R107_13</t>
  </si>
  <si>
    <t>K157R107_14</t>
  </si>
  <si>
    <t>K157R107_15</t>
  </si>
  <si>
    <t>K167_1</t>
  </si>
  <si>
    <t>K16711</t>
  </si>
  <si>
    <t>K167_2</t>
  </si>
  <si>
    <t>K16713</t>
  </si>
  <si>
    <t>K167_3</t>
  </si>
  <si>
    <t>K16716</t>
  </si>
  <si>
    <t>K167_4</t>
  </si>
  <si>
    <t>K16720</t>
  </si>
  <si>
    <t>K167_5</t>
  </si>
  <si>
    <t>K16722</t>
  </si>
  <si>
    <t>K167_6</t>
  </si>
  <si>
    <t>K16726</t>
  </si>
  <si>
    <t>K167_7</t>
  </si>
  <si>
    <t>K16729</t>
  </si>
  <si>
    <t>K167_8</t>
  </si>
  <si>
    <t>K16734</t>
  </si>
  <si>
    <t>K167_9</t>
  </si>
  <si>
    <t>K16741</t>
  </si>
  <si>
    <t>K167_10</t>
  </si>
  <si>
    <t>K16748</t>
  </si>
  <si>
    <t>K167_11</t>
  </si>
  <si>
    <t>K16754</t>
  </si>
  <si>
    <t>K167_12</t>
  </si>
  <si>
    <t>K16761</t>
  </si>
  <si>
    <t>K167_13</t>
  </si>
  <si>
    <t>K16771</t>
  </si>
  <si>
    <t>K167_14</t>
  </si>
  <si>
    <t>K16786</t>
  </si>
  <si>
    <t>K167_15</t>
  </si>
  <si>
    <t>K167101</t>
  </si>
  <si>
    <t>K167R97_1</t>
  </si>
  <si>
    <t>K167R970.37</t>
  </si>
  <si>
    <t>K167R97_2</t>
  </si>
  <si>
    <t>K167R970.43</t>
  </si>
  <si>
    <t>K167R97_3</t>
  </si>
  <si>
    <t>K167R970.64</t>
  </si>
  <si>
    <t>K167R97_4</t>
  </si>
  <si>
    <t>K167R970.77</t>
  </si>
  <si>
    <t>K167R97_5</t>
  </si>
  <si>
    <t>K167R971</t>
  </si>
  <si>
    <t>K167R97_6</t>
  </si>
  <si>
    <t>K167R971.4</t>
  </si>
  <si>
    <t>K167R97_7</t>
  </si>
  <si>
    <t>K167R971.6</t>
  </si>
  <si>
    <t>K167R97_8</t>
  </si>
  <si>
    <t>K167R971.9</t>
  </si>
  <si>
    <t>K167R97_9</t>
  </si>
  <si>
    <t>K167R972.1</t>
  </si>
  <si>
    <t>K167R97_10</t>
  </si>
  <si>
    <t>K167R972.3</t>
  </si>
  <si>
    <t>K167R97_11</t>
  </si>
  <si>
    <t>K167R972.8</t>
  </si>
  <si>
    <t>K167R97_12</t>
  </si>
  <si>
    <t>K167R973.1</t>
  </si>
  <si>
    <t>K167R97_13</t>
  </si>
  <si>
    <t>K167R973.6</t>
  </si>
  <si>
    <t>K167R97_14</t>
  </si>
  <si>
    <t>K167R974.1</t>
  </si>
  <si>
    <t>K167R97_15</t>
  </si>
  <si>
    <t>K167R974.8</t>
  </si>
  <si>
    <t>K167R107_1</t>
  </si>
  <si>
    <t>K167R1075.5</t>
  </si>
  <si>
    <t>K167R107_2</t>
  </si>
  <si>
    <t>K167R1076.3</t>
  </si>
  <si>
    <t>K167R107_3</t>
  </si>
  <si>
    <t>K167R1077.2</t>
  </si>
  <si>
    <t>K167R107_4</t>
  </si>
  <si>
    <t>K167R1078.2</t>
  </si>
  <si>
    <t>K167R107_5</t>
  </si>
  <si>
    <t>K167R1078.5</t>
  </si>
  <si>
    <t>K167R107_6</t>
  </si>
  <si>
    <t>K167R10711</t>
  </si>
  <si>
    <t>K167R107_7</t>
  </si>
  <si>
    <t>K167R10713</t>
  </si>
  <si>
    <t>K167R107_8</t>
  </si>
  <si>
    <t>K167R10715</t>
  </si>
  <si>
    <t>K167R107_9</t>
  </si>
  <si>
    <t>K167R1070</t>
  </si>
  <si>
    <t>K167R107_10</t>
  </si>
  <si>
    <t>K167R107_11</t>
  </si>
  <si>
    <t>K167R107_12</t>
  </si>
  <si>
    <t>K167R107_13</t>
  </si>
  <si>
    <t>K167R107_14</t>
  </si>
  <si>
    <t>K167R107_15</t>
  </si>
  <si>
    <t>Ratios</t>
  </si>
  <si>
    <t>Number</t>
  </si>
  <si>
    <t>Lookup</t>
  </si>
  <si>
    <t>Ratio</t>
  </si>
  <si>
    <t>Output RPM</t>
  </si>
  <si>
    <t>Max Output Torque (in-lb)</t>
  </si>
  <si>
    <t>Max Overhung Load (lbf)</t>
  </si>
  <si>
    <t>hp</t>
  </si>
  <si>
    <t>Motor Model</t>
  </si>
  <si>
    <t>RPM</t>
  </si>
  <si>
    <t>Pipe Size</t>
  </si>
  <si>
    <t>DRN80M4</t>
  </si>
  <si>
    <t>DRN90S4</t>
  </si>
  <si>
    <t>DRN100LM4</t>
  </si>
  <si>
    <t>DRN100L4</t>
  </si>
  <si>
    <t>DRN132S4</t>
  </si>
  <si>
    <t>DRN132M4</t>
  </si>
  <si>
    <t>DRN132L4</t>
  </si>
  <si>
    <t>DRN160M4</t>
  </si>
  <si>
    <t>DRN160L4</t>
  </si>
  <si>
    <t>DRN180M4</t>
  </si>
  <si>
    <t>DRN180L4</t>
  </si>
  <si>
    <t>10" SCH 60</t>
  </si>
  <si>
    <t>Material Properties</t>
  </si>
  <si>
    <t>E (psi)</t>
  </si>
  <si>
    <t>Sy (psi)</t>
  </si>
  <si>
    <t>Sult (psi)</t>
  </si>
  <si>
    <t>Density (lb/in3)</t>
  </si>
  <si>
    <t>304 SS</t>
  </si>
  <si>
    <t>304L SS</t>
  </si>
  <si>
    <t>316 SS</t>
  </si>
  <si>
    <t>316L SS</t>
  </si>
  <si>
    <t>17-4 PH -A</t>
  </si>
  <si>
    <t>17-4 PH -H900</t>
  </si>
  <si>
    <t>17-4 PH -H1150</t>
  </si>
  <si>
    <t>Hollow Bore</t>
  </si>
  <si>
    <t>B14 Flange</t>
  </si>
  <si>
    <t>M1</t>
  </si>
  <si>
    <t>Motor</t>
  </si>
  <si>
    <t>HP</t>
  </si>
  <si>
    <t>Mounting</t>
  </si>
  <si>
    <t>Output</t>
  </si>
  <si>
    <t>Solid Shaft</t>
  </si>
  <si>
    <t>CEMA 2-Hole</t>
  </si>
  <si>
    <t>CEMA 3-Hole</t>
  </si>
  <si>
    <t>M1A</t>
  </si>
  <si>
    <t>M1B</t>
  </si>
  <si>
    <t>M4</t>
  </si>
  <si>
    <t>M4A</t>
  </si>
  <si>
    <t>M4B</t>
  </si>
  <si>
    <t>M2</t>
  </si>
  <si>
    <t>M3</t>
  </si>
  <si>
    <t>Position</t>
  </si>
  <si>
    <t>B5 Flange</t>
  </si>
  <si>
    <t>Foot</t>
  </si>
  <si>
    <t>Torque Arm</t>
  </si>
  <si>
    <t>Shaft</t>
  </si>
  <si>
    <t>Drive Shaft</t>
  </si>
  <si>
    <t>Coupling Bolt</t>
  </si>
  <si>
    <t>Flight T</t>
  </si>
  <si>
    <t>Flight W</t>
  </si>
  <si>
    <t>Trough T</t>
  </si>
  <si>
    <t>Cover T</t>
  </si>
  <si>
    <t>16 ga</t>
  </si>
  <si>
    <t>14 ga</t>
  </si>
  <si>
    <t>12 ga</t>
  </si>
  <si>
    <t>10 ga</t>
  </si>
  <si>
    <t>3/16</t>
  </si>
  <si>
    <t>1/4</t>
  </si>
  <si>
    <t>3/8</t>
  </si>
  <si>
    <t>Shaft Bearing</t>
  </si>
  <si>
    <t>Hanger Bearing</t>
  </si>
  <si>
    <t>Seal</t>
  </si>
  <si>
    <t>Shaft Material</t>
  </si>
  <si>
    <t>Pipe Material</t>
  </si>
  <si>
    <t>Flight Material</t>
  </si>
  <si>
    <t>Bolt Material</t>
  </si>
  <si>
    <t>Trough Material</t>
  </si>
  <si>
    <t>Cover Material</t>
  </si>
  <si>
    <t>Plate Seal</t>
  </si>
  <si>
    <t>Flange Ball</t>
  </si>
  <si>
    <t>Flange Roller</t>
  </si>
  <si>
    <t>Pillow Block Ball</t>
  </si>
  <si>
    <t>Pillow Block Roller</t>
  </si>
  <si>
    <t>Flange Spherical</t>
  </si>
  <si>
    <t>Pillow Block Spherical</t>
  </si>
  <si>
    <t>Babbit</t>
  </si>
  <si>
    <t>Bronze</t>
  </si>
  <si>
    <t>Bronze with Graphite</t>
  </si>
  <si>
    <t>Ceramic</t>
  </si>
  <si>
    <t>Graphite</t>
  </si>
  <si>
    <t>Hard Iron</t>
  </si>
  <si>
    <t>Nylon</t>
  </si>
  <si>
    <t>UHMW</t>
  </si>
  <si>
    <t>Stellite</t>
  </si>
  <si>
    <t>Plastech</t>
  </si>
  <si>
    <t>Teflon</t>
  </si>
  <si>
    <t>1045 CS</t>
  </si>
  <si>
    <t>4140 Alloy</t>
  </si>
  <si>
    <t>304/316 SS</t>
  </si>
  <si>
    <t>1018 CS</t>
  </si>
  <si>
    <t>Carbon Steel</t>
  </si>
  <si>
    <t>A307</t>
  </si>
  <si>
    <t>A325</t>
  </si>
  <si>
    <t>Waste Packing</t>
  </si>
  <si>
    <t>Split Gland</t>
  </si>
  <si>
    <t>Flanged Gland</t>
  </si>
  <si>
    <t>CAPACITY CALCULATION TERMS</t>
  </si>
  <si>
    <t>Special Flight Capacity Factor. If not listed, use 1</t>
  </si>
  <si>
    <t>CF15_</t>
  </si>
  <si>
    <t>Paddle 1x</t>
  </si>
  <si>
    <t>Paddle 2x</t>
  </si>
  <si>
    <t>Paddle 3x</t>
  </si>
  <si>
    <t>Paddle 4x</t>
  </si>
  <si>
    <t>CF30_</t>
  </si>
  <si>
    <t>CF45_</t>
  </si>
  <si>
    <t>9Dual</t>
  </si>
  <si>
    <t>10Dual</t>
  </si>
  <si>
    <t>12Dual</t>
  </si>
  <si>
    <t>14Dual</t>
  </si>
  <si>
    <t>16Dual</t>
  </si>
  <si>
    <t>18Dual</t>
  </si>
  <si>
    <t>20Dual</t>
  </si>
  <si>
    <t>24Dual</t>
  </si>
  <si>
    <t>9Single</t>
  </si>
  <si>
    <t>10Single</t>
  </si>
  <si>
    <t>12Single</t>
  </si>
  <si>
    <t>14Single</t>
  </si>
  <si>
    <t>16Single</t>
  </si>
  <si>
    <t>18Single</t>
  </si>
  <si>
    <t>20Single</t>
  </si>
  <si>
    <t>24Single</t>
  </si>
  <si>
    <t>Diameter HP Factor</t>
  </si>
  <si>
    <t>Diameter</t>
  </si>
  <si>
    <t>Hanger Bearing HP Factor</t>
  </si>
  <si>
    <t>Ball</t>
  </si>
  <si>
    <t>Flight Modification HP Factor</t>
  </si>
  <si>
    <t>Paddle HP Factor</t>
  </si>
  <si>
    <t>Paddle Number</t>
  </si>
  <si>
    <t>Cut15</t>
  </si>
  <si>
    <t>Cut 30</t>
  </si>
  <si>
    <t>Cut45</t>
  </si>
  <si>
    <t>Cut95</t>
  </si>
  <si>
    <t>Fold15</t>
  </si>
  <si>
    <t>Fold30</t>
  </si>
  <si>
    <t>Fold45</t>
  </si>
  <si>
    <t>Fold95</t>
  </si>
  <si>
    <t>Ribbon15</t>
  </si>
  <si>
    <t>Ribbon30</t>
  </si>
  <si>
    <t>Ribbon45</t>
  </si>
  <si>
    <t>Ribbon95</t>
  </si>
  <si>
    <t>ALL LOOKUPS SEARCH THROUGH THE TABLES TO THE RANGE THAT HAVE BORDERS.</t>
  </si>
  <si>
    <t>FoMax</t>
  </si>
  <si>
    <t>OUTER T</t>
  </si>
  <si>
    <t>OUTER W</t>
  </si>
  <si>
    <t>INNER T</t>
  </si>
  <si>
    <t>INNER W</t>
  </si>
  <si>
    <t>SPIRALS</t>
  </si>
  <si>
    <t>9Shafted1</t>
  </si>
  <si>
    <t>10Shafted1</t>
  </si>
  <si>
    <t>12Shafted1</t>
  </si>
  <si>
    <t>14Shafted1</t>
  </si>
  <si>
    <t>16Shafted1</t>
  </si>
  <si>
    <t>18Shafted1</t>
  </si>
  <si>
    <t>20Shafted1</t>
  </si>
  <si>
    <t>24Shafted1</t>
  </si>
  <si>
    <t>9Shafted2</t>
  </si>
  <si>
    <t>10Shafted2</t>
  </si>
  <si>
    <t>12Shafted2</t>
  </si>
  <si>
    <t>14Shafted2</t>
  </si>
  <si>
    <t>16Shafted2</t>
  </si>
  <si>
    <t>18Shafted2</t>
  </si>
  <si>
    <t>20Shafted2</t>
  </si>
  <si>
    <t>24Shafted2</t>
  </si>
  <si>
    <t>9Shafted3</t>
  </si>
  <si>
    <t>10Shafted3</t>
  </si>
  <si>
    <t>12Shafted3</t>
  </si>
  <si>
    <t>14Shafted3</t>
  </si>
  <si>
    <t>16Shafted3</t>
  </si>
  <si>
    <t>18Shafted3</t>
  </si>
  <si>
    <t>20Shafted3</t>
  </si>
  <si>
    <t>24Shafted3</t>
  </si>
  <si>
    <t>WEIGHT PER FT</t>
  </si>
  <si>
    <t>6Dual</t>
  </si>
  <si>
    <t>6Shafted1</t>
  </si>
  <si>
    <t>6Single</t>
  </si>
  <si>
    <t>6Shafted2</t>
  </si>
  <si>
    <t>6Shafted3</t>
  </si>
  <si>
    <t>old</t>
  </si>
  <si>
    <t>STYLE</t>
  </si>
  <si>
    <t>FLIGHT</t>
  </si>
  <si>
    <t>STD SHAFT</t>
  </si>
  <si>
    <t>STD PIPE</t>
  </si>
  <si>
    <t>Bolt</t>
  </si>
  <si>
    <t>Standard Bolt Size</t>
  </si>
  <si>
    <t>SHAFT</t>
  </si>
  <si>
    <t>DUTY</t>
  </si>
  <si>
    <t>Yield</t>
  </si>
  <si>
    <t>Shear</t>
  </si>
  <si>
    <t>Bolt Allowable Stress</t>
  </si>
  <si>
    <t>r</t>
  </si>
  <si>
    <t>Load Radius</t>
  </si>
  <si>
    <t>Ap</t>
  </si>
  <si>
    <t>Zp</t>
  </si>
  <si>
    <t>PIPE</t>
  </si>
  <si>
    <t>PIPE ID</t>
  </si>
  <si>
    <t>Shaft  Allowable Stress</t>
  </si>
  <si>
    <t xml:space="preserve">Yield </t>
  </si>
  <si>
    <t>Zs</t>
  </si>
  <si>
    <t>ah</t>
  </si>
  <si>
    <t>LB/FT</t>
  </si>
  <si>
    <t>CoTE Trough</t>
  </si>
  <si>
    <t>CoTE Screw</t>
  </si>
  <si>
    <t>Cs</t>
  </si>
  <si>
    <t>Ct</t>
  </si>
  <si>
    <t>Coefficent of Thermal Expansion</t>
  </si>
  <si>
    <t>CTE</t>
  </si>
  <si>
    <t>PL</t>
  </si>
  <si>
    <t>Percent Loss due to mods</t>
  </si>
  <si>
    <t>AR</t>
  </si>
  <si>
    <t>Abrasiveness rating of product</t>
  </si>
  <si>
    <t>Gauge Size</t>
  </si>
  <si>
    <t>GA</t>
  </si>
  <si>
    <t>Thickness (in)</t>
  </si>
  <si>
    <t>Rating</t>
  </si>
  <si>
    <t>A</t>
  </si>
  <si>
    <t>B</t>
  </si>
  <si>
    <t>D</t>
  </si>
  <si>
    <t>E</t>
  </si>
  <si>
    <t>Code</t>
  </si>
  <si>
    <t>F</t>
  </si>
  <si>
    <t>G</t>
  </si>
  <si>
    <t>H</t>
  </si>
  <si>
    <t>J</t>
  </si>
  <si>
    <t>M</t>
  </si>
  <si>
    <t>O</t>
  </si>
  <si>
    <t>R</t>
  </si>
  <si>
    <t>S</t>
  </si>
  <si>
    <t>T</t>
  </si>
  <si>
    <t>Z</t>
  </si>
  <si>
    <t>Material Characteristics per CEMA</t>
  </si>
  <si>
    <t>CODE =</t>
  </si>
  <si>
    <t>TROUGH</t>
  </si>
  <si>
    <t>COVER</t>
  </si>
  <si>
    <t>0.75" x 2.5" / 0.5" X 1"</t>
  </si>
  <si>
    <t>1" x 3" / 0.75" X 1.75"</t>
  </si>
  <si>
    <t>1" x 3" / 0.75" X 2.5"</t>
  </si>
  <si>
    <t>1" x 4" / 0.75" X 3"</t>
  </si>
  <si>
    <t>0.75" x 2.5"</t>
  </si>
  <si>
    <t>1" x 3"</t>
  </si>
  <si>
    <t>1" x 4"</t>
  </si>
  <si>
    <t>Flight Thickness</t>
  </si>
  <si>
    <t>Radial  Force from Torque</t>
  </si>
  <si>
    <t>Bolt circle diameter for flange</t>
  </si>
  <si>
    <t>FL BC</t>
  </si>
  <si>
    <t>BC</t>
  </si>
  <si>
    <t>Average spiral thickness</t>
  </si>
  <si>
    <t>Spiral width</t>
  </si>
  <si>
    <t>bs</t>
  </si>
  <si>
    <t>hs</t>
  </si>
  <si>
    <t>SPIRAL THICKNESS AVG</t>
  </si>
  <si>
    <t>SPIRAL WIDTH</t>
  </si>
  <si>
    <t>MATERIAL</t>
  </si>
  <si>
    <t>CARBON STEEL</t>
  </si>
  <si>
    <t>Spiral Compression</t>
  </si>
  <si>
    <t>Np</t>
  </si>
  <si>
    <t>k</t>
  </si>
  <si>
    <t>c</t>
  </si>
  <si>
    <t>TYPE</t>
  </si>
  <si>
    <t>Shaftless</t>
  </si>
  <si>
    <t>--</t>
  </si>
  <si>
    <t>GB Shaft</t>
  </si>
  <si>
    <t>Connection</t>
  </si>
  <si>
    <t>Flange</t>
  </si>
  <si>
    <t>HANGER BEARING</t>
  </si>
  <si>
    <t>RATIO</t>
  </si>
  <si>
    <t>Is Shaftless</t>
  </si>
  <si>
    <t>Flow</t>
  </si>
  <si>
    <t>Push</t>
  </si>
  <si>
    <t>Pull</t>
  </si>
  <si>
    <t>Boolean</t>
  </si>
  <si>
    <t>Yes</t>
  </si>
  <si>
    <t>No</t>
  </si>
  <si>
    <t>QUANTITY</t>
  </si>
  <si>
    <t>COVER HOLDDOWN</t>
  </si>
  <si>
    <t>Trough</t>
  </si>
  <si>
    <t>U</t>
  </si>
  <si>
    <t>Tube</t>
  </si>
  <si>
    <t>Flared</t>
  </si>
  <si>
    <t>Cover</t>
  </si>
  <si>
    <t>Flanged</t>
  </si>
  <si>
    <t>Flat</t>
  </si>
  <si>
    <t>Ridged</t>
  </si>
  <si>
    <t>Clamp</t>
  </si>
  <si>
    <t>Spring</t>
  </si>
  <si>
    <t>Toggle</t>
  </si>
  <si>
    <t>Bolted</t>
  </si>
  <si>
    <t>JIM MYERS &amp; SONS</t>
  </si>
  <si>
    <t>LINER</t>
  </si>
  <si>
    <t>A53-77a</t>
  </si>
  <si>
    <t>Alloy 8620</t>
  </si>
  <si>
    <t>Housing Material</t>
  </si>
  <si>
    <t>Cast Iron</t>
  </si>
  <si>
    <t>Stainless Steel</t>
  </si>
  <si>
    <t>Aluminum</t>
  </si>
  <si>
    <t>Hanger Style</t>
  </si>
  <si>
    <t>19B</t>
  </si>
  <si>
    <t>PROJECT:</t>
  </si>
  <si>
    <t>LOCATION:</t>
  </si>
  <si>
    <t>CUSTOMER:</t>
  </si>
  <si>
    <t>ENGINEER:</t>
  </si>
  <si>
    <t>BY:</t>
  </si>
  <si>
    <t>DATE:</t>
  </si>
  <si>
    <t>REVISION:</t>
  </si>
  <si>
    <t>REV DATE:</t>
  </si>
  <si>
    <t>PAGE:</t>
  </si>
  <si>
    <t>OF</t>
  </si>
  <si>
    <t>DESCRIPTION:</t>
  </si>
  <si>
    <t>SCREW CONVEYOR DATA SHEET</t>
  </si>
  <si>
    <t>CONVEYOR GENERAL INFORMATION</t>
  </si>
  <si>
    <t>REV</t>
  </si>
  <si>
    <t>IDENTIFICATION:</t>
  </si>
  <si>
    <t>LENGTH:</t>
  </si>
  <si>
    <t>DRIVE ARRANGEMENT:</t>
  </si>
  <si>
    <t>FLOW DIRECTION:</t>
  </si>
  <si>
    <t>SERVICE DUTY:</t>
  </si>
  <si>
    <t>(</t>
  </si>
  <si>
    <t>)</t>
  </si>
  <si>
    <t>DESIGN CAPACITY:</t>
  </si>
  <si>
    <t>FT</t>
  </si>
  <si>
    <t>IN</t>
  </si>
  <si>
    <t>INCLINE:</t>
  </si>
  <si>
    <t>LIVE BOTTOM:</t>
  </si>
  <si>
    <t>CONVEYED MATERIAL:</t>
  </si>
  <si>
    <t>DENSITY:</t>
  </si>
  <si>
    <t>MOISTURE:</t>
  </si>
  <si>
    <t>FLOWABILITY:</t>
  </si>
  <si>
    <t>SIZE:</t>
  </si>
  <si>
    <t>TEMPERATURE:</t>
  </si>
  <si>
    <t>OTHER CHARACTERISTICS:</t>
  </si>
  <si>
    <t>°F</t>
  </si>
  <si>
    <t>NOTES:</t>
  </si>
  <si>
    <t>COUPLING SHAFT</t>
  </si>
  <si>
    <t>DRIVE END SHAFT</t>
  </si>
  <si>
    <t>TAIL END SHAFT</t>
  </si>
  <si>
    <t>DRIVE END COUPLING</t>
  </si>
  <si>
    <t>DRIVE END SEAL</t>
  </si>
  <si>
    <t>TAIL END SEAL</t>
  </si>
  <si>
    <t>DRIVE END BEARING</t>
  </si>
  <si>
    <t>TAIL END BEARING</t>
  </si>
  <si>
    <t>DETAIL</t>
  </si>
  <si>
    <t>COMPONENT</t>
  </si>
  <si>
    <t>INLET</t>
  </si>
  <si>
    <t>OUTLET</t>
  </si>
  <si>
    <t>SCREW CONNECTION</t>
  </si>
  <si>
    <t>ADDITIONAL INFO</t>
  </si>
  <si>
    <t>SCREW DIAMETER:</t>
  </si>
  <si>
    <t>SCREW PITCH:</t>
  </si>
  <si>
    <t>PROCESS CALCULATIONS</t>
  </si>
  <si>
    <t>Calculate the speed and power</t>
  </si>
  <si>
    <t>requirements for the screw conveyor</t>
  </si>
  <si>
    <t>based on design conditions.</t>
  </si>
  <si>
    <t>=</t>
  </si>
  <si>
    <t>Capacity</t>
  </si>
  <si>
    <t>Conveyor Speed</t>
  </si>
  <si>
    <t>Screw Outside Diameter</t>
  </si>
  <si>
    <t>Screw Inside Diameter</t>
  </si>
  <si>
    <t>Screw Pitch</t>
  </si>
  <si>
    <t>Trough Loading</t>
  </si>
  <si>
    <r>
      <t>C</t>
    </r>
    <r>
      <rPr>
        <vertAlign val="subscript"/>
        <sz val="11"/>
        <color theme="1"/>
        <rFont val="Calibri"/>
        <family val="2"/>
        <scheme val="minor"/>
      </rPr>
      <t>1</t>
    </r>
  </si>
  <si>
    <r>
      <t>CF</t>
    </r>
    <r>
      <rPr>
        <vertAlign val="subscript"/>
        <sz val="11"/>
        <color theme="1"/>
        <rFont val="Calibri"/>
        <family val="2"/>
        <scheme val="minor"/>
      </rPr>
      <t>1</t>
    </r>
  </si>
  <si>
    <r>
      <t>CF</t>
    </r>
    <r>
      <rPr>
        <vertAlign val="subscript"/>
        <sz val="11"/>
        <color theme="1"/>
        <rFont val="Calibri"/>
        <family val="2"/>
        <scheme val="minor"/>
      </rPr>
      <t>2</t>
    </r>
  </si>
  <si>
    <r>
      <t>CF</t>
    </r>
    <r>
      <rPr>
        <vertAlign val="subscript"/>
        <sz val="11"/>
        <color theme="1"/>
        <rFont val="Calibri"/>
        <family val="2"/>
        <scheme val="minor"/>
      </rPr>
      <t>3</t>
    </r>
  </si>
  <si>
    <r>
      <t>C</t>
    </r>
    <r>
      <rPr>
        <vertAlign val="subscript"/>
        <sz val="11"/>
        <color theme="1"/>
        <rFont val="Calibri"/>
        <family val="2"/>
        <scheme val="minor"/>
      </rPr>
      <t>r</t>
    </r>
  </si>
  <si>
    <r>
      <t>C</t>
    </r>
    <r>
      <rPr>
        <vertAlign val="subscript"/>
        <sz val="11"/>
        <color theme="1"/>
        <rFont val="Calibri"/>
        <family val="2"/>
        <scheme val="minor"/>
      </rPr>
      <t>eq</t>
    </r>
  </si>
  <si>
    <r>
      <t>C</t>
    </r>
    <r>
      <rPr>
        <vertAlign val="subscript"/>
        <sz val="11"/>
        <color theme="1"/>
        <rFont val="Calibri"/>
        <family val="2"/>
        <scheme val="minor"/>
      </rPr>
      <t>r</t>
    </r>
    <r>
      <rPr>
        <sz val="11"/>
        <color theme="1"/>
        <rFont val="Calibri"/>
        <family val="2"/>
        <scheme val="minor"/>
      </rPr>
      <t>/N</t>
    </r>
  </si>
  <si>
    <t>Mass Flow Factor</t>
  </si>
  <si>
    <t>Pitch Factor</t>
  </si>
  <si>
    <t>Flight Factor</t>
  </si>
  <si>
    <t>Mixing Factor</t>
  </si>
  <si>
    <t>Required Capacity</t>
  </si>
  <si>
    <t>Equivalent Capacity</t>
  </si>
  <si>
    <t>Capacity per Rotation</t>
  </si>
  <si>
    <t>JMS ASSEMBLY:</t>
  </si>
  <si>
    <r>
      <t>LB/FT</t>
    </r>
    <r>
      <rPr>
        <vertAlign val="superscript"/>
        <sz val="11"/>
        <color theme="1"/>
        <rFont val="Calibri"/>
        <family val="2"/>
        <scheme val="minor"/>
      </rPr>
      <t>3</t>
    </r>
  </si>
  <si>
    <t>%</t>
  </si>
  <si>
    <t>AREA CLASSIFICATION:</t>
  </si>
  <si>
    <t>TROUGH FILL:</t>
  </si>
  <si>
    <r>
      <t>FT</t>
    </r>
    <r>
      <rPr>
        <vertAlign val="superscript"/>
        <sz val="11"/>
        <color theme="1"/>
        <rFont val="Calibri"/>
        <family val="2"/>
        <scheme val="minor"/>
      </rPr>
      <t>3</t>
    </r>
    <r>
      <rPr>
        <sz val="11"/>
        <color theme="1"/>
        <rFont val="Calibri"/>
        <family val="2"/>
        <scheme val="minor"/>
      </rPr>
      <t>/HR</t>
    </r>
  </si>
  <si>
    <t>% MAX</t>
  </si>
  <si>
    <t>°</t>
  </si>
  <si>
    <r>
      <t>FT</t>
    </r>
    <r>
      <rPr>
        <vertAlign val="superscript"/>
        <sz val="11"/>
        <color theme="1"/>
        <rFont val="Calibri"/>
        <family val="2"/>
        <scheme val="minor"/>
      </rPr>
      <t>3</t>
    </r>
    <r>
      <rPr>
        <sz val="11"/>
        <color theme="1"/>
        <rFont val="Calibri"/>
        <family val="2"/>
        <scheme val="minor"/>
      </rPr>
      <t>/HR/RPM</t>
    </r>
  </si>
  <si>
    <t>SCREW TYPE:</t>
  </si>
  <si>
    <t>SCREW PIPE SHAFT:</t>
  </si>
  <si>
    <t>SPIRAL SIZE:</t>
  </si>
  <si>
    <t>Capacity at Max Fill</t>
  </si>
  <si>
    <t>CAPACITY CALCULATIONS</t>
  </si>
  <si>
    <t>POWER CALCULATIONS</t>
  </si>
  <si>
    <t>Length</t>
  </si>
  <si>
    <t>HP Factor</t>
  </si>
  <si>
    <t>Bearing Factor</t>
  </si>
  <si>
    <t>Flight Mod HP Factor</t>
  </si>
  <si>
    <t>Overload HP Factor</t>
  </si>
  <si>
    <t>Density of Material</t>
  </si>
  <si>
    <r>
      <t>F</t>
    </r>
    <r>
      <rPr>
        <vertAlign val="subscript"/>
        <sz val="11"/>
        <color theme="1"/>
        <rFont val="Calibri"/>
        <family val="2"/>
        <scheme val="minor"/>
      </rPr>
      <t>O</t>
    </r>
    <r>
      <rPr>
        <sz val="11"/>
        <color theme="1"/>
        <rFont val="Calibri"/>
        <family val="2"/>
        <scheme val="minor"/>
      </rPr>
      <t xml:space="preserve"> at Max Fill</t>
    </r>
  </si>
  <si>
    <t>Frictional Power</t>
  </si>
  <si>
    <t>Material Power</t>
  </si>
  <si>
    <t>Total Power</t>
  </si>
  <si>
    <t>HP Design</t>
  </si>
  <si>
    <t>HP Max Fill</t>
  </si>
  <si>
    <r>
      <t>FT</t>
    </r>
    <r>
      <rPr>
        <b/>
        <vertAlign val="superscript"/>
        <sz val="11"/>
        <color theme="1"/>
        <rFont val="Calibri"/>
        <family val="2"/>
        <scheme val="minor"/>
      </rPr>
      <t>3</t>
    </r>
    <r>
      <rPr>
        <b/>
        <sz val="11"/>
        <color theme="1"/>
        <rFont val="Calibri"/>
        <family val="2"/>
        <scheme val="minor"/>
      </rPr>
      <t>/HR</t>
    </r>
  </si>
  <si>
    <r>
      <t>C</t>
    </r>
    <r>
      <rPr>
        <b/>
        <vertAlign val="subscript"/>
        <sz val="11"/>
        <color theme="1"/>
        <rFont val="Calibri"/>
        <family val="2"/>
        <scheme val="minor"/>
      </rPr>
      <t>MAX</t>
    </r>
  </si>
  <si>
    <t>HPtm</t>
  </si>
  <si>
    <t>Total Power at Max Fill</t>
  </si>
  <si>
    <t>GEARBOX:</t>
  </si>
  <si>
    <t>GEARBOX OUTPUT:</t>
  </si>
  <si>
    <t>MOUNTING:</t>
  </si>
  <si>
    <t>MOTOR:</t>
  </si>
  <si>
    <t>POWER:</t>
  </si>
  <si>
    <t>DESIGN:</t>
  </si>
  <si>
    <t>EXPLOSION RATING:</t>
  </si>
  <si>
    <t>SPEED:</t>
  </si>
  <si>
    <t>ALLOWABLE STRESS</t>
  </si>
  <si>
    <t>COMPONENT TORSIONAL RATING</t>
  </si>
  <si>
    <t>DRIVE SHAFT</t>
  </si>
  <si>
    <t>COUPLING BOLT</t>
  </si>
  <si>
    <t>PSI</t>
  </si>
  <si>
    <r>
      <t>n</t>
    </r>
    <r>
      <rPr>
        <vertAlign val="subscript"/>
        <sz val="11"/>
        <color theme="1"/>
        <rFont val="Calibri"/>
        <family val="2"/>
        <scheme val="minor"/>
      </rPr>
      <t>b</t>
    </r>
  </si>
  <si>
    <r>
      <t>A</t>
    </r>
    <r>
      <rPr>
        <vertAlign val="subscript"/>
        <sz val="11"/>
        <color theme="1"/>
        <rFont val="Calibri"/>
        <family val="2"/>
        <scheme val="minor"/>
      </rPr>
      <t>b</t>
    </r>
  </si>
  <si>
    <r>
      <t>D</t>
    </r>
    <r>
      <rPr>
        <vertAlign val="subscript"/>
        <sz val="11"/>
        <color theme="1"/>
        <rFont val="Calibri"/>
        <family val="2"/>
        <scheme val="minor"/>
      </rPr>
      <t>d</t>
    </r>
  </si>
  <si>
    <t>Number of Coupling Bolts</t>
  </si>
  <si>
    <r>
      <t>B</t>
    </r>
    <r>
      <rPr>
        <vertAlign val="subscript"/>
        <sz val="11"/>
        <color theme="1"/>
        <rFont val="Calibri"/>
        <family val="2"/>
        <scheme val="minor"/>
      </rPr>
      <t>d</t>
    </r>
  </si>
  <si>
    <t>Coupling Bolt Diameter</t>
  </si>
  <si>
    <t>Cross Sectional Area of Bolt</t>
  </si>
  <si>
    <t>Coupling Shaft Diameter</t>
  </si>
  <si>
    <t>Motor Power</t>
  </si>
  <si>
    <t>Motor Power Safety Factor</t>
  </si>
  <si>
    <t>Torque From Motor with Safety Factor</t>
  </si>
  <si>
    <r>
      <t>T</t>
    </r>
    <r>
      <rPr>
        <vertAlign val="subscript"/>
        <sz val="11"/>
        <color theme="1"/>
        <rFont val="Calibri"/>
        <family val="2"/>
        <scheme val="minor"/>
      </rPr>
      <t>mf</t>
    </r>
  </si>
  <si>
    <t>Gearbox Speed</t>
  </si>
  <si>
    <t>Pipe Outside Diameter</t>
  </si>
  <si>
    <t>Pipe Inside Diameter</t>
  </si>
  <si>
    <r>
      <t>ID</t>
    </r>
    <r>
      <rPr>
        <vertAlign val="subscript"/>
        <sz val="11"/>
        <color theme="1"/>
        <rFont val="Calibri"/>
        <family val="2"/>
        <scheme val="minor"/>
      </rPr>
      <t>p</t>
    </r>
  </si>
  <si>
    <t>SHAFT SIZE:</t>
  </si>
  <si>
    <t>SHAFT MATERIAL:</t>
  </si>
  <si>
    <t>PIPE MATERIAL:</t>
  </si>
  <si>
    <t>BOLT SIZE:</t>
  </si>
  <si>
    <t>BOLT MATERIAL:</t>
  </si>
  <si>
    <t>BOLT QUANTITY:</t>
  </si>
  <si>
    <t>CONNECTION TYPE:</t>
  </si>
  <si>
    <t>COUPLING PIPE SIZE:</t>
  </si>
  <si>
    <t>DRIVE NOTES:</t>
  </si>
  <si>
    <r>
      <t>SF</t>
    </r>
    <r>
      <rPr>
        <vertAlign val="subscript"/>
        <sz val="11"/>
        <color theme="1"/>
        <rFont val="Calibri"/>
        <family val="2"/>
        <scheme val="minor"/>
      </rPr>
      <t>m</t>
    </r>
  </si>
  <si>
    <r>
      <t>T</t>
    </r>
    <r>
      <rPr>
        <vertAlign val="subscript"/>
        <sz val="11"/>
        <color theme="1"/>
        <rFont val="Calibri"/>
        <family val="2"/>
        <scheme val="minor"/>
      </rPr>
      <t>m</t>
    </r>
  </si>
  <si>
    <t>TORSIONAL CALCULATIONS</t>
  </si>
  <si>
    <r>
      <t>ID</t>
    </r>
    <r>
      <rPr>
        <vertAlign val="subscript"/>
        <sz val="11"/>
        <color theme="1"/>
        <rFont val="Calibri"/>
        <family val="2"/>
        <scheme val="minor"/>
      </rPr>
      <t>b</t>
    </r>
  </si>
  <si>
    <t>Inside Diameter of Bushing</t>
  </si>
  <si>
    <t>Projected Bearing Area per Bolt</t>
  </si>
  <si>
    <t>Polar Section Modulus of Pipe</t>
  </si>
  <si>
    <t>Bolt Hole Diameter (Bolt Size + 1/32")</t>
  </si>
  <si>
    <t>Polar Section Modulus of Shaft</t>
  </si>
  <si>
    <t>IN-LBF</t>
  </si>
  <si>
    <r>
      <t>IN</t>
    </r>
    <r>
      <rPr>
        <vertAlign val="superscript"/>
        <sz val="11"/>
        <color theme="1"/>
        <rFont val="Calibri"/>
        <family val="2"/>
        <scheme val="minor"/>
      </rPr>
      <t>2</t>
    </r>
  </si>
  <si>
    <r>
      <t>IN</t>
    </r>
    <r>
      <rPr>
        <vertAlign val="superscript"/>
        <sz val="11"/>
        <color theme="1"/>
        <rFont val="Calibri"/>
        <family val="2"/>
        <scheme val="minor"/>
      </rPr>
      <t>3</t>
    </r>
  </si>
  <si>
    <t>CALCULATED STRESS</t>
  </si>
  <si>
    <t>RESULT</t>
  </si>
  <si>
    <t>COMPONENT SELECTION</t>
  </si>
  <si>
    <t>SCREW FLIGHTS</t>
  </si>
  <si>
    <t>OTHER2</t>
  </si>
  <si>
    <t>Total Weight of Screw</t>
  </si>
  <si>
    <t>Length of Screw Between Bearings</t>
  </si>
  <si>
    <t>Modulus of Elasticity of Screw Material</t>
  </si>
  <si>
    <t>Moment of Inertia</t>
  </si>
  <si>
    <t>LBM</t>
  </si>
  <si>
    <r>
      <t>IN</t>
    </r>
    <r>
      <rPr>
        <vertAlign val="superscript"/>
        <sz val="11"/>
        <color theme="1"/>
        <rFont val="Calibri"/>
        <family val="2"/>
        <scheme val="minor"/>
      </rPr>
      <t>4</t>
    </r>
  </si>
  <si>
    <t>Shaft End Angle</t>
  </si>
  <si>
    <t>Maximum Temperature</t>
  </si>
  <si>
    <t>Minimum Temperature</t>
  </si>
  <si>
    <t>Total Temperature Change</t>
  </si>
  <si>
    <r>
      <t>N</t>
    </r>
    <r>
      <rPr>
        <vertAlign val="subscript"/>
        <sz val="11"/>
        <color theme="1"/>
        <rFont val="Calibri"/>
        <family val="2"/>
        <scheme val="minor"/>
      </rPr>
      <t>br</t>
    </r>
  </si>
  <si>
    <t>Number of Hanger Bearings</t>
  </si>
  <si>
    <t>Screw Deflection</t>
  </si>
  <si>
    <t>Screw Thermal Expansion</t>
  </si>
  <si>
    <t>ΔF</t>
  </si>
  <si>
    <t>Trough Thermal Expansion</t>
  </si>
  <si>
    <t>Screw Abrasion Score</t>
  </si>
  <si>
    <t>Trough Abrasion Score</t>
  </si>
  <si>
    <t>Screw Tip Speed</t>
  </si>
  <si>
    <t>Trough Surface Speed</t>
  </si>
  <si>
    <t>FT/MIN</t>
  </si>
  <si>
    <r>
      <t>S</t>
    </r>
    <r>
      <rPr>
        <vertAlign val="subscript"/>
        <sz val="11"/>
        <color theme="1"/>
        <rFont val="Calibri"/>
        <family val="2"/>
        <scheme val="minor"/>
      </rPr>
      <t>TS</t>
    </r>
  </si>
  <si>
    <r>
      <t>T</t>
    </r>
    <r>
      <rPr>
        <vertAlign val="subscript"/>
        <sz val="11"/>
        <color theme="1"/>
        <rFont val="Calibri"/>
        <family val="2"/>
        <scheme val="minor"/>
      </rPr>
      <t>SS</t>
    </r>
  </si>
  <si>
    <t>1/°F</t>
  </si>
  <si>
    <t>Note 2: To reduce abrasion score, either reduce RPM, increase thickness of flight/trough material or use abrasion resistant materials.</t>
  </si>
  <si>
    <t>Spiral Stress</t>
  </si>
  <si>
    <t>IN/FT</t>
  </si>
  <si>
    <t>LBF</t>
  </si>
  <si>
    <r>
      <t>D</t>
    </r>
    <r>
      <rPr>
        <vertAlign val="subscript"/>
        <sz val="11"/>
        <color theme="1"/>
        <rFont val="Calibri"/>
        <family val="2"/>
        <scheme val="minor"/>
      </rPr>
      <t>bc</t>
    </r>
  </si>
  <si>
    <r>
      <t>b</t>
    </r>
    <r>
      <rPr>
        <vertAlign val="subscript"/>
        <sz val="11"/>
        <color theme="1"/>
        <rFont val="Calibri"/>
        <family val="2"/>
        <scheme val="minor"/>
      </rPr>
      <t>s</t>
    </r>
  </si>
  <si>
    <r>
      <t>h</t>
    </r>
    <r>
      <rPr>
        <vertAlign val="subscript"/>
        <sz val="11"/>
        <color theme="1"/>
        <rFont val="Calibri"/>
        <family val="2"/>
        <scheme val="minor"/>
      </rPr>
      <t>s</t>
    </r>
  </si>
  <si>
    <r>
      <t>E</t>
    </r>
    <r>
      <rPr>
        <vertAlign val="subscript"/>
        <sz val="11"/>
        <color theme="1"/>
        <rFont val="Calibri"/>
        <family val="2"/>
        <scheme val="minor"/>
      </rPr>
      <t>s</t>
    </r>
  </si>
  <si>
    <r>
      <t>F</t>
    </r>
    <r>
      <rPr>
        <vertAlign val="subscript"/>
        <sz val="11"/>
        <color theme="1"/>
        <rFont val="Calibri"/>
        <family val="2"/>
        <scheme val="minor"/>
      </rPr>
      <t>r</t>
    </r>
  </si>
  <si>
    <t>Number of Pitches</t>
  </si>
  <si>
    <t>Diameter Ratio</t>
  </si>
  <si>
    <t>Wahl's Constant</t>
  </si>
  <si>
    <t>CALCULATION</t>
  </si>
  <si>
    <t>ALLOWABLE LIMIT</t>
  </si>
  <si>
    <t>CALCULATED VALUE</t>
  </si>
  <si>
    <t>COMMENTS</t>
  </si>
  <si>
    <r>
      <t>L</t>
    </r>
    <r>
      <rPr>
        <vertAlign val="subscript"/>
        <sz val="11"/>
        <color theme="1"/>
        <rFont val="Calibri"/>
        <family val="2"/>
        <scheme val="minor"/>
      </rPr>
      <t>s</t>
    </r>
  </si>
  <si>
    <r>
      <t>W</t>
    </r>
    <r>
      <rPr>
        <vertAlign val="subscript"/>
        <sz val="11"/>
        <color theme="1"/>
        <rFont val="Calibri"/>
        <family val="2"/>
        <scheme val="minor"/>
      </rPr>
      <t>s</t>
    </r>
  </si>
  <si>
    <r>
      <t>I</t>
    </r>
    <r>
      <rPr>
        <vertAlign val="subscript"/>
        <sz val="11"/>
        <color theme="1"/>
        <rFont val="Calibri"/>
        <family val="2"/>
        <scheme val="minor"/>
      </rPr>
      <t>s</t>
    </r>
  </si>
  <si>
    <r>
      <t>T</t>
    </r>
    <r>
      <rPr>
        <vertAlign val="subscript"/>
        <sz val="11"/>
        <color theme="1"/>
        <rFont val="Calibri"/>
        <family val="2"/>
        <scheme val="minor"/>
      </rPr>
      <t>1</t>
    </r>
  </si>
  <si>
    <r>
      <t>T</t>
    </r>
    <r>
      <rPr>
        <vertAlign val="subscript"/>
        <sz val="11"/>
        <color theme="1"/>
        <rFont val="Calibri"/>
        <family val="2"/>
        <scheme val="minor"/>
      </rPr>
      <t>2</t>
    </r>
  </si>
  <si>
    <r>
      <t>d</t>
    </r>
    <r>
      <rPr>
        <vertAlign val="subscript"/>
        <sz val="11"/>
        <color theme="1"/>
        <rFont val="Calibri"/>
        <family val="2"/>
        <scheme val="minor"/>
      </rPr>
      <t>t</t>
    </r>
  </si>
  <si>
    <r>
      <t>F</t>
    </r>
    <r>
      <rPr>
        <vertAlign val="subscript"/>
        <sz val="11"/>
        <color theme="1"/>
        <rFont val="Calibri"/>
        <family val="2"/>
        <scheme val="minor"/>
      </rPr>
      <t>t</t>
    </r>
  </si>
  <si>
    <t>Flight Yield Stress</t>
  </si>
  <si>
    <t>Cross-Bolt Coupling</t>
  </si>
  <si>
    <t>SOLIDS CONTENT:</t>
  </si>
  <si>
    <t>ABRASIVENESS:</t>
  </si>
  <si>
    <t>Explosion</t>
  </si>
  <si>
    <t>Selected</t>
  </si>
  <si>
    <t>List</t>
  </si>
  <si>
    <t>Speeds</t>
  </si>
  <si>
    <t>:1</t>
  </si>
  <si>
    <t>Bearing PN</t>
  </si>
  <si>
    <t>Screw Diameter</t>
  </si>
  <si>
    <t>Inside Width</t>
  </si>
  <si>
    <t>H from CL</t>
  </si>
  <si>
    <t>CL to Trough End Min</t>
  </si>
  <si>
    <t>Round</t>
  </si>
  <si>
    <t>Open</t>
  </si>
  <si>
    <t>Square Flange</t>
  </si>
  <si>
    <t>Round Flange</t>
  </si>
  <si>
    <t>Inlet</t>
  </si>
  <si>
    <t>Outlet</t>
  </si>
  <si>
    <t>ORIENTATION</t>
  </si>
  <si>
    <t>INCH SHAFT</t>
  </si>
  <si>
    <t>Liner T</t>
  </si>
  <si>
    <t>Liner</t>
  </si>
  <si>
    <t>UHMW 2 Color</t>
  </si>
  <si>
    <t>1/2</t>
  </si>
  <si>
    <t>Incline Factor</t>
  </si>
  <si>
    <t>Incline</t>
  </si>
  <si>
    <r>
      <t>R</t>
    </r>
    <r>
      <rPr>
        <vertAlign val="subscript"/>
        <sz val="11"/>
        <color theme="1"/>
        <rFont val="Calibri"/>
        <family val="2"/>
        <scheme val="minor"/>
      </rPr>
      <t>i</t>
    </r>
  </si>
  <si>
    <t>Trough Length</t>
  </si>
  <si>
    <t>Cover Length</t>
  </si>
  <si>
    <t>N/A</t>
  </si>
  <si>
    <t>F57R37</t>
  </si>
  <si>
    <t>226</t>
  </si>
  <si>
    <t>255</t>
  </si>
  <si>
    <t>262</t>
  </si>
  <si>
    <t>298</t>
  </si>
  <si>
    <t>330</t>
  </si>
  <si>
    <t>338</t>
  </si>
  <si>
    <t>382</t>
  </si>
  <si>
    <t>386</t>
  </si>
  <si>
    <t>426</t>
  </si>
  <si>
    <t>452</t>
  </si>
  <si>
    <t>483</t>
  </si>
  <si>
    <t>506</t>
  </si>
  <si>
    <t>549</t>
  </si>
  <si>
    <t>558</t>
  </si>
  <si>
    <t>646</t>
  </si>
  <si>
    <t>F67</t>
  </si>
  <si>
    <t>238</t>
  </si>
  <si>
    <t>257</t>
  </si>
  <si>
    <t>261</t>
  </si>
  <si>
    <t>297</t>
  </si>
  <si>
    <t>305</t>
  </si>
  <si>
    <t>333</t>
  </si>
  <si>
    <t>384</t>
  </si>
  <si>
    <t>392</t>
  </si>
  <si>
    <t>437</t>
  </si>
  <si>
    <t>454</t>
  </si>
  <si>
    <t>500</t>
  </si>
  <si>
    <t>509</t>
  </si>
  <si>
    <t>539</t>
  </si>
  <si>
    <t>572</t>
  </si>
  <si>
    <t>292</t>
  </si>
  <si>
    <t>323</t>
  </si>
  <si>
    <t>346</t>
  </si>
  <si>
    <t>367</t>
  </si>
  <si>
    <t>370</t>
  </si>
  <si>
    <t>413</t>
  </si>
  <si>
    <t>433</t>
  </si>
  <si>
    <t>480</t>
  </si>
  <si>
    <t>485</t>
  </si>
  <si>
    <t>538</t>
  </si>
  <si>
    <t>571</t>
  </si>
  <si>
    <t>615</t>
  </si>
  <si>
    <t>660</t>
  </si>
  <si>
    <t>706</t>
  </si>
  <si>
    <t>710</t>
  </si>
  <si>
    <t>F87R77</t>
  </si>
  <si>
    <t>281</t>
  </si>
  <si>
    <t>300</t>
  </si>
  <si>
    <t>315</t>
  </si>
  <si>
    <t>345</t>
  </si>
  <si>
    <t>350</t>
  </si>
  <si>
    <t>398</t>
  </si>
  <si>
    <t>468</t>
  </si>
  <si>
    <t>515</t>
  </si>
  <si>
    <t>519</t>
  </si>
  <si>
    <t>592</t>
  </si>
  <si>
    <t>609</t>
  </si>
  <si>
    <t>662</t>
  </si>
  <si>
    <t>674</t>
  </si>
  <si>
    <t>748</t>
  </si>
  <si>
    <t>225</t>
  </si>
  <si>
    <t>266</t>
  </si>
  <si>
    <t>291</t>
  </si>
  <si>
    <t>340</t>
  </si>
  <si>
    <t>387</t>
  </si>
  <si>
    <t>430</t>
  </si>
  <si>
    <t>436</t>
  </si>
  <si>
    <t>489</t>
  </si>
  <si>
    <t>491</t>
  </si>
  <si>
    <t>518</t>
  </si>
  <si>
    <t>560</t>
  </si>
  <si>
    <t>166</t>
  </si>
  <si>
    <t>198</t>
  </si>
  <si>
    <t>223</t>
  </si>
  <si>
    <t>259</t>
  </si>
  <si>
    <t>293</t>
  </si>
  <si>
    <t>312</t>
  </si>
  <si>
    <t>374</t>
  </si>
  <si>
    <t>418</t>
  </si>
  <si>
    <t>197</t>
  </si>
  <si>
    <t>202</t>
  </si>
  <si>
    <t>232</t>
  </si>
  <si>
    <t>273</t>
  </si>
  <si>
    <t>302</t>
  </si>
  <si>
    <t>353</t>
  </si>
  <si>
    <t>446</t>
  </si>
  <si>
    <t>503</t>
  </si>
  <si>
    <t>576</t>
  </si>
  <si>
    <t>680</t>
  </si>
  <si>
    <t>764</t>
  </si>
  <si>
    <t>845</t>
  </si>
  <si>
    <t>953</t>
  </si>
  <si>
    <t>1169</t>
  </si>
  <si>
    <t>1308</t>
  </si>
  <si>
    <t>195</t>
  </si>
  <si>
    <t>208</t>
  </si>
  <si>
    <t>242</t>
  </si>
  <si>
    <t>245</t>
  </si>
  <si>
    <t>275</t>
  </si>
  <si>
    <t>285</t>
  </si>
  <si>
    <t>317</t>
  </si>
  <si>
    <t>361</t>
  </si>
  <si>
    <t>363</t>
  </si>
  <si>
    <t>403</t>
  </si>
  <si>
    <t>406</t>
  </si>
  <si>
    <t>467</t>
  </si>
  <si>
    <t>473</t>
  </si>
  <si>
    <t>510</t>
  </si>
  <si>
    <t>529</t>
  </si>
  <si>
    <t>F57_1</t>
  </si>
  <si>
    <t>F57_2</t>
  </si>
  <si>
    <t>F57_3</t>
  </si>
  <si>
    <t>F57_4</t>
  </si>
  <si>
    <t>F57_5</t>
  </si>
  <si>
    <t>F57_6</t>
  </si>
  <si>
    <t>F57_7</t>
  </si>
  <si>
    <t>F57_8</t>
  </si>
  <si>
    <t>F57_9</t>
  </si>
  <si>
    <t>F57_10</t>
  </si>
  <si>
    <t>F57_11</t>
  </si>
  <si>
    <t>F57_12</t>
  </si>
  <si>
    <t>F57_13</t>
  </si>
  <si>
    <t>F57_14</t>
  </si>
  <si>
    <t>F57_15</t>
  </si>
  <si>
    <t>F57R37_1</t>
  </si>
  <si>
    <t>F57R37_2</t>
  </si>
  <si>
    <t>F57R37_3</t>
  </si>
  <si>
    <t>F57R37_4</t>
  </si>
  <si>
    <t>F57R37_5</t>
  </si>
  <si>
    <t>F57R37_6</t>
  </si>
  <si>
    <t>F57R37_7</t>
  </si>
  <si>
    <t>F57R37_8</t>
  </si>
  <si>
    <t>F57R37_9</t>
  </si>
  <si>
    <t>F57R37_10</t>
  </si>
  <si>
    <t>F57R37_11</t>
  </si>
  <si>
    <t>F57R37_12</t>
  </si>
  <si>
    <t>F57R37_13</t>
  </si>
  <si>
    <t>F57R37_14</t>
  </si>
  <si>
    <t>F57R37_15</t>
  </si>
  <si>
    <t>F67_1</t>
  </si>
  <si>
    <t>F67_2</t>
  </si>
  <si>
    <t>F67_3</t>
  </si>
  <si>
    <t>F67_4</t>
  </si>
  <si>
    <t>F67_5</t>
  </si>
  <si>
    <t>F67_6</t>
  </si>
  <si>
    <t>F67_7</t>
  </si>
  <si>
    <t>F67_8</t>
  </si>
  <si>
    <t>F67_9</t>
  </si>
  <si>
    <t>F67_10</t>
  </si>
  <si>
    <t>F67_11</t>
  </si>
  <si>
    <t>F67_12</t>
  </si>
  <si>
    <t>F67_13</t>
  </si>
  <si>
    <t>F67_14</t>
  </si>
  <si>
    <t>F67_15</t>
  </si>
  <si>
    <t>F67R37_1</t>
  </si>
  <si>
    <t>F67R37_2</t>
  </si>
  <si>
    <t>F67R37_3</t>
  </si>
  <si>
    <t>F67R37_4</t>
  </si>
  <si>
    <t>F67R37_5</t>
  </si>
  <si>
    <t>F67R37_6</t>
  </si>
  <si>
    <t>F67R37_7</t>
  </si>
  <si>
    <t>F67R37_8</t>
  </si>
  <si>
    <t>F67R37_9</t>
  </si>
  <si>
    <t>F67R37_10</t>
  </si>
  <si>
    <t>F67R37_11</t>
  </si>
  <si>
    <t>F67R37_12</t>
  </si>
  <si>
    <t>F67R37_13</t>
  </si>
  <si>
    <t>F67R37_14</t>
  </si>
  <si>
    <t>F67R37_15</t>
  </si>
  <si>
    <t>F77_1</t>
  </si>
  <si>
    <t>F77_2</t>
  </si>
  <si>
    <t>F77_3</t>
  </si>
  <si>
    <t>F77_4</t>
  </si>
  <si>
    <t>F77_5</t>
  </si>
  <si>
    <t>F77_6</t>
  </si>
  <si>
    <t>F77_7</t>
  </si>
  <si>
    <t>F77_8</t>
  </si>
  <si>
    <t>F77_9</t>
  </si>
  <si>
    <t>F77_10</t>
  </si>
  <si>
    <t>F77_11</t>
  </si>
  <si>
    <t>F77_12</t>
  </si>
  <si>
    <t>F77_13</t>
  </si>
  <si>
    <t>F77_14</t>
  </si>
  <si>
    <t>F77_15</t>
  </si>
  <si>
    <t>F77R37_1</t>
  </si>
  <si>
    <t>F77R37_2</t>
  </si>
  <si>
    <t>F77R37_3</t>
  </si>
  <si>
    <t>F77R37_4</t>
  </si>
  <si>
    <t>F77R37_5</t>
  </si>
  <si>
    <t>F77R37_6</t>
  </si>
  <si>
    <t>F77R37_7</t>
  </si>
  <si>
    <t>F77R37_8</t>
  </si>
  <si>
    <t>F77R37_9</t>
  </si>
  <si>
    <t>F77R37_10</t>
  </si>
  <si>
    <t>F77R37_11</t>
  </si>
  <si>
    <t>F77R37_12</t>
  </si>
  <si>
    <t>F77R37_13</t>
  </si>
  <si>
    <t>F77R37_14</t>
  </si>
  <si>
    <t>F77R37_15</t>
  </si>
  <si>
    <t>F87_1</t>
  </si>
  <si>
    <t>F87_2</t>
  </si>
  <si>
    <t>F87_3</t>
  </si>
  <si>
    <t>F87_4</t>
  </si>
  <si>
    <t>F87_5</t>
  </si>
  <si>
    <t>F87_6</t>
  </si>
  <si>
    <t>F87_7</t>
  </si>
  <si>
    <t>F87_8</t>
  </si>
  <si>
    <t>F87_9</t>
  </si>
  <si>
    <t>F87_10</t>
  </si>
  <si>
    <t>F87_11</t>
  </si>
  <si>
    <t>F87_12</t>
  </si>
  <si>
    <t>F87_13</t>
  </si>
  <si>
    <t>F87_14</t>
  </si>
  <si>
    <t>F87_15</t>
  </si>
  <si>
    <t>F87R77_1</t>
  </si>
  <si>
    <t>F87R77_2</t>
  </si>
  <si>
    <t>F87R77_3</t>
  </si>
  <si>
    <t>F87R77_4</t>
  </si>
  <si>
    <t>F87R77_5</t>
  </si>
  <si>
    <t>F87R77_6</t>
  </si>
  <si>
    <t>F87R77_7</t>
  </si>
  <si>
    <t>F87R77_8</t>
  </si>
  <si>
    <t>F87R77_9</t>
  </si>
  <si>
    <t>F87R77_10</t>
  </si>
  <si>
    <t>F87R77_11</t>
  </si>
  <si>
    <t>F87R77_12</t>
  </si>
  <si>
    <t>F87R77_13</t>
  </si>
  <si>
    <t>F87R77_14</t>
  </si>
  <si>
    <t>F87R77_15</t>
  </si>
  <si>
    <t>F97_1</t>
  </si>
  <si>
    <t>F97_2</t>
  </si>
  <si>
    <t>F97_3</t>
  </si>
  <si>
    <t>F97_4</t>
  </si>
  <si>
    <t>F97_5</t>
  </si>
  <si>
    <t>F97_6</t>
  </si>
  <si>
    <t>F97_7</t>
  </si>
  <si>
    <t>F97_8</t>
  </si>
  <si>
    <t>F97_9</t>
  </si>
  <si>
    <t>F97_10</t>
  </si>
  <si>
    <t>F97_11</t>
  </si>
  <si>
    <t>F97_12</t>
  </si>
  <si>
    <t>F97_13</t>
  </si>
  <si>
    <t>F97_14</t>
  </si>
  <si>
    <t>F97_15</t>
  </si>
  <si>
    <t>F97R57_1</t>
  </si>
  <si>
    <t>F97R57_2</t>
  </si>
  <si>
    <t>F97R57_3</t>
  </si>
  <si>
    <t>F97R57_4</t>
  </si>
  <si>
    <t>F97R57_5</t>
  </si>
  <si>
    <t>F97R57_6</t>
  </si>
  <si>
    <t>F97R57_7</t>
  </si>
  <si>
    <t>F97R57_8</t>
  </si>
  <si>
    <t>F97R57_9</t>
  </si>
  <si>
    <t>F97R57_10</t>
  </si>
  <si>
    <t>F97R57_11</t>
  </si>
  <si>
    <t>F97R57_12</t>
  </si>
  <si>
    <t>F97R57_13</t>
  </si>
  <si>
    <t>F97R57_14</t>
  </si>
  <si>
    <t>F97R57_15</t>
  </si>
  <si>
    <t>F107_1</t>
  </si>
  <si>
    <t>F107_2</t>
  </si>
  <si>
    <t>F107_3</t>
  </si>
  <si>
    <t>F107_4</t>
  </si>
  <si>
    <t>F107_5</t>
  </si>
  <si>
    <t>F107_6</t>
  </si>
  <si>
    <t>F107_7</t>
  </si>
  <si>
    <t>F107_8</t>
  </si>
  <si>
    <t>F107_9</t>
  </si>
  <si>
    <t>F107_10</t>
  </si>
  <si>
    <t>F107_11</t>
  </si>
  <si>
    <t>F107_12</t>
  </si>
  <si>
    <t>F107_13</t>
  </si>
  <si>
    <t>F107_14</t>
  </si>
  <si>
    <t>F107_15</t>
  </si>
  <si>
    <t>F107R77_1</t>
  </si>
  <si>
    <t>F107R77_2</t>
  </si>
  <si>
    <t>F107R77_3</t>
  </si>
  <si>
    <t>F107R77_4</t>
  </si>
  <si>
    <t>F107R77_5</t>
  </si>
  <si>
    <t>F107R77_6</t>
  </si>
  <si>
    <t>F107R77_7</t>
  </si>
  <si>
    <t>F107R77_8</t>
  </si>
  <si>
    <t>F107R77_9</t>
  </si>
  <si>
    <t>F107R77_10</t>
  </si>
  <si>
    <t>F107R77_11</t>
  </si>
  <si>
    <t>F107R77_12</t>
  </si>
  <si>
    <t>F107R77_13</t>
  </si>
  <si>
    <t>F107R77_14</t>
  </si>
  <si>
    <t>F107R77_15</t>
  </si>
  <si>
    <t>F127_1</t>
  </si>
  <si>
    <t>F127_2</t>
  </si>
  <si>
    <t>F127_3</t>
  </si>
  <si>
    <t>F127_4</t>
  </si>
  <si>
    <t>F127_5</t>
  </si>
  <si>
    <t>F127_6</t>
  </si>
  <si>
    <t>F127_7</t>
  </si>
  <si>
    <t>F127_8</t>
  </si>
  <si>
    <t>F127_9</t>
  </si>
  <si>
    <t>F127_10</t>
  </si>
  <si>
    <t>F127_11</t>
  </si>
  <si>
    <t>F127_12</t>
  </si>
  <si>
    <t>F127_13</t>
  </si>
  <si>
    <t>F127_14</t>
  </si>
  <si>
    <t>F127_15</t>
  </si>
  <si>
    <t>F127R87_</t>
  </si>
  <si>
    <t>F157_1</t>
  </si>
  <si>
    <t>F157_2</t>
  </si>
  <si>
    <t>F157_3</t>
  </si>
  <si>
    <t>F157_4</t>
  </si>
  <si>
    <t>F157_5</t>
  </si>
  <si>
    <t>F157_6</t>
  </si>
  <si>
    <t>F157_7</t>
  </si>
  <si>
    <t>F157_8</t>
  </si>
  <si>
    <t>F157_9</t>
  </si>
  <si>
    <t>F157_10</t>
  </si>
  <si>
    <t>F157_11</t>
  </si>
  <si>
    <t>F157_12</t>
  </si>
  <si>
    <t>F157_13</t>
  </si>
  <si>
    <t>F157_14</t>
  </si>
  <si>
    <t>F157_15</t>
  </si>
  <si>
    <t>F157R97_1</t>
  </si>
  <si>
    <t>F157R97_2</t>
  </si>
  <si>
    <t>F157R97_3</t>
  </si>
  <si>
    <t>F157R97_4</t>
  </si>
  <si>
    <t>F157R97_5</t>
  </si>
  <si>
    <t>F157R97_6</t>
  </si>
  <si>
    <t>F157R97_7</t>
  </si>
  <si>
    <t>F157R97_8</t>
  </si>
  <si>
    <t>F157R97_9</t>
  </si>
  <si>
    <t>F157R97_10</t>
  </si>
  <si>
    <t>F157R97_11</t>
  </si>
  <si>
    <t>F157R97_12</t>
  </si>
  <si>
    <t>F157R97_13</t>
  </si>
  <si>
    <t>F157R97_14</t>
  </si>
  <si>
    <t>F157R97_15</t>
  </si>
  <si>
    <t>F5747</t>
  </si>
  <si>
    <t>F5744</t>
  </si>
  <si>
    <t>F5738</t>
  </si>
  <si>
    <t>F5734</t>
  </si>
  <si>
    <t>F5729</t>
  </si>
  <si>
    <t>F5725</t>
  </si>
  <si>
    <t>F5723</t>
  </si>
  <si>
    <t>F5720</t>
  </si>
  <si>
    <t>F5718</t>
  </si>
  <si>
    <t>F5715</t>
  </si>
  <si>
    <t>F5713</t>
  </si>
  <si>
    <t>F5712</t>
  </si>
  <si>
    <t>F5711</t>
  </si>
  <si>
    <t>F579.3</t>
  </si>
  <si>
    <t>F578.5</t>
  </si>
  <si>
    <t>F57R377.5</t>
  </si>
  <si>
    <t>F57R376.7</t>
  </si>
  <si>
    <t>F57R376.5</t>
  </si>
  <si>
    <t>F57R375.7</t>
  </si>
  <si>
    <t>F57R375.2</t>
  </si>
  <si>
    <t>F57R375</t>
  </si>
  <si>
    <t>F57R374.5</t>
  </si>
  <si>
    <t>F57R374.4</t>
  </si>
  <si>
    <t>F57R374</t>
  </si>
  <si>
    <t>F57R373.8</t>
  </si>
  <si>
    <t>F57R373.5</t>
  </si>
  <si>
    <t>F57R373.4</t>
  </si>
  <si>
    <t>F57R373.1</t>
  </si>
  <si>
    <t>F57R373</t>
  </si>
  <si>
    <t>F57R372.6</t>
  </si>
  <si>
    <t>F6739</t>
  </si>
  <si>
    <t>F6734</t>
  </si>
  <si>
    <t>F6732</t>
  </si>
  <si>
    <t>F6728</t>
  </si>
  <si>
    <t>F6725</t>
  </si>
  <si>
    <t>F6721</t>
  </si>
  <si>
    <t>F6719</t>
  </si>
  <si>
    <t>F6718</t>
  </si>
  <si>
    <t>F6716</t>
  </si>
  <si>
    <t>F6714</t>
  </si>
  <si>
    <t>F6712</t>
  </si>
  <si>
    <t>F6710</t>
  </si>
  <si>
    <t>F678.7</t>
  </si>
  <si>
    <t>F677.4</t>
  </si>
  <si>
    <t>F67R377.1</t>
  </si>
  <si>
    <t>F67R376.6</t>
  </si>
  <si>
    <t>F67R376.5</t>
  </si>
  <si>
    <t>F67R375.7</t>
  </si>
  <si>
    <t>F67R375.6</t>
  </si>
  <si>
    <t>F67R375.1</t>
  </si>
  <si>
    <t>F67R375</t>
  </si>
  <si>
    <t>F67R374.4</t>
  </si>
  <si>
    <t>F67R374.3</t>
  </si>
  <si>
    <t>F67R373.9</t>
  </si>
  <si>
    <t>F67R373.7</t>
  </si>
  <si>
    <t>F67R373.4</t>
  </si>
  <si>
    <t>F67R373.3</t>
  </si>
  <si>
    <t>F67R373.2</t>
  </si>
  <si>
    <t>F67R373</t>
  </si>
  <si>
    <t>F7726</t>
  </si>
  <si>
    <t>F7723</t>
  </si>
  <si>
    <t>F7720</t>
  </si>
  <si>
    <t>F7718</t>
  </si>
  <si>
    <t>F7716</t>
  </si>
  <si>
    <t>F7715</t>
  </si>
  <si>
    <t>F7713</t>
  </si>
  <si>
    <t>F7712</t>
  </si>
  <si>
    <t>F7710</t>
  </si>
  <si>
    <t>F779</t>
  </si>
  <si>
    <t>F778.6</t>
  </si>
  <si>
    <t>F777.5</t>
  </si>
  <si>
    <t>F776.5</t>
  </si>
  <si>
    <t>F776</t>
  </si>
  <si>
    <t>F77R375.8</t>
  </si>
  <si>
    <t>F77R375.3</t>
  </si>
  <si>
    <t>F77R374.9</t>
  </si>
  <si>
    <t>F77R374.6</t>
  </si>
  <si>
    <t>F77R374.1</t>
  </si>
  <si>
    <t>F77R373.9</t>
  </si>
  <si>
    <t>F77R373.5</t>
  </si>
  <si>
    <t>F77R373.2</t>
  </si>
  <si>
    <t>F77R373</t>
  </si>
  <si>
    <t>F77R372.8</t>
  </si>
  <si>
    <t>F77R372.6</t>
  </si>
  <si>
    <t>F77R372.4</t>
  </si>
  <si>
    <t>F8734</t>
  </si>
  <si>
    <t>F8730</t>
  </si>
  <si>
    <t>F8725</t>
  </si>
  <si>
    <t>F8722</t>
  </si>
  <si>
    <t>F8719</t>
  </si>
  <si>
    <t>F8717</t>
  </si>
  <si>
    <t>F8716</t>
  </si>
  <si>
    <t>F8714</t>
  </si>
  <si>
    <t>F8713</t>
  </si>
  <si>
    <t>F8711</t>
  </si>
  <si>
    <t>F879.4</t>
  </si>
  <si>
    <t>F878.6</t>
  </si>
  <si>
    <t>F877.4</t>
  </si>
  <si>
    <t>F876.7</t>
  </si>
  <si>
    <t>F876.3</t>
  </si>
  <si>
    <t>F87R776</t>
  </si>
  <si>
    <t>F87R775.7</t>
  </si>
  <si>
    <t>F87R775.4</t>
  </si>
  <si>
    <t>F87R774.9</t>
  </si>
  <si>
    <t>F87R774.3</t>
  </si>
  <si>
    <t>F87R773.8</t>
  </si>
  <si>
    <t>F87R773.6</t>
  </si>
  <si>
    <t>F87R773.3</t>
  </si>
  <si>
    <t>F87R772.9</t>
  </si>
  <si>
    <t>F87R772.8</t>
  </si>
  <si>
    <t>F87R772.6</t>
  </si>
  <si>
    <t>F87R772.5</t>
  </si>
  <si>
    <t>F87R772.3</t>
  </si>
  <si>
    <t>F9726</t>
  </si>
  <si>
    <t>F9724</t>
  </si>
  <si>
    <t>F9722</t>
  </si>
  <si>
    <t>F9721</t>
  </si>
  <si>
    <t>F9720</t>
  </si>
  <si>
    <t>F9719</t>
  </si>
  <si>
    <t>F9717</t>
  </si>
  <si>
    <t>F9715</t>
  </si>
  <si>
    <t>F9713</t>
  </si>
  <si>
    <t>F9712</t>
  </si>
  <si>
    <t>F9711</t>
  </si>
  <si>
    <t>F979.7</t>
  </si>
  <si>
    <t>F979</t>
  </si>
  <si>
    <t>F977.6</t>
  </si>
  <si>
    <t>F976.7</t>
  </si>
  <si>
    <t>F97R578.7</t>
  </si>
  <si>
    <t>F97R578.2</t>
  </si>
  <si>
    <t>F97R577</t>
  </si>
  <si>
    <t>F97R576.9</t>
  </si>
  <si>
    <t>F97R576.2</t>
  </si>
  <si>
    <t>F97R576</t>
  </si>
  <si>
    <t>F97R575.4</t>
  </si>
  <si>
    <t>F97R574.7</t>
  </si>
  <si>
    <t>F97R574.2</t>
  </si>
  <si>
    <t>F97R573.6</t>
  </si>
  <si>
    <t>F97R573.3</t>
  </si>
  <si>
    <t>F97R573.2</t>
  </si>
  <si>
    <t>F10740</t>
  </si>
  <si>
    <t>F10734</t>
  </si>
  <si>
    <t>F10729</t>
  </si>
  <si>
    <t>F10725</t>
  </si>
  <si>
    <t>F10723</t>
  </si>
  <si>
    <t>F10720</t>
  </si>
  <si>
    <t>F10719</t>
  </si>
  <si>
    <t>F10718</t>
  </si>
  <si>
    <t>F10717</t>
  </si>
  <si>
    <t>F10714</t>
  </si>
  <si>
    <t>F10713</t>
  </si>
  <si>
    <t>F10712</t>
  </si>
  <si>
    <t>F10711</t>
  </si>
  <si>
    <t>F1079.5</t>
  </si>
  <si>
    <t>F1078.5</t>
  </si>
  <si>
    <t>F107R777.6</t>
  </si>
  <si>
    <t>F107R776.7</t>
  </si>
  <si>
    <t>F107R776.4</t>
  </si>
  <si>
    <t>F107R775.8</t>
  </si>
  <si>
    <t>F107R775.7</t>
  </si>
  <si>
    <t>F107R775.1</t>
  </si>
  <si>
    <t>F107R775</t>
  </si>
  <si>
    <t>F107R774.6</t>
  </si>
  <si>
    <t>F107R774.4</t>
  </si>
  <si>
    <t>F107R774</t>
  </si>
  <si>
    <t>F107R773.9</t>
  </si>
  <si>
    <t>F107R773.5</t>
  </si>
  <si>
    <t>F107R773.3</t>
  </si>
  <si>
    <t>F107R773</t>
  </si>
  <si>
    <t>F12767</t>
  </si>
  <si>
    <t>F12754</t>
  </si>
  <si>
    <t>F12746</t>
  </si>
  <si>
    <t>F12740</t>
  </si>
  <si>
    <t>F12735</t>
  </si>
  <si>
    <t>F12731</t>
  </si>
  <si>
    <t>F12727</t>
  </si>
  <si>
    <t>F12724</t>
  </si>
  <si>
    <t>F12723</t>
  </si>
  <si>
    <t>F12719</t>
  </si>
  <si>
    <t>F12717</t>
  </si>
  <si>
    <t>F12715</t>
  </si>
  <si>
    <t>F12714</t>
  </si>
  <si>
    <t>F12711</t>
  </si>
  <si>
    <t>F12710</t>
  </si>
  <si>
    <t>F127R8710</t>
  </si>
  <si>
    <t>F127R878.6</t>
  </si>
  <si>
    <t>F127R877.6</t>
  </si>
  <si>
    <t>F127R876.6</t>
  </si>
  <si>
    <t>F127R875.8</t>
  </si>
  <si>
    <t>F127R875.4</t>
  </si>
  <si>
    <t>F127R874.5</t>
  </si>
  <si>
    <t>F127R874.1</t>
  </si>
  <si>
    <t>F127R873.5</t>
  </si>
  <si>
    <t>F15742</t>
  </si>
  <si>
    <t>F15737</t>
  </si>
  <si>
    <t>F15733</t>
  </si>
  <si>
    <t>F15728</t>
  </si>
  <si>
    <t>F15725</t>
  </si>
  <si>
    <t>F15722</t>
  </si>
  <si>
    <t>F15720</t>
  </si>
  <si>
    <t>F15718</t>
  </si>
  <si>
    <t>F15716</t>
  </si>
  <si>
    <t>F15714</t>
  </si>
  <si>
    <t>F15712</t>
  </si>
  <si>
    <t>F15710</t>
  </si>
  <si>
    <t>F1579.5</t>
  </si>
  <si>
    <t>F1577.8</t>
  </si>
  <si>
    <t>F1576.4</t>
  </si>
  <si>
    <t>F157R978.6</t>
  </si>
  <si>
    <t>F157R978.4</t>
  </si>
  <si>
    <t>F157R977.3</t>
  </si>
  <si>
    <t>F157R976.2</t>
  </si>
  <si>
    <t>F157R975.6</t>
  </si>
  <si>
    <t>F157R974.8</t>
  </si>
  <si>
    <t>F157R973.8</t>
  </si>
  <si>
    <t>F157R973.4</t>
  </si>
  <si>
    <t>F157R973</t>
  </si>
  <si>
    <t>F157R972.5</t>
  </si>
  <si>
    <t>F157R972.2</t>
  </si>
  <si>
    <t>F157R972</t>
  </si>
  <si>
    <t>F157R971.8</t>
  </si>
  <si>
    <t>F157R971.5</t>
  </si>
  <si>
    <t>F157R971.3</t>
  </si>
  <si>
    <t>Standard Max = 1.5X Design</t>
  </si>
  <si>
    <t>Standard = 1045 CS</t>
  </si>
  <si>
    <t>Standard = A53-77a</t>
  </si>
  <si>
    <t>Standard = A307 High Strength = A325</t>
  </si>
  <si>
    <t>Reversing</t>
  </si>
  <si>
    <t>DESIGN INFORMATION</t>
  </si>
  <si>
    <t>NEMA A</t>
  </si>
  <si>
    <t>Motor Design</t>
  </si>
  <si>
    <t>NEMA B</t>
  </si>
  <si>
    <t>NEMA C</t>
  </si>
  <si>
    <t>Not Specified</t>
  </si>
  <si>
    <t>MIN/</t>
  </si>
  <si>
    <t>MAX</t>
  </si>
  <si>
    <t>GB TO SHAFT COUPLING</t>
  </si>
  <si>
    <t>OTHER1</t>
  </si>
  <si>
    <t>COUPLING</t>
  </si>
  <si>
    <t>Rigid</t>
  </si>
  <si>
    <t>Chain</t>
  </si>
  <si>
    <t>Flexible</t>
  </si>
  <si>
    <t>10 ft</t>
  </si>
  <si>
    <t>12 ft</t>
  </si>
  <si>
    <t>SCREW CONVEYOR DESIGN SHEET</t>
  </si>
  <si>
    <t>Revision</t>
  </si>
  <si>
    <t>Date</t>
  </si>
  <si>
    <t>By</t>
  </si>
  <si>
    <t>Description</t>
  </si>
  <si>
    <t>PTA</t>
  </si>
  <si>
    <t>PROJECT NO.:</t>
  </si>
  <si>
    <t>MATERIAL TEMPERATURE RANGE:</t>
  </si>
  <si>
    <t>Initial release, sections incomplete</t>
  </si>
  <si>
    <t>Latest:</t>
  </si>
  <si>
    <t>KBA</t>
  </si>
  <si>
    <t>Lookup Equation for Incline Factor</t>
  </si>
  <si>
    <t>Fixed decimal place in fill factor entry, added strength values for 4140 shaft material</t>
  </si>
  <si>
    <t>Update list of shaft sizes, add 17-4PH to shaft allowable stress</t>
  </si>
  <si>
    <t>Update calculation of "Spiral Thickness Av" on Reference tab, column M for the single spirals  (removed dividing by 2)</t>
  </si>
  <si>
    <t>Added seismic tab</t>
  </si>
  <si>
    <t>CALCULATION SHEET</t>
  </si>
  <si>
    <t>CONVEYOR SUPPORT STRUCTURE SEISMIC</t>
  </si>
  <si>
    <r>
      <t>a</t>
    </r>
    <r>
      <rPr>
        <vertAlign val="subscript"/>
        <sz val="11"/>
        <color theme="1"/>
        <rFont val="Calibri"/>
        <family val="2"/>
        <scheme val="minor"/>
      </rPr>
      <t>p</t>
    </r>
  </si>
  <si>
    <r>
      <t>I</t>
    </r>
    <r>
      <rPr>
        <vertAlign val="subscript"/>
        <sz val="11"/>
        <color theme="1"/>
        <rFont val="Calibri"/>
        <family val="2"/>
        <scheme val="minor"/>
      </rPr>
      <t>p</t>
    </r>
  </si>
  <si>
    <r>
      <t>S</t>
    </r>
    <r>
      <rPr>
        <vertAlign val="subscript"/>
        <sz val="11"/>
        <color theme="1"/>
        <rFont val="Calibri"/>
        <family val="2"/>
        <scheme val="minor"/>
      </rPr>
      <t>DS</t>
    </r>
  </si>
  <si>
    <t>Ref ASCE/SEI 7-10 Table 13.6-1</t>
  </si>
  <si>
    <t>https://asce7hazardtool.online/</t>
  </si>
  <si>
    <t>ASCE/SEI 7-16</t>
  </si>
  <si>
    <t>Risk Category: II</t>
  </si>
  <si>
    <t>Site Soil Class: D - Default</t>
  </si>
  <si>
    <t>Ref ASCE/SEI 7-10 Section 13.1.3 Component Importance Factor</t>
  </si>
  <si>
    <r>
      <t>V</t>
    </r>
    <r>
      <rPr>
        <vertAlign val="subscript"/>
        <sz val="11"/>
        <color theme="1"/>
        <rFont val="Calibri"/>
        <family val="2"/>
        <scheme val="minor"/>
      </rPr>
      <t>x</t>
    </r>
  </si>
  <si>
    <r>
      <t>V</t>
    </r>
    <r>
      <rPr>
        <vertAlign val="subscript"/>
        <sz val="11"/>
        <color theme="1"/>
        <rFont val="Calibri"/>
        <family val="2"/>
        <scheme val="minor"/>
      </rPr>
      <t>Z</t>
    </r>
  </si>
  <si>
    <t>Use ASCE 7 Hazard Tool</t>
  </si>
  <si>
    <t>1/8</t>
  </si>
  <si>
    <t>Added 1/8" to Cover sizes [List &gt; AJ]and updated 16 ga values [Reference &gt; BX &amp; BY]</t>
  </si>
  <si>
    <t>Added T1 Steel (ASTM A514 Grad B) to Reference Tab [Flight Yeld Stress, Coefficient of Thermal Expansion &amp; Material Properties Table]</t>
  </si>
  <si>
    <t>T1</t>
  </si>
  <si>
    <t>ID FROM FLIGHT</t>
  </si>
  <si>
    <t>Added 1018 CS to material tab in reference for shaft material property lookup</t>
  </si>
  <si>
    <t>Changed lookup for shaftless screw ID to be based on the selected flight size rather than the standard ID based on screw size. (ref tab added column "id from flight", changed lookup in cell c3 to search based on this)</t>
  </si>
  <si>
    <t>GEARBOX SF:</t>
  </si>
  <si>
    <t>BASED ON NAMEPLATE HP</t>
  </si>
  <si>
    <t>Removed drive drop down selections in design tab, added gearbox SF input</t>
  </si>
  <si>
    <t>Fixed capacity calculation when using non-standard pitch screws. Pitch factor CF1 will no longer be used in the equivalent capacity calculation because the pitch is already factored into the capacity per revolution calculation.</t>
  </si>
  <si>
    <t>Hinged</t>
  </si>
  <si>
    <t>Formatting updates, locked non-input cells on design sheet</t>
  </si>
  <si>
    <t>Added check for max shaft size based on pipe ID for pin coupling connection</t>
  </si>
  <si>
    <t>Removed option to select size for coupling pipe, which was already selected in earlier step for screw pipe size</t>
  </si>
  <si>
    <t>CAPACITY:</t>
  </si>
  <si>
    <t>DRIVE MODEL:</t>
  </si>
  <si>
    <t>DRIVE DETAILS:</t>
  </si>
  <si>
    <t>DRIVE MOUNTING:</t>
  </si>
  <si>
    <t>Numerous updates to the datasheet</t>
  </si>
  <si>
    <t>NO</t>
  </si>
  <si>
    <t>CLASS 1 DIV 2</t>
  </si>
  <si>
    <t>CLASS 1 DIV 1</t>
  </si>
  <si>
    <t>CLASS 2 DIV 2</t>
  </si>
  <si>
    <t>CLASS 2 DIV 1</t>
  </si>
  <si>
    <t>Updated selection list for gearmotor shaft size.</t>
  </si>
  <si>
    <t>Added check for coupling bolt being weakest link.</t>
  </si>
  <si>
    <t>Changed screw length value for screw thermal expansion calculation to use length between bearings rather than full screw length.</t>
  </si>
  <si>
    <t>Added some notes to cells for aid in performing calculations.</t>
  </si>
  <si>
    <t>Torque From Motor Power (Gearmotor)</t>
  </si>
  <si>
    <t>PIPE AND BUSHING</t>
  </si>
  <si>
    <t>From CEMA 350-21</t>
  </si>
  <si>
    <t>Drive</t>
  </si>
  <si>
    <t>Drive efficiency</t>
  </si>
  <si>
    <t>Gearbox with Belt &amp; Sheave</t>
  </si>
  <si>
    <t>Open Spur Gear</t>
  </si>
  <si>
    <t>Changed list for drive arrangement, added lookup for efficiency from CEMA</t>
  </si>
  <si>
    <t>Updated error in incline factor lookup for angles less than 10 deg.</t>
  </si>
  <si>
    <t>Direct Coupled In-line</t>
  </si>
  <si>
    <t>Fixed typo in selection for drive arrangement</t>
  </si>
  <si>
    <t>4140 Hardened</t>
  </si>
  <si>
    <t>Added hardened 4140 as shaft material option along with mechanical properties from TCC catalog.</t>
  </si>
  <si>
    <t>Fixed pipe size chart data on reference tab, some sizes were slightly off.</t>
  </si>
  <si>
    <t>Fixed spiral stress calculation to be based on selected spiral size rather than standard size.</t>
  </si>
  <si>
    <t>AR400</t>
  </si>
  <si>
    <t>Add AR400 Steel as a selection for flight material</t>
  </si>
  <si>
    <t>Update drive shaft material list</t>
  </si>
  <si>
    <t>17-4PH -A</t>
  </si>
  <si>
    <t>17-4PH -H900</t>
  </si>
  <si>
    <t>17-4PH -H1150</t>
  </si>
  <si>
    <t>Updates to research</t>
  </si>
  <si>
    <t>Status: N = not started, P = in progress, C = complete</t>
  </si>
  <si>
    <t>Status</t>
  </si>
  <si>
    <t>Outcome</t>
  </si>
  <si>
    <t>Thermal expansion for shaftless screws</t>
  </si>
  <si>
    <t>Drawing notes as an output for designers</t>
  </si>
  <si>
    <t>Compare CEMA standard sizes to TCC standard sizes</t>
  </si>
  <si>
    <t>Add option to include bolt pads in the bolted coupling calculation section</t>
  </si>
  <si>
    <t>Add instrumentation to the component selection</t>
  </si>
  <si>
    <t>Add hinged as option for cover hold down</t>
  </si>
  <si>
    <t>Date Added</t>
  </si>
  <si>
    <t>Added list of items to research for potential updates. List located on Revision tab.</t>
  </si>
  <si>
    <t>Added check to gearbox shaft/bore size selection to highlight red if selected shaft/bore is more than 20% larger than the drive shaft.</t>
  </si>
  <si>
    <t>BOLT PADS:</t>
  </si>
  <si>
    <t>Standard = None</t>
  </si>
  <si>
    <t>Bolt Pad</t>
  </si>
  <si>
    <t>EQ Pipe OD</t>
  </si>
  <si>
    <t>ZSS</t>
  </si>
  <si>
    <t>ESTOP</t>
  </si>
  <si>
    <t>Housing</t>
  </si>
  <si>
    <t>MSP 12</t>
  </si>
  <si>
    <t>RS2</t>
  </si>
  <si>
    <t>SCP100</t>
  </si>
  <si>
    <t>RS2X</t>
  </si>
  <si>
    <t>Plastic</t>
  </si>
  <si>
    <t>RS5</t>
  </si>
  <si>
    <t>RS5X</t>
  </si>
  <si>
    <t>Added bolt pad option to cross-bolt coupling calculation.</t>
  </si>
  <si>
    <t>Added instrumentation to component selection table. Added hinged as option for cover hold downs.</t>
  </si>
  <si>
    <t>Added in rev 17</t>
  </si>
  <si>
    <t>If not supplied by the customer, use standard values.</t>
  </si>
  <si>
    <t>Dewatered sludge 55-70 lb/ft3</t>
  </si>
  <si>
    <t>Partially dried sludge/paste 45-60 lb/ft3</t>
  </si>
  <si>
    <t>Dry biosolids 25-45 lb/ft3</t>
  </si>
  <si>
    <t>Raw screenings 35-65 lb/ft3</t>
  </si>
  <si>
    <t>Compacted screenings 55-75 lb/ft3</t>
  </si>
  <si>
    <t>Submerged grit 65-110 lb/ft3</t>
  </si>
  <si>
    <t xml:space="preserve">Dewatered </t>
  </si>
  <si>
    <t>Wet Sludge + Lime</t>
  </si>
  <si>
    <t>Dry Biosolids</t>
  </si>
  <si>
    <t>Partially Dried Sludge/Paste</t>
  </si>
  <si>
    <t>Raw Screenings</t>
  </si>
  <si>
    <t>Compacted Screenings</t>
  </si>
  <si>
    <t>Submerged Grit</t>
  </si>
  <si>
    <t>Dewatered Grit</t>
  </si>
  <si>
    <t>Density lb/ft3</t>
  </si>
  <si>
    <t>Standard Material Characteristics *these are average values</t>
  </si>
  <si>
    <t>Percent DS</t>
  </si>
  <si>
    <t>Other Properties 1</t>
  </si>
  <si>
    <t>Other Properties 2</t>
  </si>
  <si>
    <t>Corrosive Gas Present</t>
  </si>
  <si>
    <t>Lime Pebble</t>
  </si>
  <si>
    <t>Lime Powder/Hydrated</t>
  </si>
  <si>
    <t>Added more conveyance materials in selection table. Added default material characteristics for each option.</t>
  </si>
  <si>
    <t xml:space="preserve">Changed ID lookup </t>
  </si>
  <si>
    <t>JMS CALCULATION SHEET REV. 0</t>
  </si>
  <si>
    <t>Lh</t>
  </si>
  <si>
    <t>Lift Height</t>
  </si>
  <si>
    <t>HPl</t>
  </si>
  <si>
    <t>Lift Power</t>
  </si>
  <si>
    <t>Design</t>
  </si>
  <si>
    <r>
      <rPr>
        <vertAlign val="superscript"/>
        <sz val="8"/>
        <color theme="1"/>
        <rFont val="Calibri"/>
        <family val="2"/>
        <scheme val="minor"/>
      </rPr>
      <t>2</t>
    </r>
    <r>
      <rPr>
        <sz val="8"/>
        <color theme="1"/>
        <rFont val="Calibri"/>
        <family val="2"/>
        <scheme val="minor"/>
      </rPr>
      <t xml:space="preserve"> POWER CALCULATION DOES NOT ACOUNT FOR HEAD LOADS ABOVE INLETS</t>
    </r>
  </si>
  <si>
    <t>Added material lift HP for incline screw HP calc per CEMA 350 ch 7.</t>
  </si>
  <si>
    <t>Fixed lookup for material factor table.</t>
  </si>
  <si>
    <t>conservative working allowable of about 30% of yield strength for keyed shafts/general equipment design. ASME-style shaft guidance commonly uses 30% of yield, with a further reduction for keyways; pure shear yield by von Mises is about 57.7% of yield, so 30% Fy already includes a practical safety margin.</t>
  </si>
  <si>
    <t>HANGER/LINER TYPE</t>
  </si>
  <si>
    <t>ACS</t>
  </si>
  <si>
    <t>Corrected shaft shear stress numbers</t>
  </si>
  <si>
    <t>Changed Hanger Bearing selection to Hanger/Liner</t>
  </si>
  <si>
    <t>Changed lift HP factor to 1.7, not 1.3</t>
  </si>
  <si>
    <t>Hard Iron/Hardox</t>
  </si>
  <si>
    <t>Screw Conveyor Thrust Calculator</t>
  </si>
  <si>
    <t>CONVEYOR APPLICATION DATA</t>
  </si>
  <si>
    <t>Motor HP</t>
  </si>
  <si>
    <t>Drive RPM</t>
  </si>
  <si>
    <t>rpm</t>
  </si>
  <si>
    <t>in</t>
  </si>
  <si>
    <t>Screw Pitch (Inches)</t>
  </si>
  <si>
    <t>INPUTS</t>
  </si>
  <si>
    <t>Torque (Mt)</t>
  </si>
  <si>
    <t>lb-in</t>
  </si>
  <si>
    <t>Mean Diameter (Dm)</t>
  </si>
  <si>
    <t>Coefficient of Friction (µ)</t>
  </si>
  <si>
    <t>µ</t>
  </si>
  <si>
    <t>VERIFY IN TABLE TO THE RIGHT</t>
  </si>
  <si>
    <t>CALCULATIONS</t>
  </si>
  <si>
    <r>
      <t>Helix Angle (</t>
    </r>
    <r>
      <rPr>
        <sz val="11"/>
        <color theme="1"/>
        <rFont val="Calibri"/>
        <family val="2"/>
      </rPr>
      <t>α</t>
    </r>
    <r>
      <rPr>
        <sz val="11"/>
        <color theme="1"/>
        <rFont val="Calibri"/>
        <family val="2"/>
        <scheme val="minor"/>
      </rPr>
      <t>)</t>
    </r>
  </si>
  <si>
    <t>degrees</t>
  </si>
  <si>
    <t>Friction Angle (ρ)</t>
  </si>
  <si>
    <t>Axial Thrust (Fa)</t>
  </si>
  <si>
    <t>lbf</t>
  </si>
  <si>
    <t>EQUATIONS USED</t>
  </si>
  <si>
    <t>Fa = (Mt / (Dm / 2)) * tan(α + ρ)</t>
  </si>
  <si>
    <t>ρ = arctan(µ)</t>
  </si>
  <si>
    <t>Material Type</t>
  </si>
  <si>
    <t>µ (approx.)</t>
  </si>
  <si>
    <t>Added Thrust Calculations</t>
  </si>
  <si>
    <t>VERIFY CALCULATED AXIAL LOAD DOES NOT EXCEED DRIVE INTERNAL BEARING OR EXTERNAL BEARING CAPACITY</t>
  </si>
  <si>
    <t>Fa</t>
  </si>
  <si>
    <t>Axial Thrust</t>
  </si>
  <si>
    <t>Added Hardox as an option under bearing/liner type</t>
  </si>
  <si>
    <t>Screw Outside Diameter (Inches)</t>
  </si>
  <si>
    <t>Screw Inside Diameter (Inches)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</si>
</sst>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26" x14ac:knownFonts="1">
    <font>
      <sz val="11"/>
      <color theme="1"/>
      <name val="Calibri"/>
      <family val="2"/>
      <scheme val="minor"/>
    </font>
    <font>
      <b/>
      <sz val="12"/>
      <color theme="1"/>
      <name val="Calibri"/>
      <family val="2"/>
      <scheme val="minor"/>
    </font>
    <font>
      <vertAlign val="superscript"/>
      <sz val="11"/>
      <color theme="1"/>
      <name val="Calibri"/>
      <family val="2"/>
      <scheme val="minor"/>
    </font>
    <font>
      <vertAlign val="subscript"/>
      <sz val="11"/>
      <color theme="1"/>
      <name val="Calibri"/>
      <family val="2"/>
      <scheme val="minor"/>
    </font>
    <font>
      <b/>
      <sz val="11"/>
      <color theme="1"/>
      <name val="Calibri"/>
      <family val="2"/>
      <scheme val="minor"/>
    </font>
    <font>
      <sz val="11"/>
      <color rgb="FF000000"/>
      <name val="Calibri"/>
      <family val="2"/>
    </font>
    <font>
      <i/>
      <sz val="11"/>
      <color theme="1"/>
      <name val="Calibri"/>
      <family val="2"/>
      <scheme val="minor"/>
    </font>
    <font>
      <i/>
      <sz val="11"/>
      <color rgb="FFFF0000"/>
      <name val="Calibri"/>
      <family val="2"/>
      <scheme val="minor"/>
    </font>
    <font>
      <vertAlign val="superscript"/>
      <sz val="8"/>
      <color theme="1"/>
      <name val="Calibri"/>
      <family val="2"/>
      <scheme val="minor"/>
    </font>
    <font>
      <sz val="8"/>
      <color theme="1"/>
      <name val="Calibri"/>
      <family val="2"/>
      <scheme val="minor"/>
    </font>
    <font>
      <sz val="11"/>
      <color rgb="FFFF0000"/>
      <name val="Calibri"/>
      <family val="2"/>
      <scheme val="minor"/>
    </font>
    <font>
      <sz val="11"/>
      <name val="Calibri"/>
      <family val="2"/>
      <scheme val="minor"/>
    </font>
    <font>
      <sz val="11"/>
      <color theme="0"/>
      <name val="Calibri"/>
      <family val="2"/>
      <scheme val="minor"/>
    </font>
    <font>
      <b/>
      <sz val="14"/>
      <color theme="1"/>
      <name val="Calibri"/>
      <family val="2"/>
      <scheme val="minor"/>
    </font>
    <font>
      <b/>
      <sz val="10"/>
      <color theme="1"/>
      <name val="Calibri"/>
      <family val="2"/>
      <scheme val="minor"/>
    </font>
    <font>
      <b/>
      <vertAlign val="superscript"/>
      <sz val="11"/>
      <color theme="1"/>
      <name val="Calibri"/>
      <family val="2"/>
      <scheme val="minor"/>
    </font>
    <font>
      <b/>
      <vertAlign val="subscript"/>
      <sz val="11"/>
      <color theme="1"/>
      <name val="Calibri"/>
      <family val="2"/>
      <scheme val="minor"/>
    </font>
    <font>
      <sz val="10"/>
      <color theme="1"/>
      <name val="Calibri"/>
      <family val="2"/>
      <scheme val="minor"/>
    </font>
    <font>
      <sz val="8"/>
      <name val="Calibri"/>
      <family val="2"/>
      <scheme val="minor"/>
    </font>
    <font>
      <u/>
      <sz val="11"/>
      <color theme="10"/>
      <name val="Calibri"/>
      <family val="2"/>
      <scheme val="minor"/>
    </font>
    <font>
      <sz val="9"/>
      <color indexed="81"/>
      <name val="Tahoma"/>
      <family val="2"/>
    </font>
    <font>
      <b/>
      <sz val="9"/>
      <color indexed="81"/>
      <name val="Tahoma"/>
      <family val="2"/>
    </font>
    <font>
      <sz val="11"/>
      <color theme="1"/>
      <name val="Calibri"/>
      <family val="2"/>
    </font>
    <font>
      <b/>
      <sz val="14"/>
      <name val="Calibri"/>
    </font>
    <font>
      <b/>
      <sz val="11"/>
      <name val="Calibri"/>
    </font>
    <font>
      <sz val="11"/>
      <color theme="1"/>
      <name val="Aptos Narrow"/>
      <family val="2"/>
    </font>
  </fonts>
  <fills count="12">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FFFFCC"/>
        <bgColor indexed="64"/>
      </patternFill>
    </fill>
    <fill>
      <patternFill patternType="solid">
        <fgColor rgb="FFD9E1F2"/>
        <bgColor indexed="64"/>
      </patternFill>
    </fill>
    <fill>
      <patternFill patternType="solid">
        <fgColor rgb="FFF8CBAD"/>
        <bgColor indexed="64"/>
      </patternFill>
    </fill>
    <fill>
      <patternFill patternType="solid">
        <fgColor rgb="FFFF7C80"/>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9" tint="0.79998168889431442"/>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hair">
        <color indexed="64"/>
      </top>
      <bottom/>
      <diagonal/>
    </border>
    <border>
      <left style="medium">
        <color indexed="64"/>
      </left>
      <right/>
      <top style="hair">
        <color indexed="64"/>
      </top>
      <bottom/>
      <diagonal/>
    </border>
    <border>
      <left/>
      <right style="medium">
        <color indexed="64"/>
      </right>
      <top style="hair">
        <color indexed="64"/>
      </top>
      <bottom/>
      <diagonal/>
    </border>
    <border>
      <left style="thin">
        <color indexed="64"/>
      </left>
      <right/>
      <top style="hair">
        <color indexed="64"/>
      </top>
      <bottom style="hair">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right style="thin">
        <color indexed="64"/>
      </right>
      <top/>
      <bottom/>
      <diagonal/>
    </border>
    <border>
      <left/>
      <right style="medium">
        <color indexed="64"/>
      </right>
      <top style="medium">
        <color indexed="64"/>
      </top>
      <bottom style="medium">
        <color indexed="64"/>
      </bottom>
      <diagonal/>
    </border>
    <border>
      <left/>
      <right style="thin">
        <color indexed="64"/>
      </right>
      <top style="hair">
        <color indexed="64"/>
      </top>
      <bottom style="hair">
        <color indexed="64"/>
      </bottom>
      <diagonal/>
    </border>
  </borders>
  <cellStyleXfs count="2">
    <xf numFmtId="0" fontId="0" fillId="0" borderId="0"/>
    <xf numFmtId="0" fontId="19" fillId="0" borderId="0" applyNumberFormat="0" applyFill="0" applyBorder="0" applyAlignment="0" applyProtection="0"/>
  </cellStyleXfs>
  <cellXfs count="369">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xf numFmtId="0" fontId="0" fillId="2" borderId="6" xfId="0" applyFill="1" applyBorder="1"/>
    <xf numFmtId="0" fontId="0" fillId="2" borderId="8" xfId="0" applyFill="1" applyBorder="1"/>
    <xf numFmtId="0" fontId="0" fillId="2" borderId="9" xfId="0" applyFill="1" applyBorder="1"/>
    <xf numFmtId="2" fontId="0" fillId="0" borderId="0" xfId="0" applyNumberFormat="1"/>
    <xf numFmtId="165" fontId="0" fillId="0" borderId="0" xfId="0" applyNumberFormat="1"/>
    <xf numFmtId="0" fontId="0" fillId="0" borderId="0" xfId="0" quotePrefix="1"/>
    <xf numFmtId="16" fontId="0" fillId="0" borderId="0" xfId="0" applyNumberFormat="1"/>
    <xf numFmtId="0" fontId="5" fillId="4" borderId="1" xfId="0" applyFont="1" applyFill="1" applyBorder="1" applyAlignment="1">
      <alignment vertical="center" wrapText="1"/>
    </xf>
    <xf numFmtId="0" fontId="5" fillId="5" borderId="13" xfId="0" applyFont="1" applyFill="1" applyBorder="1" applyAlignment="1">
      <alignment vertical="center" wrapText="1"/>
    </xf>
    <xf numFmtId="0" fontId="5" fillId="0" borderId="13" xfId="0" applyFont="1" applyBorder="1" applyAlignment="1">
      <alignment vertical="center" wrapText="1"/>
    </xf>
    <xf numFmtId="0" fontId="5" fillId="3" borderId="13" xfId="0" applyFont="1" applyFill="1" applyBorder="1" applyAlignment="1">
      <alignment vertical="center" wrapText="1"/>
    </xf>
    <xf numFmtId="0" fontId="5" fillId="6" borderId="13" xfId="0" applyFont="1" applyFill="1" applyBorder="1" applyAlignment="1">
      <alignment vertical="center" wrapText="1"/>
    </xf>
    <xf numFmtId="0" fontId="5" fillId="7" borderId="13" xfId="0" applyFont="1" applyFill="1" applyBorder="1" applyAlignment="1">
      <alignment vertical="center" wrapText="1"/>
    </xf>
    <xf numFmtId="12" fontId="0" fillId="0" borderId="0" xfId="0" applyNumberFormat="1"/>
    <xf numFmtId="0" fontId="0" fillId="0" borderId="0" xfId="0" applyAlignment="1">
      <alignment vertical="center"/>
    </xf>
    <xf numFmtId="1" fontId="0" fillId="0" borderId="0" xfId="0" applyNumberFormat="1"/>
    <xf numFmtId="0" fontId="6" fillId="0" borderId="0" xfId="0" applyFont="1"/>
    <xf numFmtId="0" fontId="7" fillId="0" borderId="0" xfId="0" applyFont="1"/>
    <xf numFmtId="0" fontId="0" fillId="0" borderId="15" xfId="0" applyBorder="1"/>
    <xf numFmtId="2" fontId="0" fillId="0" borderId="15" xfId="0" applyNumberFormat="1" applyBorder="1"/>
    <xf numFmtId="0" fontId="10" fillId="0" borderId="15" xfId="0" applyFont="1" applyBorder="1"/>
    <xf numFmtId="0" fontId="0" fillId="0" borderId="15" xfId="0" quotePrefix="1" applyBorder="1"/>
    <xf numFmtId="0" fontId="0" fillId="0" borderId="18" xfId="0" applyBorder="1"/>
    <xf numFmtId="0" fontId="0" fillId="2" borderId="3" xfId="0" applyFill="1" applyBorder="1" applyAlignment="1">
      <alignment horizontal="left"/>
    </xf>
    <xf numFmtId="0" fontId="0" fillId="2" borderId="16" xfId="0" applyFill="1" applyBorder="1"/>
    <xf numFmtId="0" fontId="0" fillId="2" borderId="10" xfId="0" applyFill="1" applyBorder="1"/>
    <xf numFmtId="0" fontId="0" fillId="2" borderId="17" xfId="0" applyFill="1" applyBorder="1"/>
    <xf numFmtId="0" fontId="0" fillId="2" borderId="22" xfId="0" applyFill="1" applyBorder="1"/>
    <xf numFmtId="0" fontId="0" fillId="2" borderId="24" xfId="0" applyFill="1" applyBorder="1"/>
    <xf numFmtId="0" fontId="0" fillId="2" borderId="25" xfId="0" applyFill="1" applyBorder="1"/>
    <xf numFmtId="0" fontId="0" fillId="2" borderId="23" xfId="0" applyFill="1" applyBorder="1"/>
    <xf numFmtId="0" fontId="0" fillId="2" borderId="27" xfId="0" applyFill="1" applyBorder="1"/>
    <xf numFmtId="0" fontId="0" fillId="2" borderId="29" xfId="0" applyFill="1" applyBorder="1"/>
    <xf numFmtId="0" fontId="0" fillId="2" borderId="30" xfId="0" applyFill="1" applyBorder="1"/>
    <xf numFmtId="0" fontId="0" fillId="2" borderId="30" xfId="0" applyFill="1" applyBorder="1" applyAlignment="1">
      <alignment horizontal="centerContinuous"/>
    </xf>
    <xf numFmtId="0" fontId="0" fillId="2" borderId="29" xfId="0" applyFill="1" applyBorder="1" applyAlignment="1">
      <alignment horizontal="centerContinuous"/>
    </xf>
    <xf numFmtId="0" fontId="0" fillId="2" borderId="20" xfId="0" applyFill="1" applyBorder="1"/>
    <xf numFmtId="0" fontId="0" fillId="2" borderId="14" xfId="0" applyFill="1" applyBorder="1"/>
    <xf numFmtId="0" fontId="1" fillId="2" borderId="3" xfId="0" applyFont="1" applyFill="1" applyBorder="1" applyAlignment="1">
      <alignment horizontal="centerContinuous"/>
    </xf>
    <xf numFmtId="0" fontId="1" fillId="2" borderId="4" xfId="0" applyFont="1" applyFill="1" applyBorder="1" applyAlignment="1">
      <alignment horizontal="centerContinuous"/>
    </xf>
    <xf numFmtId="0" fontId="1" fillId="2" borderId="0" xfId="0" applyFont="1" applyFill="1" applyAlignment="1">
      <alignment horizontal="centerContinuous"/>
    </xf>
    <xf numFmtId="0" fontId="1" fillId="2" borderId="6" xfId="0" applyFont="1" applyFill="1" applyBorder="1" applyAlignment="1">
      <alignment horizontal="centerContinuous"/>
    </xf>
    <xf numFmtId="0" fontId="13" fillId="2" borderId="2" xfId="0" applyFont="1" applyFill="1" applyBorder="1" applyAlignment="1">
      <alignment horizontal="centerContinuous"/>
    </xf>
    <xf numFmtId="0" fontId="13" fillId="2" borderId="5" xfId="0" applyFont="1" applyFill="1" applyBorder="1" applyAlignment="1">
      <alignment horizontal="centerContinuous"/>
    </xf>
    <xf numFmtId="0" fontId="4" fillId="2" borderId="21" xfId="0" applyFont="1" applyFill="1" applyBorder="1"/>
    <xf numFmtId="0" fontId="4" fillId="2" borderId="26" xfId="0" applyFont="1" applyFill="1" applyBorder="1"/>
    <xf numFmtId="0" fontId="4" fillId="2" borderId="28" xfId="0" applyFont="1" applyFill="1" applyBorder="1"/>
    <xf numFmtId="0" fontId="4" fillId="2" borderId="25" xfId="0" applyFont="1" applyFill="1" applyBorder="1"/>
    <xf numFmtId="0" fontId="4" fillId="2" borderId="16" xfId="0" applyFont="1" applyFill="1" applyBorder="1"/>
    <xf numFmtId="0" fontId="4" fillId="2" borderId="19" xfId="0" applyFont="1" applyFill="1" applyBorder="1"/>
    <xf numFmtId="0" fontId="4" fillId="2" borderId="31" xfId="0" applyFont="1" applyFill="1" applyBorder="1"/>
    <xf numFmtId="0" fontId="14" fillId="2" borderId="32" xfId="0" applyFont="1" applyFill="1" applyBorder="1"/>
    <xf numFmtId="0" fontId="0" fillId="2" borderId="34" xfId="0" applyFill="1" applyBorder="1"/>
    <xf numFmtId="0" fontId="0" fillId="2" borderId="13" xfId="0" applyFill="1" applyBorder="1"/>
    <xf numFmtId="0" fontId="0" fillId="8" borderId="12" xfId="0" applyFill="1" applyBorder="1" applyAlignment="1">
      <alignment horizontal="centerContinuous"/>
    </xf>
    <xf numFmtId="0" fontId="4" fillId="8" borderId="12" xfId="0" applyFont="1" applyFill="1" applyBorder="1" applyAlignment="1">
      <alignment horizontal="centerContinuous"/>
    </xf>
    <xf numFmtId="0" fontId="9" fillId="2" borderId="33" xfId="0" applyFont="1" applyFill="1" applyBorder="1" applyAlignment="1">
      <alignment horizontal="center" vertical="center"/>
    </xf>
    <xf numFmtId="0" fontId="9" fillId="2" borderId="34"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34" xfId="0" applyFont="1" applyFill="1" applyBorder="1"/>
    <xf numFmtId="0" fontId="9" fillId="2" borderId="13" xfId="0" applyFont="1" applyFill="1" applyBorder="1"/>
    <xf numFmtId="0" fontId="4" fillId="2" borderId="35" xfId="0" applyFont="1" applyFill="1" applyBorder="1"/>
    <xf numFmtId="0" fontId="0" fillId="2" borderId="36" xfId="0" applyFill="1" applyBorder="1"/>
    <xf numFmtId="0" fontId="0" fillId="2" borderId="36" xfId="0" applyFill="1" applyBorder="1" applyAlignment="1">
      <alignment horizontal="centerContinuous"/>
    </xf>
    <xf numFmtId="0" fontId="0" fillId="2" borderId="37" xfId="0" applyFill="1" applyBorder="1"/>
    <xf numFmtId="0" fontId="4" fillId="2" borderId="38" xfId="0" applyFont="1" applyFill="1" applyBorder="1"/>
    <xf numFmtId="0" fontId="0" fillId="2" borderId="39" xfId="0" applyFill="1" applyBorder="1"/>
    <xf numFmtId="0" fontId="0" fillId="2" borderId="38" xfId="0" applyFill="1" applyBorder="1" applyAlignment="1">
      <alignment horizontal="centerContinuous"/>
    </xf>
    <xf numFmtId="0" fontId="0" fillId="2" borderId="39" xfId="0" applyFill="1" applyBorder="1" applyAlignment="1">
      <alignment horizontal="centerContinuous"/>
    </xf>
    <xf numFmtId="0" fontId="0" fillId="2" borderId="40" xfId="0" applyFill="1" applyBorder="1" applyAlignment="1">
      <alignment horizontal="centerContinuous"/>
    </xf>
    <xf numFmtId="0" fontId="0" fillId="2" borderId="40" xfId="0" applyFill="1" applyBorder="1"/>
    <xf numFmtId="0" fontId="4" fillId="2" borderId="41" xfId="0" applyFont="1" applyFill="1" applyBorder="1"/>
    <xf numFmtId="0" fontId="0" fillId="2" borderId="42" xfId="0" applyFill="1" applyBorder="1"/>
    <xf numFmtId="0" fontId="0" fillId="2" borderId="41" xfId="0" applyFill="1" applyBorder="1" applyAlignment="1">
      <alignment horizontal="centerContinuous"/>
    </xf>
    <xf numFmtId="0" fontId="0" fillId="2" borderId="42" xfId="0" applyFill="1" applyBorder="1" applyAlignment="1">
      <alignment horizontal="centerContinuous"/>
    </xf>
    <xf numFmtId="0" fontId="0" fillId="2" borderId="43" xfId="0" applyFill="1" applyBorder="1" applyAlignment="1">
      <alignment horizontal="centerContinuous"/>
    </xf>
    <xf numFmtId="0" fontId="0" fillId="2" borderId="43" xfId="0" applyFill="1" applyBorder="1"/>
    <xf numFmtId="0" fontId="4" fillId="8" borderId="11" xfId="0" applyFont="1" applyFill="1" applyBorder="1" applyAlignment="1">
      <alignment horizontal="centerContinuous"/>
    </xf>
    <xf numFmtId="0" fontId="4" fillId="2" borderId="21" xfId="0" applyFont="1" applyFill="1" applyBorder="1" applyAlignment="1">
      <alignment horizontal="centerContinuous"/>
    </xf>
    <xf numFmtId="0" fontId="0" fillId="2" borderId="22" xfId="0" applyFill="1" applyBorder="1" applyAlignment="1">
      <alignment horizontal="centerContinuous"/>
    </xf>
    <xf numFmtId="0" fontId="0" fillId="2" borderId="23" xfId="0" applyFill="1" applyBorder="1" applyAlignment="1">
      <alignment horizontal="centerContinuous"/>
    </xf>
    <xf numFmtId="0" fontId="0" fillId="2" borderId="41" xfId="0" quotePrefix="1" applyFill="1" applyBorder="1" applyAlignment="1">
      <alignment horizontal="centerContinuous"/>
    </xf>
    <xf numFmtId="0" fontId="4" fillId="2" borderId="22" xfId="0" applyFont="1" applyFill="1" applyBorder="1" applyAlignment="1">
      <alignment horizontal="centerContinuous"/>
    </xf>
    <xf numFmtId="2" fontId="0" fillId="2" borderId="42" xfId="0" applyNumberFormat="1" applyFill="1" applyBorder="1" applyAlignment="1">
      <alignment horizontal="centerContinuous"/>
    </xf>
    <xf numFmtId="0" fontId="4" fillId="2" borderId="44" xfId="0" applyFont="1" applyFill="1" applyBorder="1"/>
    <xf numFmtId="0" fontId="0" fillId="2" borderId="45" xfId="0" applyFill="1" applyBorder="1"/>
    <xf numFmtId="0" fontId="0" fillId="2" borderId="46" xfId="0" applyFill="1" applyBorder="1"/>
    <xf numFmtId="0" fontId="0" fillId="2" borderId="44" xfId="0" applyFill="1" applyBorder="1" applyAlignment="1">
      <alignment horizontal="centerContinuous"/>
    </xf>
    <xf numFmtId="0" fontId="0" fillId="2" borderId="45" xfId="0" applyFill="1" applyBorder="1" applyAlignment="1">
      <alignment horizontal="centerContinuous"/>
    </xf>
    <xf numFmtId="0" fontId="0" fillId="2" borderId="46" xfId="0" applyFill="1" applyBorder="1" applyAlignment="1">
      <alignment horizontal="centerContinuous"/>
    </xf>
    <xf numFmtId="0" fontId="0" fillId="2" borderId="41" xfId="0" applyFill="1" applyBorder="1"/>
    <xf numFmtId="0" fontId="0" fillId="2" borderId="44" xfId="0" applyFill="1" applyBorder="1"/>
    <xf numFmtId="0" fontId="0" fillId="2" borderId="3" xfId="0" applyFill="1" applyBorder="1" applyAlignment="1">
      <alignment horizontal="centerContinuous" vertical="top" wrapText="1"/>
    </xf>
    <xf numFmtId="0" fontId="0" fillId="2" borderId="4" xfId="0" applyFill="1" applyBorder="1" applyAlignment="1">
      <alignment horizontal="centerContinuous" vertical="top" wrapText="1"/>
    </xf>
    <xf numFmtId="0" fontId="0" fillId="2" borderId="8" xfId="0" applyFill="1" applyBorder="1" applyAlignment="1">
      <alignment horizontal="centerContinuous" vertical="top" wrapText="1"/>
    </xf>
    <xf numFmtId="0" fontId="0" fillId="2" borderId="9" xfId="0" applyFill="1" applyBorder="1" applyAlignment="1">
      <alignment horizontal="centerContinuous" vertical="top" wrapText="1"/>
    </xf>
    <xf numFmtId="0" fontId="0" fillId="2" borderId="0" xfId="0" applyFill="1" applyAlignment="1">
      <alignment horizontal="left" vertical="top" wrapText="1"/>
    </xf>
    <xf numFmtId="0" fontId="0" fillId="2" borderId="6" xfId="0" applyFill="1" applyBorder="1" applyAlignment="1">
      <alignment horizontal="left" vertical="top" wrapText="1"/>
    </xf>
    <xf numFmtId="0" fontId="4" fillId="2" borderId="39" xfId="0" applyFont="1" applyFill="1" applyBorder="1"/>
    <xf numFmtId="0" fontId="4" fillId="2" borderId="42" xfId="0" applyFont="1" applyFill="1" applyBorder="1"/>
    <xf numFmtId="0" fontId="4" fillId="2" borderId="45" xfId="0" applyFont="1" applyFill="1" applyBorder="1"/>
    <xf numFmtId="0" fontId="0" fillId="2" borderId="0" xfId="0" applyFill="1" applyAlignment="1">
      <alignment horizontal="left" vertical="top"/>
    </xf>
    <xf numFmtId="0" fontId="0" fillId="2" borderId="8" xfId="0" applyFill="1" applyBorder="1" applyAlignment="1">
      <alignment horizontal="centerContinuous" vertical="top"/>
    </xf>
    <xf numFmtId="0" fontId="0" fillId="8" borderId="3" xfId="0" applyFill="1" applyBorder="1" applyAlignment="1">
      <alignment horizontal="centerContinuous"/>
    </xf>
    <xf numFmtId="0" fontId="0" fillId="2" borderId="47" xfId="0" applyFill="1" applyBorder="1"/>
    <xf numFmtId="0" fontId="0" fillId="2" borderId="48" xfId="0" applyFill="1" applyBorder="1"/>
    <xf numFmtId="0" fontId="0" fillId="8" borderId="0" xfId="0" applyFill="1" applyAlignment="1">
      <alignment horizontal="centerContinuous"/>
    </xf>
    <xf numFmtId="0" fontId="0" fillId="8" borderId="6" xfId="0" applyFill="1" applyBorder="1" applyAlignment="1">
      <alignment horizontal="centerContinuous"/>
    </xf>
    <xf numFmtId="0" fontId="0" fillId="0" borderId="42" xfId="0" applyBorder="1" applyAlignment="1">
      <alignment horizontal="centerContinuous"/>
    </xf>
    <xf numFmtId="0" fontId="0" fillId="2" borderId="38" xfId="0" applyFill="1" applyBorder="1"/>
    <xf numFmtId="0" fontId="0" fillId="2" borderId="49" xfId="0" applyFill="1" applyBorder="1"/>
    <xf numFmtId="0" fontId="4" fillId="8" borderId="3" xfId="0" applyFont="1" applyFill="1" applyBorder="1" applyAlignment="1">
      <alignment horizontal="centerContinuous"/>
    </xf>
    <xf numFmtId="0" fontId="0" fillId="2" borderId="42" xfId="0" applyFill="1" applyBorder="1" applyAlignment="1">
      <alignment horizontal="left"/>
    </xf>
    <xf numFmtId="0" fontId="4" fillId="2" borderId="48" xfId="0" applyFont="1" applyFill="1" applyBorder="1"/>
    <xf numFmtId="0" fontId="0" fillId="2" borderId="45" xfId="0" applyFill="1" applyBorder="1" applyAlignment="1">
      <alignment horizontal="left"/>
    </xf>
    <xf numFmtId="0" fontId="0" fillId="2" borderId="47" xfId="0" applyFill="1" applyBorder="1" applyAlignment="1">
      <alignment horizontal="left"/>
    </xf>
    <xf numFmtId="0" fontId="0" fillId="2" borderId="39" xfId="0" applyFill="1" applyBorder="1" applyAlignment="1">
      <alignment horizontal="left"/>
    </xf>
    <xf numFmtId="0" fontId="0" fillId="4" borderId="39" xfId="0" applyFill="1" applyBorder="1" applyAlignment="1" applyProtection="1">
      <alignment horizontal="centerContinuous"/>
      <protection locked="0"/>
    </xf>
    <xf numFmtId="0" fontId="0" fillId="4" borderId="42" xfId="0" applyFill="1" applyBorder="1" applyAlignment="1" applyProtection="1">
      <alignment horizontal="centerContinuous" vertical="center"/>
      <protection locked="0"/>
    </xf>
    <xf numFmtId="0" fontId="0" fillId="0" borderId="53" xfId="0" applyBorder="1"/>
    <xf numFmtId="0" fontId="0" fillId="2" borderId="0" xfId="0" applyFill="1" applyAlignment="1">
      <alignment horizontal="left"/>
    </xf>
    <xf numFmtId="0" fontId="0" fillId="4" borderId="42" xfId="0" applyFill="1" applyBorder="1" applyAlignment="1" applyProtection="1">
      <alignment horizontal="centerContinuous"/>
      <protection locked="0"/>
    </xf>
    <xf numFmtId="0" fontId="0" fillId="4" borderId="39" xfId="0" applyFill="1" applyBorder="1" applyAlignment="1" applyProtection="1">
      <alignment horizontal="centerContinuous" vertical="center"/>
      <protection locked="0"/>
    </xf>
    <xf numFmtId="0" fontId="0" fillId="5" borderId="45" xfId="0" applyFill="1" applyBorder="1" applyAlignment="1" applyProtection="1">
      <alignment horizontal="centerContinuous"/>
      <protection locked="0"/>
    </xf>
    <xf numFmtId="0" fontId="0" fillId="4" borderId="41" xfId="0" applyFill="1" applyBorder="1" applyAlignment="1" applyProtection="1">
      <alignment horizontal="centerContinuous"/>
      <protection locked="0"/>
    </xf>
    <xf numFmtId="165" fontId="0" fillId="4" borderId="42" xfId="0" applyNumberFormat="1" applyFill="1" applyBorder="1" applyAlignment="1" applyProtection="1">
      <alignment horizontal="centerContinuous"/>
      <protection locked="0"/>
    </xf>
    <xf numFmtId="0" fontId="11" fillId="4" borderId="41" xfId="0" quotePrefix="1" applyFont="1" applyFill="1" applyBorder="1" applyAlignment="1" applyProtection="1">
      <alignment horizontal="centerContinuous"/>
      <protection locked="0"/>
    </xf>
    <xf numFmtId="0" fontId="0" fillId="4" borderId="22" xfId="0" applyFill="1" applyBorder="1"/>
    <xf numFmtId="0" fontId="0" fillId="4" borderId="24" xfId="0" applyFill="1" applyBorder="1"/>
    <xf numFmtId="0" fontId="0" fillId="4" borderId="16" xfId="0" applyFill="1" applyBorder="1" applyProtection="1">
      <protection locked="0"/>
    </xf>
    <xf numFmtId="0" fontId="0" fillId="4" borderId="10" xfId="0" applyFill="1" applyBorder="1"/>
    <xf numFmtId="0" fontId="0" fillId="4" borderId="17" xfId="0" applyFill="1" applyBorder="1"/>
    <xf numFmtId="0" fontId="0" fillId="4" borderId="8" xfId="0" applyFill="1" applyBorder="1" applyProtection="1">
      <protection locked="0"/>
    </xf>
    <xf numFmtId="0" fontId="0" fillId="4" borderId="8" xfId="0" applyFill="1" applyBorder="1"/>
    <xf numFmtId="0" fontId="0" fillId="4" borderId="25" xfId="0" applyFill="1" applyBorder="1" applyProtection="1">
      <protection locked="0"/>
    </xf>
    <xf numFmtId="0" fontId="0" fillId="4" borderId="23" xfId="0" applyFill="1" applyBorder="1"/>
    <xf numFmtId="0" fontId="0" fillId="4" borderId="29" xfId="0" applyFill="1" applyBorder="1" applyAlignment="1" applyProtection="1">
      <alignment horizontal="centerContinuous"/>
      <protection locked="0"/>
    </xf>
    <xf numFmtId="0" fontId="0" fillId="4" borderId="43" xfId="0" applyFill="1" applyBorder="1" applyAlignment="1" applyProtection="1">
      <alignment horizontal="centerContinuous"/>
      <protection locked="0"/>
    </xf>
    <xf numFmtId="0" fontId="0" fillId="0" borderId="0" xfId="0" applyAlignment="1">
      <alignment horizontal="center"/>
    </xf>
    <xf numFmtId="0" fontId="0" fillId="2" borderId="41" xfId="0" applyFill="1" applyBorder="1" applyAlignment="1" applyProtection="1">
      <alignment horizontal="centerContinuous"/>
      <protection locked="0"/>
    </xf>
    <xf numFmtId="0" fontId="0" fillId="8" borderId="8" xfId="0" applyFill="1" applyBorder="1" applyAlignment="1">
      <alignment horizontal="centerContinuous"/>
    </xf>
    <xf numFmtId="0" fontId="4" fillId="8" borderId="7" xfId="0" applyFont="1" applyFill="1" applyBorder="1" applyAlignment="1">
      <alignment horizontal="centerContinuous"/>
    </xf>
    <xf numFmtId="0" fontId="0" fillId="2" borderId="5" xfId="0" applyFill="1" applyBorder="1" applyAlignment="1">
      <alignment horizontal="left"/>
    </xf>
    <xf numFmtId="0" fontId="0" fillId="2" borderId="6" xfId="0" applyFill="1" applyBorder="1" applyAlignment="1">
      <alignment horizontal="left"/>
    </xf>
    <xf numFmtId="0" fontId="0" fillId="2" borderId="35" xfId="0" applyFill="1" applyBorder="1" applyAlignment="1">
      <alignment horizontal="centerContinuous"/>
    </xf>
    <xf numFmtId="0" fontId="0" fillId="2" borderId="37" xfId="0" applyFill="1" applyBorder="1" applyAlignment="1">
      <alignment horizontal="centerContinuous"/>
    </xf>
    <xf numFmtId="0" fontId="0" fillId="2" borderId="42" xfId="0" quotePrefix="1" applyFill="1" applyBorder="1" applyAlignment="1">
      <alignment horizontal="centerContinuous"/>
    </xf>
    <xf numFmtId="0" fontId="0" fillId="2" borderId="46" xfId="0" applyFill="1" applyBorder="1" applyAlignment="1">
      <alignment horizontal="left"/>
    </xf>
    <xf numFmtId="0" fontId="0" fillId="2" borderId="35" xfId="0" quotePrefix="1" applyFill="1" applyBorder="1" applyAlignment="1">
      <alignment horizontal="centerContinuous"/>
    </xf>
    <xf numFmtId="0" fontId="0" fillId="4" borderId="42" xfId="0" quotePrefix="1" applyFill="1" applyBorder="1" applyAlignment="1" applyProtection="1">
      <alignment horizontal="centerContinuous"/>
      <protection locked="0"/>
    </xf>
    <xf numFmtId="0" fontId="0" fillId="4" borderId="39" xfId="0" quotePrefix="1" applyFill="1" applyBorder="1" applyAlignment="1" applyProtection="1">
      <alignment horizontal="centerContinuous"/>
      <protection locked="0"/>
    </xf>
    <xf numFmtId="0" fontId="4" fillId="2" borderId="41" xfId="0" applyFont="1" applyFill="1" applyBorder="1" applyProtection="1">
      <protection locked="0"/>
    </xf>
    <xf numFmtId="0" fontId="0" fillId="2" borderId="40" xfId="0" applyFill="1" applyBorder="1" applyAlignment="1">
      <alignment horizontal="left"/>
    </xf>
    <xf numFmtId="0" fontId="0" fillId="2" borderId="48" xfId="0" applyFill="1" applyBorder="1" applyAlignment="1">
      <alignment horizontal="left"/>
    </xf>
    <xf numFmtId="0" fontId="0" fillId="2" borderId="49" xfId="0" applyFill="1" applyBorder="1" applyAlignment="1">
      <alignment horizontal="left"/>
    </xf>
    <xf numFmtId="0" fontId="0" fillId="2" borderId="0" xfId="0" applyFill="1" applyAlignment="1">
      <alignment vertical="center"/>
    </xf>
    <xf numFmtId="2" fontId="0" fillId="4" borderId="25" xfId="0" quotePrefix="1" applyNumberFormat="1" applyFill="1" applyBorder="1" applyProtection="1">
      <protection locked="0"/>
    </xf>
    <xf numFmtId="0" fontId="0" fillId="4" borderId="16" xfId="0" quotePrefix="1" applyFill="1" applyBorder="1" applyAlignment="1" applyProtection="1">
      <alignment horizontal="centerContinuous"/>
      <protection locked="0"/>
    </xf>
    <xf numFmtId="0" fontId="0" fillId="4" borderId="10" xfId="0" applyFill="1" applyBorder="1" applyAlignment="1">
      <alignment horizontal="centerContinuous"/>
    </xf>
    <xf numFmtId="0" fontId="0" fillId="4" borderId="27" xfId="0" applyFill="1" applyBorder="1" applyAlignment="1">
      <alignment horizontal="centerContinuous"/>
    </xf>
    <xf numFmtId="0" fontId="0" fillId="4" borderId="30" xfId="0" applyFill="1" applyBorder="1" applyAlignment="1">
      <alignment horizontal="centerContinuous"/>
    </xf>
    <xf numFmtId="0" fontId="0" fillId="4" borderId="9" xfId="0" applyFill="1" applyBorder="1"/>
    <xf numFmtId="0" fontId="0" fillId="5" borderId="45" xfId="0" quotePrefix="1" applyFill="1" applyBorder="1" applyAlignment="1" applyProtection="1">
      <alignment horizontal="centerContinuous"/>
      <protection locked="0"/>
    </xf>
    <xf numFmtId="2" fontId="0" fillId="2" borderId="25" xfId="0" applyNumberFormat="1" applyFill="1" applyBorder="1"/>
    <xf numFmtId="0" fontId="12" fillId="0" borderId="38" xfId="0" applyFont="1" applyBorder="1"/>
    <xf numFmtId="0" fontId="0" fillId="2" borderId="45" xfId="0" quotePrefix="1" applyFill="1" applyBorder="1" applyAlignment="1">
      <alignment horizontal="left"/>
    </xf>
    <xf numFmtId="0" fontId="9" fillId="0" borderId="44" xfId="0" applyFont="1" applyBorder="1"/>
    <xf numFmtId="0" fontId="19" fillId="2" borderId="42" xfId="1" applyFill="1" applyBorder="1"/>
    <xf numFmtId="165" fontId="0" fillId="0" borderId="15" xfId="0" applyNumberFormat="1" applyBorder="1"/>
    <xf numFmtId="16" fontId="0" fillId="0" borderId="0" xfId="0" quotePrefix="1" applyNumberFormat="1"/>
    <xf numFmtId="0" fontId="0" fillId="4" borderId="39" xfId="0" applyFill="1" applyBorder="1" applyAlignment="1">
      <alignment horizontal="centerContinuous"/>
    </xf>
    <xf numFmtId="0" fontId="0" fillId="4" borderId="40" xfId="0" applyFill="1" applyBorder="1" applyAlignment="1">
      <alignment horizontal="centerContinuous"/>
    </xf>
    <xf numFmtId="0" fontId="0" fillId="5" borderId="42" xfId="0" applyFill="1" applyBorder="1" applyAlignment="1">
      <alignment horizontal="centerContinuous"/>
    </xf>
    <xf numFmtId="0" fontId="0" fillId="5" borderId="43" xfId="0" applyFill="1" applyBorder="1" applyAlignment="1">
      <alignment horizontal="centerContinuous"/>
    </xf>
    <xf numFmtId="0" fontId="0" fillId="4" borderId="42" xfId="0" applyFill="1" applyBorder="1" applyAlignment="1">
      <alignment horizontal="centerContinuous"/>
    </xf>
    <xf numFmtId="0" fontId="0" fillId="4" borderId="43" xfId="0" applyFill="1" applyBorder="1" applyAlignment="1">
      <alignment horizontal="centerContinuous"/>
    </xf>
    <xf numFmtId="164" fontId="0" fillId="2" borderId="42" xfId="0" quotePrefix="1" applyNumberFormat="1" applyFill="1" applyBorder="1" applyAlignment="1">
      <alignment horizontal="left"/>
    </xf>
    <xf numFmtId="0" fontId="0" fillId="4" borderId="0" xfId="0" applyFill="1" applyAlignment="1">
      <alignment horizontal="centerContinuous"/>
    </xf>
    <xf numFmtId="0" fontId="0" fillId="5" borderId="45" xfId="0" applyFill="1" applyBorder="1" applyAlignment="1">
      <alignment horizontal="centerContinuous"/>
    </xf>
    <xf numFmtId="0" fontId="4" fillId="8" borderId="0" xfId="0" applyFont="1" applyFill="1" applyAlignment="1">
      <alignment horizontal="centerContinuous"/>
    </xf>
    <xf numFmtId="0" fontId="4" fillId="8" borderId="5" xfId="0" applyFont="1" applyFill="1" applyBorder="1" applyAlignment="1">
      <alignment horizontal="centerContinuous"/>
    </xf>
    <xf numFmtId="0" fontId="4" fillId="2" borderId="39" xfId="0" applyFont="1" applyFill="1" applyBorder="1" applyAlignment="1">
      <alignment vertical="center"/>
    </xf>
    <xf numFmtId="0" fontId="0" fillId="2" borderId="39" xfId="0" applyFill="1" applyBorder="1" applyAlignment="1">
      <alignment vertical="center"/>
    </xf>
    <xf numFmtId="0" fontId="0" fillId="0" borderId="39" xfId="0" applyBorder="1"/>
    <xf numFmtId="0" fontId="0" fillId="2" borderId="3" xfId="0" applyFill="1" applyBorder="1" applyAlignment="1">
      <alignment horizontal="centerContinuous"/>
    </xf>
    <xf numFmtId="0" fontId="4" fillId="2" borderId="38" xfId="0" applyFont="1" applyFill="1" applyBorder="1" applyAlignment="1">
      <alignment horizontal="left"/>
    </xf>
    <xf numFmtId="0" fontId="4" fillId="2" borderId="42" xfId="0" applyFont="1" applyFill="1" applyBorder="1" applyAlignment="1">
      <alignment vertical="center"/>
    </xf>
    <xf numFmtId="0" fontId="0" fillId="0" borderId="42" xfId="0" applyBorder="1"/>
    <xf numFmtId="0" fontId="4" fillId="2" borderId="41" xfId="0" applyFont="1" applyFill="1" applyBorder="1" applyAlignment="1">
      <alignment horizontal="left"/>
    </xf>
    <xf numFmtId="2" fontId="0" fillId="2" borderId="42" xfId="0" quotePrefix="1" applyNumberFormat="1" applyFill="1" applyBorder="1"/>
    <xf numFmtId="0" fontId="17" fillId="2" borderId="42" xfId="0" applyFont="1" applyFill="1" applyBorder="1" applyAlignment="1">
      <alignment vertical="center"/>
    </xf>
    <xf numFmtId="0" fontId="17" fillId="2" borderId="43" xfId="0" applyFont="1" applyFill="1" applyBorder="1" applyAlignment="1">
      <alignment vertical="center"/>
    </xf>
    <xf numFmtId="0" fontId="11" fillId="2" borderId="42" xfId="0" applyFont="1" applyFill="1" applyBorder="1" applyAlignment="1">
      <alignment horizontal="centerContinuous"/>
    </xf>
    <xf numFmtId="0" fontId="17" fillId="2" borderId="42" xfId="0" applyFont="1" applyFill="1" applyBorder="1"/>
    <xf numFmtId="0" fontId="4" fillId="2" borderId="8" xfId="0" applyFont="1" applyFill="1" applyBorder="1"/>
    <xf numFmtId="0" fontId="0" fillId="2" borderId="7" xfId="0" applyFill="1" applyBorder="1"/>
    <xf numFmtId="0" fontId="4" fillId="2" borderId="44" xfId="0" applyFont="1" applyFill="1" applyBorder="1" applyAlignment="1">
      <alignment horizontal="left"/>
    </xf>
    <xf numFmtId="2" fontId="0" fillId="2" borderId="39" xfId="0" applyNumberFormat="1" applyFill="1" applyBorder="1" applyAlignment="1">
      <alignment horizontal="centerContinuous"/>
    </xf>
    <xf numFmtId="164" fontId="0" fillId="2" borderId="39" xfId="0" applyNumberFormat="1" applyFill="1" applyBorder="1" applyAlignment="1">
      <alignment horizontal="centerContinuous"/>
    </xf>
    <xf numFmtId="164" fontId="0" fillId="2" borderId="42" xfId="0" applyNumberFormat="1" applyFill="1" applyBorder="1" applyAlignment="1">
      <alignment horizontal="centerContinuous"/>
    </xf>
    <xf numFmtId="0" fontId="12" fillId="2" borderId="42" xfId="0" applyFont="1" applyFill="1" applyBorder="1"/>
    <xf numFmtId="2" fontId="12" fillId="2" borderId="42" xfId="0" applyNumberFormat="1" applyFont="1" applyFill="1" applyBorder="1"/>
    <xf numFmtId="2" fontId="12" fillId="2" borderId="47" xfId="0" applyNumberFormat="1" applyFont="1" applyFill="1" applyBorder="1"/>
    <xf numFmtId="2" fontId="0" fillId="2" borderId="47" xfId="0" applyNumberFormat="1" applyFill="1" applyBorder="1" applyAlignment="1">
      <alignment horizontal="centerContinuous"/>
    </xf>
    <xf numFmtId="0" fontId="0" fillId="2" borderId="47" xfId="0" applyFill="1" applyBorder="1" applyAlignment="1">
      <alignment horizontal="centerContinuous"/>
    </xf>
    <xf numFmtId="2" fontId="0" fillId="2" borderId="42" xfId="0" applyNumberFormat="1" applyFill="1" applyBorder="1"/>
    <xf numFmtId="0" fontId="10" fillId="2" borderId="42" xfId="0" applyFont="1" applyFill="1" applyBorder="1"/>
    <xf numFmtId="0" fontId="4" fillId="2" borderId="43" xfId="0" applyFont="1" applyFill="1" applyBorder="1"/>
    <xf numFmtId="0" fontId="17" fillId="2" borderId="39" xfId="0" applyFont="1" applyFill="1" applyBorder="1"/>
    <xf numFmtId="0" fontId="17" fillId="2" borderId="42" xfId="0" applyFont="1" applyFill="1" applyBorder="1" applyAlignment="1">
      <alignment horizontal="left"/>
    </xf>
    <xf numFmtId="0" fontId="12" fillId="2" borderId="42" xfId="0" applyFont="1" applyFill="1" applyBorder="1" applyAlignment="1">
      <alignment horizontal="left"/>
    </xf>
    <xf numFmtId="0" fontId="0" fillId="2" borderId="43" xfId="0" applyFill="1" applyBorder="1" applyAlignment="1">
      <alignment horizontal="left"/>
    </xf>
    <xf numFmtId="12" fontId="0" fillId="2" borderId="42" xfId="0" applyNumberFormat="1" applyFill="1" applyBorder="1" applyAlignment="1">
      <alignment horizontal="left"/>
    </xf>
    <xf numFmtId="12" fontId="17" fillId="2" borderId="42" xfId="0" applyNumberFormat="1" applyFont="1" applyFill="1" applyBorder="1" applyAlignment="1">
      <alignment horizontal="left"/>
    </xf>
    <xf numFmtId="164" fontId="0" fillId="2" borderId="36" xfId="0" applyNumberFormat="1" applyFill="1" applyBorder="1" applyAlignment="1">
      <alignment horizontal="centerContinuous"/>
    </xf>
    <xf numFmtId="0" fontId="4" fillId="2" borderId="36" xfId="0" applyFont="1" applyFill="1" applyBorder="1" applyAlignment="1">
      <alignment horizontal="centerContinuous"/>
    </xf>
    <xf numFmtId="0" fontId="4" fillId="2" borderId="42" xfId="0" applyFont="1" applyFill="1" applyBorder="1" applyAlignment="1">
      <alignment horizontal="centerContinuous"/>
    </xf>
    <xf numFmtId="0" fontId="4" fillId="0" borderId="42" xfId="0" applyFont="1" applyBorder="1" applyAlignment="1">
      <alignment horizontal="centerContinuous"/>
    </xf>
    <xf numFmtId="1" fontId="0" fillId="2" borderId="42" xfId="0" applyNumberFormat="1" applyFill="1" applyBorder="1" applyAlignment="1">
      <alignment horizontal="centerContinuous"/>
    </xf>
    <xf numFmtId="12" fontId="0" fillId="2" borderId="42" xfId="0" applyNumberFormat="1" applyFill="1" applyBorder="1" applyAlignment="1">
      <alignment horizontal="centerContinuous"/>
    </xf>
    <xf numFmtId="165" fontId="0" fillId="2" borderId="42" xfId="0" applyNumberFormat="1" applyFill="1" applyBorder="1" applyAlignment="1">
      <alignment horizontal="centerContinuous"/>
    </xf>
    <xf numFmtId="0" fontId="4" fillId="2" borderId="2" xfId="0" applyFont="1" applyFill="1" applyBorder="1" applyAlignment="1">
      <alignment horizontal="centerContinuous"/>
    </xf>
    <xf numFmtId="0" fontId="0" fillId="2" borderId="4" xfId="0" applyFill="1" applyBorder="1" applyAlignment="1">
      <alignment horizontal="centerContinuous"/>
    </xf>
    <xf numFmtId="0" fontId="4" fillId="2" borderId="11" xfId="0" applyFont="1" applyFill="1" applyBorder="1" applyAlignment="1">
      <alignment horizontal="centerContinuous"/>
    </xf>
    <xf numFmtId="0" fontId="0" fillId="2" borderId="12" xfId="0" applyFill="1" applyBorder="1" applyAlignment="1">
      <alignment horizontal="centerContinuous"/>
    </xf>
    <xf numFmtId="0" fontId="4" fillId="2" borderId="12" xfId="0" applyFont="1" applyFill="1" applyBorder="1" applyAlignment="1">
      <alignment horizontal="centerContinuous"/>
    </xf>
    <xf numFmtId="0" fontId="0" fillId="2" borderId="54" xfId="0" applyFill="1" applyBorder="1" applyAlignment="1">
      <alignment horizontal="centerContinuous"/>
    </xf>
    <xf numFmtId="0" fontId="4" fillId="2" borderId="0" xfId="0" applyFont="1" applyFill="1"/>
    <xf numFmtId="165" fontId="0" fillId="2" borderId="41" xfId="0" applyNumberFormat="1" applyFill="1" applyBorder="1" applyAlignment="1">
      <alignment horizontal="centerContinuous"/>
    </xf>
    <xf numFmtId="165" fontId="0" fillId="0" borderId="41" xfId="0" applyNumberFormat="1" applyBorder="1" applyAlignment="1">
      <alignment horizontal="centerContinuous"/>
    </xf>
    <xf numFmtId="0" fontId="4" fillId="2" borderId="5" xfId="0" applyFont="1" applyFill="1" applyBorder="1"/>
    <xf numFmtId="11" fontId="0" fillId="2" borderId="42" xfId="0" applyNumberFormat="1" applyFill="1" applyBorder="1" applyAlignment="1">
      <alignment horizontal="centerContinuous"/>
    </xf>
    <xf numFmtId="0" fontId="0" fillId="2" borderId="42" xfId="0" quotePrefix="1" applyFill="1" applyBorder="1" applyAlignment="1">
      <alignment horizontal="left"/>
    </xf>
    <xf numFmtId="0" fontId="11" fillId="2" borderId="42" xfId="0" applyFont="1" applyFill="1" applyBorder="1"/>
    <xf numFmtId="0" fontId="11" fillId="2" borderId="42" xfId="0" applyFont="1" applyFill="1" applyBorder="1" applyAlignment="1">
      <alignment horizontal="left"/>
    </xf>
    <xf numFmtId="0" fontId="11" fillId="2" borderId="43" xfId="0" applyFont="1" applyFill="1" applyBorder="1"/>
    <xf numFmtId="164" fontId="11" fillId="2" borderId="42" xfId="0" applyNumberFormat="1" applyFont="1" applyFill="1" applyBorder="1" applyAlignment="1">
      <alignment horizontal="centerContinuous"/>
    </xf>
    <xf numFmtId="165" fontId="0" fillId="2" borderId="47" xfId="0" applyNumberFormat="1" applyFill="1" applyBorder="1" applyAlignment="1">
      <alignment horizontal="centerContinuous"/>
    </xf>
    <xf numFmtId="0" fontId="4" fillId="0" borderId="39" xfId="0" applyFont="1" applyBorder="1" applyAlignment="1">
      <alignment horizontal="centerContinuous"/>
    </xf>
    <xf numFmtId="0" fontId="4" fillId="2" borderId="39" xfId="0" applyFont="1" applyFill="1" applyBorder="1" applyAlignment="1">
      <alignment horizontal="centerContinuous"/>
    </xf>
    <xf numFmtId="0" fontId="4" fillId="2" borderId="42" xfId="0" applyFont="1" applyFill="1" applyBorder="1" applyAlignment="1">
      <alignment horizontal="left"/>
    </xf>
    <xf numFmtId="0" fontId="0" fillId="4" borderId="38" xfId="0" quotePrefix="1" applyFill="1" applyBorder="1" applyAlignment="1" applyProtection="1">
      <alignment horizontal="centerContinuous"/>
      <protection locked="0"/>
    </xf>
    <xf numFmtId="0" fontId="0" fillId="4" borderId="40" xfId="0" applyFill="1" applyBorder="1" applyAlignment="1" applyProtection="1">
      <alignment horizontal="centerContinuous"/>
      <protection locked="0"/>
    </xf>
    <xf numFmtId="0" fontId="0" fillId="4" borderId="41" xfId="0" quotePrefix="1" applyFill="1" applyBorder="1" applyAlignment="1" applyProtection="1">
      <alignment horizontal="centerContinuous"/>
      <protection locked="0"/>
    </xf>
    <xf numFmtId="0" fontId="0" fillId="8" borderId="54" xfId="0" applyFill="1" applyBorder="1" applyAlignment="1">
      <alignment horizontal="centerContinuous"/>
    </xf>
    <xf numFmtId="0" fontId="0" fillId="2" borderId="0" xfId="0" applyFill="1" applyProtection="1">
      <protection locked="0"/>
    </xf>
    <xf numFmtId="0" fontId="0" fillId="2" borderId="0" xfId="0" applyFill="1" applyAlignment="1" applyProtection="1">
      <alignment vertical="center"/>
      <protection locked="0"/>
    </xf>
    <xf numFmtId="0" fontId="0" fillId="2" borderId="0" xfId="0" applyFill="1" applyAlignment="1" applyProtection="1">
      <alignment horizontal="left"/>
      <protection locked="0"/>
    </xf>
    <xf numFmtId="0" fontId="11" fillId="2" borderId="0" xfId="0" applyFont="1" applyFill="1"/>
    <xf numFmtId="0" fontId="0" fillId="5" borderId="42" xfId="0" applyFill="1" applyBorder="1" applyAlignment="1" applyProtection="1">
      <alignment horizontal="centerContinuous"/>
      <protection locked="0"/>
    </xf>
    <xf numFmtId="0" fontId="0" fillId="5" borderId="42" xfId="0" applyFill="1" applyBorder="1"/>
    <xf numFmtId="14" fontId="0" fillId="0" borderId="0" xfId="0" applyNumberFormat="1" applyAlignment="1">
      <alignment vertical="center"/>
    </xf>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33" xfId="0" applyBorder="1" applyAlignment="1">
      <alignment vertical="center"/>
    </xf>
    <xf numFmtId="0" fontId="0" fillId="0" borderId="34" xfId="0" applyBorder="1" applyAlignment="1">
      <alignment vertical="center"/>
    </xf>
    <xf numFmtId="0" fontId="0" fillId="0" borderId="0" xfId="0" quotePrefix="1" applyAlignment="1">
      <alignment vertical="center"/>
    </xf>
    <xf numFmtId="14" fontId="0" fillId="0" borderId="13" xfId="0" applyNumberFormat="1" applyBorder="1" applyAlignment="1">
      <alignment vertical="center"/>
    </xf>
    <xf numFmtId="0" fontId="0" fillId="0" borderId="36" xfId="0" applyBorder="1"/>
    <xf numFmtId="0" fontId="0" fillId="2" borderId="36" xfId="0" applyFill="1" applyBorder="1" applyAlignment="1">
      <alignment horizontal="left"/>
    </xf>
    <xf numFmtId="0" fontId="17" fillId="2" borderId="45" xfId="0" applyFont="1" applyFill="1" applyBorder="1"/>
    <xf numFmtId="0" fontId="17" fillId="2" borderId="46" xfId="0" applyFont="1" applyFill="1" applyBorder="1"/>
    <xf numFmtId="0" fontId="0" fillId="2" borderId="55" xfId="0" applyFill="1" applyBorder="1"/>
    <xf numFmtId="164" fontId="0" fillId="0" borderId="42" xfId="0" applyNumberFormat="1" applyBorder="1" applyAlignment="1">
      <alignment horizontal="centerContinuous"/>
    </xf>
    <xf numFmtId="0" fontId="0" fillId="4" borderId="44" xfId="0" applyFill="1" applyBorder="1" applyAlignment="1" applyProtection="1">
      <alignment horizontal="centerContinuous"/>
      <protection locked="0"/>
    </xf>
    <xf numFmtId="0" fontId="0" fillId="4" borderId="45" xfId="0" applyFill="1" applyBorder="1" applyAlignment="1" applyProtection="1">
      <alignment horizontal="centerContinuous"/>
      <protection locked="0"/>
    </xf>
    <xf numFmtId="0" fontId="0" fillId="4" borderId="46" xfId="0" applyFill="1" applyBorder="1" applyAlignment="1" applyProtection="1">
      <alignment horizontal="centerContinuous"/>
      <protection locked="0"/>
    </xf>
    <xf numFmtId="0" fontId="0" fillId="4" borderId="45" xfId="0" applyFill="1" applyBorder="1" applyAlignment="1">
      <alignment horizontal="centerContinuous"/>
    </xf>
    <xf numFmtId="0" fontId="0" fillId="4" borderId="46" xfId="0" applyFill="1" applyBorder="1" applyAlignment="1">
      <alignment horizontal="centerContinuous"/>
    </xf>
    <xf numFmtId="0" fontId="0" fillId="0" borderId="0" xfId="0" applyAlignment="1">
      <alignment horizontal="left" vertical="center"/>
    </xf>
    <xf numFmtId="0" fontId="12" fillId="0" borderId="0" xfId="0" applyFont="1"/>
    <xf numFmtId="0" fontId="12" fillId="0" borderId="39" xfId="0" applyFont="1" applyBorder="1"/>
    <xf numFmtId="0" fontId="9" fillId="0" borderId="45" xfId="0" applyFont="1" applyBorder="1"/>
    <xf numFmtId="0" fontId="9" fillId="2" borderId="44" xfId="0" applyFont="1" applyFill="1" applyBorder="1"/>
    <xf numFmtId="0" fontId="0" fillId="5" borderId="42" xfId="0" applyFill="1" applyBorder="1" applyAlignment="1" applyProtection="1">
      <alignment horizontal="centerContinuous" vertical="center"/>
      <protection locked="0"/>
    </xf>
    <xf numFmtId="1" fontId="0" fillId="2" borderId="42" xfId="0" applyNumberFormat="1" applyFill="1" applyBorder="1" applyAlignment="1" applyProtection="1">
      <alignment horizontal="centerContinuous"/>
      <protection locked="0"/>
    </xf>
    <xf numFmtId="0" fontId="0" fillId="0" borderId="41" xfId="0" applyBorder="1"/>
    <xf numFmtId="0" fontId="4" fillId="0" borderId="42" xfId="0" applyFont="1" applyBorder="1" applyAlignment="1">
      <alignment vertical="center"/>
    </xf>
    <xf numFmtId="0" fontId="0" fillId="0" borderId="43" xfId="0" applyBorder="1"/>
    <xf numFmtId="2" fontId="0" fillId="0" borderId="42" xfId="0" applyNumberFormat="1" applyBorder="1" applyAlignment="1">
      <alignment horizontal="centerContinuous"/>
    </xf>
    <xf numFmtId="0" fontId="4" fillId="0" borderId="41" xfId="0" applyFont="1" applyBorder="1"/>
    <xf numFmtId="0" fontId="4" fillId="0" borderId="42" xfId="0" applyFont="1" applyBorder="1"/>
    <xf numFmtId="2" fontId="4" fillId="0" borderId="42" xfId="0" applyNumberFormat="1" applyFont="1" applyBorder="1" applyAlignment="1">
      <alignment horizontal="centerContinuous"/>
    </xf>
    <xf numFmtId="0" fontId="4" fillId="0" borderId="43" xfId="0" applyFont="1" applyBorder="1"/>
    <xf numFmtId="0" fontId="10" fillId="0" borderId="42" xfId="0" applyFont="1" applyBorder="1"/>
    <xf numFmtId="0" fontId="12" fillId="0" borderId="42" xfId="0" applyFont="1" applyBorder="1"/>
    <xf numFmtId="0" fontId="23" fillId="0" borderId="0" xfId="0" applyFont="1"/>
    <xf numFmtId="0" fontId="24" fillId="0" borderId="0" xfId="0" applyFont="1"/>
    <xf numFmtId="0" fontId="0" fillId="9" borderId="0" xfId="0" applyFill="1"/>
    <xf numFmtId="0" fontId="0" fillId="10" borderId="0" xfId="0" applyFill="1"/>
    <xf numFmtId="0" fontId="22" fillId="0" borderId="0" xfId="0" applyFont="1"/>
    <xf numFmtId="0" fontId="25" fillId="0" borderId="0" xfId="0" applyFont="1"/>
    <xf numFmtId="166" fontId="0" fillId="10" borderId="0" xfId="0" applyNumberFormat="1" applyFill="1"/>
    <xf numFmtId="0" fontId="0" fillId="11" borderId="0" xfId="0" applyFill="1"/>
    <xf numFmtId="2" fontId="0" fillId="9" borderId="0" xfId="0" applyNumberFormat="1" applyFill="1"/>
    <xf numFmtId="0" fontId="25" fillId="0" borderId="15" xfId="0" applyFont="1" applyBorder="1"/>
    <xf numFmtId="0" fontId="9" fillId="2" borderId="42" xfId="0" applyFont="1" applyFill="1" applyBorder="1"/>
    <xf numFmtId="0" fontId="0" fillId="4" borderId="41" xfId="0" applyFill="1" applyBorder="1" applyAlignment="1" applyProtection="1">
      <alignment horizontal="center"/>
      <protection locked="0"/>
    </xf>
    <xf numFmtId="0" fontId="0" fillId="4" borderId="42" xfId="0" applyFill="1" applyBorder="1" applyAlignment="1" applyProtection="1">
      <alignment horizontal="center"/>
      <protection locked="0"/>
    </xf>
    <xf numFmtId="0" fontId="0" fillId="4" borderId="43" xfId="0" applyFill="1" applyBorder="1" applyAlignment="1" applyProtection="1">
      <alignment horizontal="center"/>
      <protection locked="0"/>
    </xf>
    <xf numFmtId="0" fontId="0" fillId="2" borderId="42" xfId="0" applyFill="1" applyBorder="1" applyAlignment="1">
      <alignment horizontal="center"/>
    </xf>
    <xf numFmtId="2" fontId="0" fillId="2" borderId="42" xfId="0" applyNumberFormat="1" applyFill="1" applyBorder="1" applyAlignment="1">
      <alignment horizontal="center"/>
    </xf>
    <xf numFmtId="164" fontId="4" fillId="3" borderId="42" xfId="0" applyNumberFormat="1" applyFont="1" applyFill="1" applyBorder="1" applyAlignment="1">
      <alignment horizontal="center"/>
    </xf>
    <xf numFmtId="12" fontId="0" fillId="4" borderId="50" xfId="0" applyNumberFormat="1" applyFill="1" applyBorder="1" applyAlignment="1" applyProtection="1">
      <alignment horizontal="center"/>
      <protection locked="0"/>
    </xf>
    <xf numFmtId="12" fontId="0" fillId="4" borderId="42" xfId="0" applyNumberFormat="1" applyFill="1" applyBorder="1" applyAlignment="1" applyProtection="1">
      <alignment horizontal="center"/>
      <protection locked="0"/>
    </xf>
    <xf numFmtId="0" fontId="0" fillId="4" borderId="50" xfId="0" applyFill="1" applyBorder="1" applyAlignment="1" applyProtection="1">
      <alignment horizontal="center"/>
      <protection locked="0"/>
    </xf>
    <xf numFmtId="0" fontId="0" fillId="4" borderId="52" xfId="0" applyFill="1" applyBorder="1" applyAlignment="1" applyProtection="1">
      <alignment horizontal="center"/>
      <protection locked="0"/>
    </xf>
    <xf numFmtId="0" fontId="0" fillId="4" borderId="45" xfId="0" applyFill="1" applyBorder="1" applyAlignment="1" applyProtection="1">
      <alignment horizontal="center"/>
      <protection locked="0"/>
    </xf>
    <xf numFmtId="165" fontId="0" fillId="4" borderId="50" xfId="0" applyNumberFormat="1" applyFill="1" applyBorder="1" applyAlignment="1" applyProtection="1">
      <alignment horizontal="center"/>
      <protection locked="0"/>
    </xf>
    <xf numFmtId="165" fontId="0" fillId="4" borderId="42" xfId="0" applyNumberFormat="1" applyFill="1" applyBorder="1" applyAlignment="1" applyProtection="1">
      <alignment horizontal="center"/>
      <protection locked="0"/>
    </xf>
    <xf numFmtId="0" fontId="0" fillId="2" borderId="50" xfId="0" applyFill="1" applyBorder="1" applyAlignment="1">
      <alignment horizontal="center"/>
    </xf>
    <xf numFmtId="0" fontId="0" fillId="4" borderId="41" xfId="0" quotePrefix="1" applyFill="1" applyBorder="1" applyAlignment="1" applyProtection="1">
      <alignment horizontal="center"/>
      <protection locked="0"/>
    </xf>
    <xf numFmtId="0" fontId="0" fillId="4" borderId="42" xfId="0" quotePrefix="1" applyFill="1" applyBorder="1" applyAlignment="1" applyProtection="1">
      <alignment horizontal="center"/>
      <protection locked="0"/>
    </xf>
    <xf numFmtId="0" fontId="0" fillId="4" borderId="43" xfId="0" quotePrefix="1" applyFill="1" applyBorder="1" applyAlignment="1" applyProtection="1">
      <alignment horizontal="center"/>
      <protection locked="0"/>
    </xf>
    <xf numFmtId="0" fontId="0" fillId="2" borderId="38" xfId="0" quotePrefix="1" applyFill="1" applyBorder="1" applyAlignment="1">
      <alignment horizontal="center"/>
    </xf>
    <xf numFmtId="0" fontId="0" fillId="2" borderId="39" xfId="0" quotePrefix="1" applyFill="1" applyBorder="1" applyAlignment="1">
      <alignment horizontal="center"/>
    </xf>
    <xf numFmtId="0" fontId="0" fillId="2" borderId="40" xfId="0" quotePrefix="1" applyFill="1" applyBorder="1" applyAlignment="1">
      <alignment horizontal="center"/>
    </xf>
    <xf numFmtId="0" fontId="0" fillId="2" borderId="41" xfId="0" quotePrefix="1" applyFill="1" applyBorder="1" applyAlignment="1">
      <alignment horizontal="center"/>
    </xf>
    <xf numFmtId="0" fontId="0" fillId="2" borderId="42" xfId="0" quotePrefix="1" applyFill="1" applyBorder="1" applyAlignment="1">
      <alignment horizontal="center"/>
    </xf>
    <xf numFmtId="0" fontId="0" fillId="2" borderId="43" xfId="0" quotePrefix="1" applyFill="1" applyBorder="1" applyAlignment="1">
      <alignment horizontal="center"/>
    </xf>
    <xf numFmtId="0" fontId="4" fillId="2" borderId="42" xfId="0" applyFont="1" applyFill="1" applyBorder="1" applyAlignment="1">
      <alignment horizontal="center"/>
    </xf>
    <xf numFmtId="0" fontId="0" fillId="4" borderId="41" xfId="0" applyFill="1" applyBorder="1" applyAlignment="1" applyProtection="1">
      <alignment horizontal="center" vertical="center"/>
      <protection locked="0"/>
    </xf>
    <xf numFmtId="0" fontId="0" fillId="4" borderId="42" xfId="0" applyFill="1" applyBorder="1" applyAlignment="1" applyProtection="1">
      <alignment horizontal="center" vertical="center"/>
      <protection locked="0"/>
    </xf>
    <xf numFmtId="0" fontId="0" fillId="4" borderId="43" xfId="0" applyFill="1" applyBorder="1" applyAlignment="1" applyProtection="1">
      <alignment horizontal="center" vertical="center"/>
      <protection locked="0"/>
    </xf>
    <xf numFmtId="0" fontId="0" fillId="4" borderId="38" xfId="0" applyFill="1" applyBorder="1" applyAlignment="1" applyProtection="1">
      <alignment horizontal="center" vertical="center"/>
      <protection locked="0"/>
    </xf>
    <xf numFmtId="0" fontId="0" fillId="4" borderId="39" xfId="0" applyFill="1" applyBorder="1" applyAlignment="1" applyProtection="1">
      <alignment horizontal="center" vertical="center"/>
      <protection locked="0"/>
    </xf>
    <xf numFmtId="0" fontId="0" fillId="4" borderId="40" xfId="0" applyFill="1" applyBorder="1" applyAlignment="1" applyProtection="1">
      <alignment horizontal="center" vertical="center"/>
      <protection locked="0"/>
    </xf>
    <xf numFmtId="0" fontId="0" fillId="4" borderId="39" xfId="0" applyFill="1" applyBorder="1" applyAlignment="1" applyProtection="1">
      <alignment horizontal="center"/>
      <protection locked="0"/>
    </xf>
    <xf numFmtId="0" fontId="0" fillId="4" borderId="38" xfId="0" applyFill="1" applyBorder="1" applyAlignment="1" applyProtection="1">
      <alignment horizontal="center"/>
      <protection locked="0"/>
    </xf>
    <xf numFmtId="2" fontId="0" fillId="4" borderId="42" xfId="0" quotePrefix="1" applyNumberFormat="1" applyFill="1" applyBorder="1" applyAlignment="1" applyProtection="1">
      <alignment horizontal="center"/>
      <protection locked="0"/>
    </xf>
    <xf numFmtId="14" fontId="0" fillId="4" borderId="16" xfId="0" quotePrefix="1" applyNumberFormat="1" applyFill="1" applyBorder="1" applyAlignment="1" applyProtection="1">
      <alignment horizontal="left"/>
      <protection locked="0"/>
    </xf>
    <xf numFmtId="14" fontId="0" fillId="4" borderId="10" xfId="0" quotePrefix="1" applyNumberFormat="1" applyFill="1" applyBorder="1" applyAlignment="1" applyProtection="1">
      <alignment horizontal="left"/>
      <protection locked="0"/>
    </xf>
    <xf numFmtId="14" fontId="0" fillId="4" borderId="27" xfId="0" quotePrefix="1" applyNumberFormat="1" applyFill="1" applyBorder="1" applyAlignment="1" applyProtection="1">
      <alignment horizontal="left"/>
      <protection locked="0"/>
    </xf>
    <xf numFmtId="0" fontId="0" fillId="4" borderId="44" xfId="0" applyFill="1" applyBorder="1" applyAlignment="1" applyProtection="1">
      <alignment horizontal="center"/>
      <protection locked="0"/>
    </xf>
    <xf numFmtId="0" fontId="0" fillId="4" borderId="46" xfId="0" applyFill="1" applyBorder="1" applyAlignment="1" applyProtection="1">
      <alignment horizontal="center"/>
      <protection locked="0"/>
    </xf>
    <xf numFmtId="2" fontId="0" fillId="2" borderId="39" xfId="0" applyNumberFormat="1" applyFill="1" applyBorder="1" applyAlignment="1">
      <alignment horizontal="center"/>
    </xf>
    <xf numFmtId="0" fontId="4" fillId="8" borderId="11" xfId="0" applyFont="1" applyFill="1" applyBorder="1" applyAlignment="1">
      <alignment horizontal="center"/>
    </xf>
    <xf numFmtId="0" fontId="4" fillId="8" borderId="12" xfId="0" applyFont="1" applyFill="1" applyBorder="1" applyAlignment="1">
      <alignment horizontal="center"/>
    </xf>
    <xf numFmtId="0" fontId="4" fillId="8" borderId="54" xfId="0" applyFont="1" applyFill="1" applyBorder="1" applyAlignment="1">
      <alignment horizontal="center"/>
    </xf>
    <xf numFmtId="0" fontId="0" fillId="4" borderId="40" xfId="0" applyFill="1" applyBorder="1" applyAlignment="1" applyProtection="1">
      <alignment horizontal="center"/>
      <protection locked="0"/>
    </xf>
    <xf numFmtId="0" fontId="0" fillId="4" borderId="51" xfId="0" applyFill="1" applyBorder="1" applyAlignment="1" applyProtection="1">
      <alignment horizontal="center"/>
      <protection locked="0"/>
    </xf>
    <xf numFmtId="14" fontId="0" fillId="2" borderId="16" xfId="0" applyNumberFormat="1" applyFill="1" applyBorder="1" applyAlignment="1">
      <alignment horizontal="left"/>
    </xf>
    <xf numFmtId="14" fontId="0" fillId="2" borderId="10" xfId="0" applyNumberFormat="1" applyFill="1" applyBorder="1" applyAlignment="1">
      <alignment horizontal="left"/>
    </xf>
    <xf numFmtId="14" fontId="0" fillId="2" borderId="27" xfId="0" applyNumberFormat="1" applyFill="1" applyBorder="1" applyAlignment="1">
      <alignment horizontal="left"/>
    </xf>
    <xf numFmtId="14" fontId="0" fillId="2" borderId="16" xfId="0" applyNumberFormat="1" applyFill="1" applyBorder="1" applyAlignment="1">
      <alignment horizontal="left" vertical="top"/>
    </xf>
    <xf numFmtId="14" fontId="0" fillId="2" borderId="10" xfId="0" applyNumberFormat="1" applyFill="1" applyBorder="1" applyAlignment="1">
      <alignment horizontal="left" vertical="top"/>
    </xf>
    <xf numFmtId="14" fontId="0" fillId="2" borderId="27" xfId="0" applyNumberFormat="1" applyFill="1" applyBorder="1" applyAlignment="1">
      <alignment horizontal="left" vertical="top"/>
    </xf>
    <xf numFmtId="0" fontId="0" fillId="2" borderId="48" xfId="0" applyFill="1" applyBorder="1" applyAlignment="1">
      <alignment horizontal="center" vertical="top" wrapText="1"/>
    </xf>
    <xf numFmtId="0" fontId="0" fillId="2" borderId="47" xfId="0" applyFill="1" applyBorder="1" applyAlignment="1">
      <alignment horizontal="center" vertical="top" wrapText="1"/>
    </xf>
    <xf numFmtId="0" fontId="0" fillId="2" borderId="49" xfId="0" applyFill="1" applyBorder="1" applyAlignment="1">
      <alignment horizontal="center" vertical="top" wrapText="1"/>
    </xf>
    <xf numFmtId="0" fontId="0" fillId="2" borderId="5" xfId="0" applyFill="1" applyBorder="1" applyAlignment="1">
      <alignment horizontal="center" vertical="top" wrapText="1"/>
    </xf>
    <xf numFmtId="0" fontId="0" fillId="2" borderId="0" xfId="0" applyFill="1" applyAlignment="1">
      <alignment horizontal="center" vertical="top" wrapText="1"/>
    </xf>
    <xf numFmtId="0" fontId="0" fillId="2" borderId="6" xfId="0" applyFill="1" applyBorder="1" applyAlignment="1">
      <alignment horizontal="center" vertical="top" wrapText="1"/>
    </xf>
    <xf numFmtId="0" fontId="0" fillId="2" borderId="7" xfId="0" applyFill="1" applyBorder="1" applyAlignment="1">
      <alignment horizontal="center" vertical="top" wrapText="1"/>
    </xf>
    <xf numFmtId="0" fontId="0" fillId="2" borderId="8" xfId="0" applyFill="1" applyBorder="1" applyAlignment="1">
      <alignment horizontal="center" vertical="top" wrapText="1"/>
    </xf>
    <xf numFmtId="0" fontId="0" fillId="2" borderId="9" xfId="0" applyFill="1" applyBorder="1" applyAlignment="1">
      <alignment horizontal="center" vertical="top" wrapText="1"/>
    </xf>
    <xf numFmtId="165" fontId="5" fillId="3" borderId="11" xfId="0" applyNumberFormat="1" applyFont="1" applyFill="1" applyBorder="1" applyAlignment="1">
      <alignment horizontal="center" vertical="center" wrapText="1"/>
    </xf>
    <xf numFmtId="165" fontId="5" fillId="3" borderId="54" xfId="0" applyNumberFormat="1" applyFont="1" applyFill="1" applyBorder="1" applyAlignment="1">
      <alignment horizontal="center" vertical="center" wrapText="1"/>
    </xf>
    <xf numFmtId="164" fontId="0" fillId="2" borderId="3" xfId="0" applyNumberFormat="1" applyFill="1" applyBorder="1" applyAlignment="1">
      <alignment horizontal="center"/>
    </xf>
    <xf numFmtId="0" fontId="5" fillId="4" borderId="11" xfId="0" applyFont="1" applyFill="1" applyBorder="1" applyAlignment="1">
      <alignment horizontal="center" vertical="center" wrapText="1"/>
    </xf>
    <xf numFmtId="0" fontId="5" fillId="4" borderId="54" xfId="0" applyFont="1" applyFill="1" applyBorder="1" applyAlignment="1">
      <alignment horizontal="center" vertical="center" wrapText="1"/>
    </xf>
    <xf numFmtId="0" fontId="0" fillId="0" borderId="0" xfId="0" applyAlignment="1">
      <alignment horizontal="left" vertical="top" wrapText="1"/>
    </xf>
  </cellXfs>
  <cellStyles count="2">
    <cellStyle name="Hyperlink" xfId="1" builtinId="8"/>
    <cellStyle name="Normal" xfId="0" builtinId="0"/>
  </cellStyles>
  <dxfs count="16">
    <dxf>
      <fill>
        <patternFill>
          <bgColor rgb="FFCCFFCC"/>
        </patternFill>
      </fill>
    </dxf>
    <dxf>
      <fill>
        <patternFill>
          <bgColor rgb="FFFF7C80"/>
        </patternFill>
      </fill>
    </dxf>
    <dxf>
      <fill>
        <patternFill>
          <bgColor rgb="FFFF0000"/>
        </patternFill>
      </fill>
    </dxf>
    <dxf>
      <font>
        <color rgb="FFFF0000"/>
      </font>
    </dxf>
    <dxf>
      <fill>
        <patternFill>
          <bgColor rgb="FFFF9999"/>
        </patternFill>
      </fill>
    </dxf>
    <dxf>
      <fill>
        <patternFill>
          <bgColor rgb="FFF8CBAD"/>
        </patternFill>
      </fill>
    </dxf>
    <dxf>
      <fill>
        <patternFill>
          <bgColor rgb="FFCCFFCC"/>
        </patternFill>
      </fill>
    </dxf>
    <dxf>
      <fill>
        <patternFill>
          <bgColor rgb="FFFF9999"/>
        </patternFill>
      </fill>
    </dxf>
    <dxf>
      <font>
        <color theme="1"/>
      </font>
      <fill>
        <patternFill>
          <bgColor rgb="FFCCFFCC"/>
        </patternFill>
      </fill>
    </dxf>
    <dxf>
      <fill>
        <patternFill>
          <bgColor rgb="FFFF9999"/>
        </patternFill>
      </fill>
    </dxf>
    <dxf>
      <fill>
        <patternFill>
          <bgColor rgb="FFCCFFCC"/>
        </patternFill>
      </fill>
    </dxf>
    <dxf>
      <font>
        <color rgb="FFFF0000"/>
      </font>
    </dxf>
    <dxf>
      <font>
        <color theme="0"/>
      </font>
      <fill>
        <patternFill>
          <bgColor theme="0"/>
        </patternFill>
      </fill>
    </dxf>
    <dxf>
      <font>
        <color rgb="FFFF0000"/>
      </font>
      <fill>
        <patternFill>
          <bgColor rgb="FFFF7C80"/>
        </patternFill>
      </fill>
    </dxf>
    <dxf>
      <font>
        <color theme="1"/>
      </font>
    </dxf>
    <dxf>
      <font>
        <color theme="1"/>
      </font>
    </dxf>
  </dxfs>
  <tableStyles count="0" defaultTableStyle="TableStyleMedium2" defaultPivotStyle="PivotStyleLight16"/>
  <colors>
    <mruColors>
      <color rgb="FFFFFFCC"/>
      <color rgb="FFFFFF99"/>
      <color rgb="FFD9E1F2"/>
      <color rgb="FFFF7C80"/>
      <color rgb="FFFF5050"/>
      <color rgb="FFFFCCFF"/>
      <color rgb="FFF8CBAD"/>
      <color rgb="FFFF99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8.png"/><Relationship Id="rId5" Type="http://schemas.openxmlformats.org/officeDocument/2006/relationships/image" Target="../media/image1.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3" Type="http://schemas.openxmlformats.org/officeDocument/2006/relationships/image" Target="../media/image25.png"/><Relationship Id="rId18" Type="http://schemas.openxmlformats.org/officeDocument/2006/relationships/image" Target="../media/image30.png"/><Relationship Id="rId26" Type="http://schemas.openxmlformats.org/officeDocument/2006/relationships/image" Target="../media/image38.png"/><Relationship Id="rId39" Type="http://schemas.openxmlformats.org/officeDocument/2006/relationships/image" Target="../media/image51.jpeg"/><Relationship Id="rId21" Type="http://schemas.openxmlformats.org/officeDocument/2006/relationships/image" Target="../media/image33.png"/><Relationship Id="rId34" Type="http://schemas.openxmlformats.org/officeDocument/2006/relationships/image" Target="../media/image46.png"/><Relationship Id="rId7" Type="http://schemas.openxmlformats.org/officeDocument/2006/relationships/image" Target="../media/image19.png"/><Relationship Id="rId2" Type="http://schemas.openxmlformats.org/officeDocument/2006/relationships/image" Target="../media/image14.png"/><Relationship Id="rId16" Type="http://schemas.openxmlformats.org/officeDocument/2006/relationships/image" Target="../media/image28.png"/><Relationship Id="rId20" Type="http://schemas.openxmlformats.org/officeDocument/2006/relationships/image" Target="../media/image32.png"/><Relationship Id="rId29" Type="http://schemas.openxmlformats.org/officeDocument/2006/relationships/image" Target="../media/image41.png"/><Relationship Id="rId41" Type="http://schemas.openxmlformats.org/officeDocument/2006/relationships/image" Target="../media/image10.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24" Type="http://schemas.openxmlformats.org/officeDocument/2006/relationships/image" Target="../media/image36.png"/><Relationship Id="rId32" Type="http://schemas.openxmlformats.org/officeDocument/2006/relationships/image" Target="../media/image44.png"/><Relationship Id="rId37" Type="http://schemas.openxmlformats.org/officeDocument/2006/relationships/image" Target="../media/image49.png"/><Relationship Id="rId40" Type="http://schemas.openxmlformats.org/officeDocument/2006/relationships/image" Target="../media/image9.png"/><Relationship Id="rId5" Type="http://schemas.openxmlformats.org/officeDocument/2006/relationships/image" Target="../media/image17.png"/><Relationship Id="rId15" Type="http://schemas.openxmlformats.org/officeDocument/2006/relationships/image" Target="../media/image27.png"/><Relationship Id="rId23" Type="http://schemas.openxmlformats.org/officeDocument/2006/relationships/image" Target="../media/image35.png"/><Relationship Id="rId28" Type="http://schemas.openxmlformats.org/officeDocument/2006/relationships/image" Target="../media/image40.png"/><Relationship Id="rId36" Type="http://schemas.openxmlformats.org/officeDocument/2006/relationships/image" Target="../media/image48.png"/><Relationship Id="rId10" Type="http://schemas.openxmlformats.org/officeDocument/2006/relationships/image" Target="../media/image22.png"/><Relationship Id="rId19" Type="http://schemas.openxmlformats.org/officeDocument/2006/relationships/image" Target="../media/image31.png"/><Relationship Id="rId31" Type="http://schemas.openxmlformats.org/officeDocument/2006/relationships/image" Target="../media/image43.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 Id="rId22" Type="http://schemas.openxmlformats.org/officeDocument/2006/relationships/image" Target="../media/image34.png"/><Relationship Id="rId27" Type="http://schemas.openxmlformats.org/officeDocument/2006/relationships/image" Target="../media/image39.png"/><Relationship Id="rId30" Type="http://schemas.openxmlformats.org/officeDocument/2006/relationships/image" Target="../media/image42.png"/><Relationship Id="rId35" Type="http://schemas.openxmlformats.org/officeDocument/2006/relationships/image" Target="../media/image47.png"/><Relationship Id="rId8" Type="http://schemas.openxmlformats.org/officeDocument/2006/relationships/image" Target="../media/image20.png"/><Relationship Id="rId3" Type="http://schemas.openxmlformats.org/officeDocument/2006/relationships/image" Target="../media/image15.png"/><Relationship Id="rId12" Type="http://schemas.openxmlformats.org/officeDocument/2006/relationships/image" Target="../media/image24.png"/><Relationship Id="rId17" Type="http://schemas.openxmlformats.org/officeDocument/2006/relationships/image" Target="../media/image29.png"/><Relationship Id="rId25" Type="http://schemas.openxmlformats.org/officeDocument/2006/relationships/image" Target="../media/image37.png"/><Relationship Id="rId33" Type="http://schemas.openxmlformats.org/officeDocument/2006/relationships/image" Target="../media/image45.png"/><Relationship Id="rId38"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oneCell">
    <xdr:from>
      <xdr:col>41</xdr:col>
      <xdr:colOff>38099</xdr:colOff>
      <xdr:row>1</xdr:row>
      <xdr:rowOff>142874</xdr:rowOff>
    </xdr:from>
    <xdr:to>
      <xdr:col>54</xdr:col>
      <xdr:colOff>154641</xdr:colOff>
      <xdr:row>7</xdr:row>
      <xdr:rowOff>60779</xdr:rowOff>
    </xdr:to>
    <xdr:pic>
      <xdr:nvPicPr>
        <xdr:cNvPr id="6" name="Picture 5">
          <a:extLst>
            <a:ext uri="{FF2B5EF4-FFF2-40B4-BE49-F238E27FC236}">
              <a16:creationId xmlns:a16="http://schemas.microsoft.com/office/drawing/2014/main" id="{E2F3A84B-40D2-43BF-800C-CA8885D1E0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708" r="18750"/>
        <a:stretch/>
      </xdr:blipFill>
      <xdr:spPr>
        <a:xfrm>
          <a:off x="17011649" y="342899"/>
          <a:ext cx="2743200" cy="1166801"/>
        </a:xfrm>
        <a:prstGeom prst="rect">
          <a:avLst/>
        </a:prstGeom>
      </xdr:spPr>
    </xdr:pic>
    <xdr:clientData/>
  </xdr:twoCellAnchor>
  <xdr:twoCellAnchor editAs="oneCell">
    <xdr:from>
      <xdr:col>1</xdr:col>
      <xdr:colOff>28574</xdr:colOff>
      <xdr:row>2</xdr:row>
      <xdr:rowOff>46793</xdr:rowOff>
    </xdr:from>
    <xdr:to>
      <xdr:col>14</xdr:col>
      <xdr:colOff>133686</xdr:colOff>
      <xdr:row>6</xdr:row>
      <xdr:rowOff>96348</xdr:rowOff>
    </xdr:to>
    <xdr:pic>
      <xdr:nvPicPr>
        <xdr:cNvPr id="7" name="Picture 6">
          <a:extLst>
            <a:ext uri="{FF2B5EF4-FFF2-40B4-BE49-F238E27FC236}">
              <a16:creationId xmlns:a16="http://schemas.microsoft.com/office/drawing/2014/main" id="{67CAB9F2-C7BB-492C-A7A4-EEAC48D78E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1124" y="494468"/>
          <a:ext cx="2743200" cy="863663"/>
        </a:xfrm>
        <a:prstGeom prst="rect">
          <a:avLst/>
        </a:prstGeom>
      </xdr:spPr>
    </xdr:pic>
    <xdr:clientData/>
  </xdr:twoCellAnchor>
  <xdr:twoCellAnchor>
    <xdr:from>
      <xdr:col>28</xdr:col>
      <xdr:colOff>64866</xdr:colOff>
      <xdr:row>97</xdr:row>
      <xdr:rowOff>32317</xdr:rowOff>
    </xdr:from>
    <xdr:to>
      <xdr:col>53</xdr:col>
      <xdr:colOff>146156</xdr:colOff>
      <xdr:row>116</xdr:row>
      <xdr:rowOff>181939</xdr:rowOff>
    </xdr:to>
    <xdr:sp macro="" textlink="">
      <xdr:nvSpPr>
        <xdr:cNvPr id="10" name="TextBox 9">
          <a:extLst>
            <a:ext uri="{FF2B5EF4-FFF2-40B4-BE49-F238E27FC236}">
              <a16:creationId xmlns:a16="http://schemas.microsoft.com/office/drawing/2014/main" id="{A65179A8-F7C0-4BF7-82E0-DCB2760EBD06}"/>
            </a:ext>
          </a:extLst>
        </xdr:cNvPr>
        <xdr:cNvSpPr txBox="1"/>
      </xdr:nvSpPr>
      <xdr:spPr>
        <a:xfrm>
          <a:off x="5613981" y="20050870"/>
          <a:ext cx="5031079" cy="4307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i="1">
            <a:solidFill>
              <a:srgbClr val="7030A0"/>
            </a:solidFill>
          </a:endParaRPr>
        </a:p>
      </xdr:txBody>
    </xdr:sp>
    <xdr:clientData/>
  </xdr:twoCellAnchor>
  <xdr:twoCellAnchor editAs="oneCell">
    <xdr:from>
      <xdr:col>28</xdr:col>
      <xdr:colOff>188882</xdr:colOff>
      <xdr:row>65</xdr:row>
      <xdr:rowOff>76492</xdr:rowOff>
    </xdr:from>
    <xdr:to>
      <xdr:col>40</xdr:col>
      <xdr:colOff>57978</xdr:colOff>
      <xdr:row>74</xdr:row>
      <xdr:rowOff>121297</xdr:rowOff>
    </xdr:to>
    <xdr:pic>
      <xdr:nvPicPr>
        <xdr:cNvPr id="2" name="Picture 1">
          <a:extLst>
            <a:ext uri="{FF2B5EF4-FFF2-40B4-BE49-F238E27FC236}">
              <a16:creationId xmlns:a16="http://schemas.microsoft.com/office/drawing/2014/main" id="{89A9778F-43FA-4392-B410-96D133D8F962}"/>
            </a:ext>
          </a:extLst>
        </xdr:cNvPr>
        <xdr:cNvPicPr>
          <a:picLocks noChangeAspect="1"/>
        </xdr:cNvPicPr>
      </xdr:nvPicPr>
      <xdr:blipFill>
        <a:blip xmlns:r="http://schemas.openxmlformats.org/officeDocument/2006/relationships" r:embed="rId3"/>
        <a:stretch>
          <a:fillRect/>
        </a:stretch>
      </xdr:blipFill>
      <xdr:spPr>
        <a:xfrm>
          <a:off x="5754795" y="12964231"/>
          <a:ext cx="2254487" cy="20077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38099</xdr:colOff>
      <xdr:row>1</xdr:row>
      <xdr:rowOff>142874</xdr:rowOff>
    </xdr:from>
    <xdr:to>
      <xdr:col>53</xdr:col>
      <xdr:colOff>180973</xdr:colOff>
      <xdr:row>7</xdr:row>
      <xdr:rowOff>63581</xdr:rowOff>
    </xdr:to>
    <xdr:pic>
      <xdr:nvPicPr>
        <xdr:cNvPr id="2" name="Picture 1">
          <a:extLst>
            <a:ext uri="{FF2B5EF4-FFF2-40B4-BE49-F238E27FC236}">
              <a16:creationId xmlns:a16="http://schemas.microsoft.com/office/drawing/2014/main" id="{BFE1435A-C43F-4680-A38D-4AC3FE6F17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708" r="18750"/>
        <a:stretch/>
      </xdr:blipFill>
      <xdr:spPr>
        <a:xfrm>
          <a:off x="17011649" y="342899"/>
          <a:ext cx="2743200" cy="1166801"/>
        </a:xfrm>
        <a:prstGeom prst="rect">
          <a:avLst/>
        </a:prstGeom>
      </xdr:spPr>
    </xdr:pic>
    <xdr:clientData/>
  </xdr:twoCellAnchor>
  <xdr:twoCellAnchor editAs="oneCell">
    <xdr:from>
      <xdr:col>0</xdr:col>
      <xdr:colOff>28574</xdr:colOff>
      <xdr:row>2</xdr:row>
      <xdr:rowOff>46793</xdr:rowOff>
    </xdr:from>
    <xdr:to>
      <xdr:col>13</xdr:col>
      <xdr:colOff>171450</xdr:colOff>
      <xdr:row>6</xdr:row>
      <xdr:rowOff>91306</xdr:rowOff>
    </xdr:to>
    <xdr:pic>
      <xdr:nvPicPr>
        <xdr:cNvPr id="5" name="Picture 4">
          <a:extLst>
            <a:ext uri="{FF2B5EF4-FFF2-40B4-BE49-F238E27FC236}">
              <a16:creationId xmlns:a16="http://schemas.microsoft.com/office/drawing/2014/main" id="{F77AE2E8-3CC8-3D39-47CA-2682ED6422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1124" y="494468"/>
          <a:ext cx="2743200" cy="8636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60</xdr:col>
      <xdr:colOff>28575</xdr:colOff>
      <xdr:row>2</xdr:row>
      <xdr:rowOff>204787</xdr:rowOff>
    </xdr:from>
    <xdr:to>
      <xdr:col>77</xdr:col>
      <xdr:colOff>39092</xdr:colOff>
      <xdr:row>53</xdr:row>
      <xdr:rowOff>6101</xdr:rowOff>
    </xdr:to>
    <xdr:pic>
      <xdr:nvPicPr>
        <xdr:cNvPr id="2" name="Picture 1">
          <a:extLst>
            <a:ext uri="{FF2B5EF4-FFF2-40B4-BE49-F238E27FC236}">
              <a16:creationId xmlns:a16="http://schemas.microsoft.com/office/drawing/2014/main" id="{CFBA52D3-F750-F967-02DF-F5A1EC18D633}"/>
            </a:ext>
          </a:extLst>
        </xdr:cNvPr>
        <xdr:cNvPicPr>
          <a:picLocks noChangeAspect="1"/>
        </xdr:cNvPicPr>
      </xdr:nvPicPr>
      <xdr:blipFill>
        <a:blip xmlns:r="http://schemas.openxmlformats.org/officeDocument/2006/relationships" r:embed="rId1"/>
        <a:stretch>
          <a:fillRect/>
        </a:stretch>
      </xdr:blipFill>
      <xdr:spPr>
        <a:xfrm>
          <a:off x="12030075" y="642937"/>
          <a:ext cx="7097117" cy="9593014"/>
        </a:xfrm>
        <a:prstGeom prst="rect">
          <a:avLst/>
        </a:prstGeom>
      </xdr:spPr>
    </xdr:pic>
    <xdr:clientData/>
  </xdr:twoCellAnchor>
  <xdr:twoCellAnchor editAs="oneCell">
    <xdr:from>
      <xdr:col>78</xdr:col>
      <xdr:colOff>571501</xdr:colOff>
      <xdr:row>7</xdr:row>
      <xdr:rowOff>166688</xdr:rowOff>
    </xdr:from>
    <xdr:to>
      <xdr:col>90</xdr:col>
      <xdr:colOff>143839</xdr:colOff>
      <xdr:row>48</xdr:row>
      <xdr:rowOff>167778</xdr:rowOff>
    </xdr:to>
    <xdr:pic>
      <xdr:nvPicPr>
        <xdr:cNvPr id="3" name="Picture 2">
          <a:extLst>
            <a:ext uri="{FF2B5EF4-FFF2-40B4-BE49-F238E27FC236}">
              <a16:creationId xmlns:a16="http://schemas.microsoft.com/office/drawing/2014/main" id="{A0DD3168-17C2-571B-C858-426776CE59A7}"/>
            </a:ext>
          </a:extLst>
        </xdr:cNvPr>
        <xdr:cNvPicPr>
          <a:picLocks noChangeAspect="1"/>
        </xdr:cNvPicPr>
      </xdr:nvPicPr>
      <xdr:blipFill>
        <a:blip xmlns:r="http://schemas.openxmlformats.org/officeDocument/2006/relationships" r:embed="rId2"/>
        <a:stretch>
          <a:fillRect/>
        </a:stretch>
      </xdr:blipFill>
      <xdr:spPr>
        <a:xfrm>
          <a:off x="30861001" y="1500188"/>
          <a:ext cx="7001838" cy="7811590"/>
        </a:xfrm>
        <a:prstGeom prst="rect">
          <a:avLst/>
        </a:prstGeom>
      </xdr:spPr>
    </xdr:pic>
    <xdr:clientData/>
  </xdr:twoCellAnchor>
  <xdr:twoCellAnchor editAs="oneCell">
    <xdr:from>
      <xdr:col>88</xdr:col>
      <xdr:colOff>309563</xdr:colOff>
      <xdr:row>5</xdr:row>
      <xdr:rowOff>119062</xdr:rowOff>
    </xdr:from>
    <xdr:to>
      <xdr:col>99</xdr:col>
      <xdr:colOff>548657</xdr:colOff>
      <xdr:row>51</xdr:row>
      <xdr:rowOff>177443</xdr:rowOff>
    </xdr:to>
    <xdr:pic>
      <xdr:nvPicPr>
        <xdr:cNvPr id="4" name="Picture 3">
          <a:extLst>
            <a:ext uri="{FF2B5EF4-FFF2-40B4-BE49-F238E27FC236}">
              <a16:creationId xmlns:a16="http://schemas.microsoft.com/office/drawing/2014/main" id="{AA08740D-6414-8F73-8DA0-CEEE93488664}"/>
            </a:ext>
          </a:extLst>
        </xdr:cNvPr>
        <xdr:cNvPicPr>
          <a:picLocks noChangeAspect="1"/>
        </xdr:cNvPicPr>
      </xdr:nvPicPr>
      <xdr:blipFill>
        <a:blip xmlns:r="http://schemas.openxmlformats.org/officeDocument/2006/relationships" r:embed="rId3"/>
        <a:stretch>
          <a:fillRect/>
        </a:stretch>
      </xdr:blipFill>
      <xdr:spPr>
        <a:xfrm>
          <a:off x="36790313" y="1071562"/>
          <a:ext cx="7049469" cy="8821381"/>
        </a:xfrm>
        <a:prstGeom prst="rect">
          <a:avLst/>
        </a:prstGeom>
      </xdr:spPr>
    </xdr:pic>
    <xdr:clientData/>
  </xdr:twoCellAnchor>
  <xdr:twoCellAnchor editAs="oneCell">
    <xdr:from>
      <xdr:col>84</xdr:col>
      <xdr:colOff>571500</xdr:colOff>
      <xdr:row>61</xdr:row>
      <xdr:rowOff>95250</xdr:rowOff>
    </xdr:from>
    <xdr:to>
      <xdr:col>96</xdr:col>
      <xdr:colOff>267680</xdr:colOff>
      <xdr:row>103</xdr:row>
      <xdr:rowOff>163051</xdr:rowOff>
    </xdr:to>
    <xdr:pic>
      <xdr:nvPicPr>
        <xdr:cNvPr id="5" name="Picture 4">
          <a:extLst>
            <a:ext uri="{FF2B5EF4-FFF2-40B4-BE49-F238E27FC236}">
              <a16:creationId xmlns:a16="http://schemas.microsoft.com/office/drawing/2014/main" id="{AA7B88A3-7F21-1AEA-53CA-A24CF9735D20}"/>
            </a:ext>
          </a:extLst>
        </xdr:cNvPr>
        <xdr:cNvPicPr>
          <a:picLocks noChangeAspect="1"/>
        </xdr:cNvPicPr>
      </xdr:nvPicPr>
      <xdr:blipFill>
        <a:blip xmlns:r="http://schemas.openxmlformats.org/officeDocument/2006/relationships" r:embed="rId4"/>
        <a:stretch>
          <a:fillRect/>
        </a:stretch>
      </xdr:blipFill>
      <xdr:spPr>
        <a:xfrm>
          <a:off x="34575750" y="11715750"/>
          <a:ext cx="7125680" cy="8068801"/>
        </a:xfrm>
        <a:prstGeom prst="rect">
          <a:avLst/>
        </a:prstGeom>
      </xdr:spPr>
    </xdr:pic>
    <xdr:clientData/>
  </xdr:twoCellAnchor>
  <xdr:twoCellAnchor editAs="oneCell">
    <xdr:from>
      <xdr:col>42</xdr:col>
      <xdr:colOff>152400</xdr:colOff>
      <xdr:row>2</xdr:row>
      <xdr:rowOff>66675</xdr:rowOff>
    </xdr:from>
    <xdr:to>
      <xdr:col>54</xdr:col>
      <xdr:colOff>9525</xdr:colOff>
      <xdr:row>6</xdr:row>
      <xdr:rowOff>46080</xdr:rowOff>
    </xdr:to>
    <xdr:pic>
      <xdr:nvPicPr>
        <xdr:cNvPr id="10" name="Picture 9">
          <a:extLst>
            <a:ext uri="{FF2B5EF4-FFF2-40B4-BE49-F238E27FC236}">
              <a16:creationId xmlns:a16="http://schemas.microsoft.com/office/drawing/2014/main" id="{0E9E0940-385D-4CFD-BC3F-E6FB839B58F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7708"/>
        <a:stretch/>
      </xdr:blipFill>
      <xdr:spPr>
        <a:xfrm>
          <a:off x="17325975" y="514350"/>
          <a:ext cx="2257425" cy="741405"/>
        </a:xfrm>
        <a:prstGeom prst="rect">
          <a:avLst/>
        </a:prstGeom>
      </xdr:spPr>
    </xdr:pic>
    <xdr:clientData/>
  </xdr:twoCellAnchor>
  <xdr:twoCellAnchor editAs="oneCell">
    <xdr:from>
      <xdr:col>2</xdr:col>
      <xdr:colOff>66674</xdr:colOff>
      <xdr:row>2</xdr:row>
      <xdr:rowOff>81837</xdr:rowOff>
    </xdr:from>
    <xdr:to>
      <xdr:col>13</xdr:col>
      <xdr:colOff>124967</xdr:colOff>
      <xdr:row>6</xdr:row>
      <xdr:rowOff>30918</xdr:rowOff>
    </xdr:to>
    <xdr:pic>
      <xdr:nvPicPr>
        <xdr:cNvPr id="11" name="Picture 10">
          <a:extLst>
            <a:ext uri="{FF2B5EF4-FFF2-40B4-BE49-F238E27FC236}">
              <a16:creationId xmlns:a16="http://schemas.microsoft.com/office/drawing/2014/main" id="{D76B0DDF-66CD-4915-AFF7-6A77836522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39249" y="529512"/>
          <a:ext cx="2258568" cy="7110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6912</xdr:colOff>
      <xdr:row>14</xdr:row>
      <xdr:rowOff>16859</xdr:rowOff>
    </xdr:from>
    <xdr:to>
      <xdr:col>17</xdr:col>
      <xdr:colOff>320359</xdr:colOff>
      <xdr:row>36</xdr:row>
      <xdr:rowOff>121096</xdr:rowOff>
    </xdr:to>
    <xdr:pic>
      <xdr:nvPicPr>
        <xdr:cNvPr id="2" name="Picture 1">
          <a:extLst>
            <a:ext uri="{FF2B5EF4-FFF2-40B4-BE49-F238E27FC236}">
              <a16:creationId xmlns:a16="http://schemas.microsoft.com/office/drawing/2014/main" id="{04D68AE2-D88E-4E91-9864-AAE9BB5AA2C7}"/>
            </a:ext>
          </a:extLst>
        </xdr:cNvPr>
        <xdr:cNvPicPr>
          <a:picLocks noChangeAspect="1"/>
        </xdr:cNvPicPr>
      </xdr:nvPicPr>
      <xdr:blipFill>
        <a:blip xmlns:r="http://schemas.openxmlformats.org/officeDocument/2006/relationships" r:embed="rId1"/>
        <a:stretch>
          <a:fillRect/>
        </a:stretch>
      </xdr:blipFill>
      <xdr:spPr>
        <a:xfrm>
          <a:off x="5617137" y="2540984"/>
          <a:ext cx="7019047" cy="4295237"/>
        </a:xfrm>
        <a:prstGeom prst="rect">
          <a:avLst/>
        </a:prstGeom>
      </xdr:spPr>
    </xdr:pic>
    <xdr:clientData/>
  </xdr:twoCellAnchor>
  <xdr:twoCellAnchor editAs="oneCell">
    <xdr:from>
      <xdr:col>6</xdr:col>
      <xdr:colOff>14654</xdr:colOff>
      <xdr:row>0</xdr:row>
      <xdr:rowOff>0</xdr:rowOff>
    </xdr:from>
    <xdr:to>
      <xdr:col>12</xdr:col>
      <xdr:colOff>357474</xdr:colOff>
      <xdr:row>11</xdr:row>
      <xdr:rowOff>167959</xdr:rowOff>
    </xdr:to>
    <xdr:pic>
      <xdr:nvPicPr>
        <xdr:cNvPr id="3" name="Picture 2">
          <a:extLst>
            <a:ext uri="{FF2B5EF4-FFF2-40B4-BE49-F238E27FC236}">
              <a16:creationId xmlns:a16="http://schemas.microsoft.com/office/drawing/2014/main" id="{FCC22A4D-19C5-4678-B45D-4B155422BCE7}"/>
            </a:ext>
          </a:extLst>
        </xdr:cNvPr>
        <xdr:cNvPicPr>
          <a:picLocks noChangeAspect="1"/>
        </xdr:cNvPicPr>
      </xdr:nvPicPr>
      <xdr:blipFill>
        <a:blip xmlns:r="http://schemas.openxmlformats.org/officeDocument/2006/relationships" r:embed="rId2"/>
        <a:stretch>
          <a:fillRect/>
        </a:stretch>
      </xdr:blipFill>
      <xdr:spPr>
        <a:xfrm>
          <a:off x="5624879" y="0"/>
          <a:ext cx="4000420" cy="23110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28574</xdr:colOff>
      <xdr:row>2</xdr:row>
      <xdr:rowOff>46793</xdr:rowOff>
    </xdr:from>
    <xdr:ext cx="2716867" cy="868705"/>
    <xdr:pic>
      <xdr:nvPicPr>
        <xdr:cNvPr id="2" name="Picture 1">
          <a:extLst>
            <a:ext uri="{FF2B5EF4-FFF2-40B4-BE49-F238E27FC236}">
              <a16:creationId xmlns:a16="http://schemas.microsoft.com/office/drawing/2014/main" id="{1E12E520-C1B0-4535-A838-713242CED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899" y="427793"/>
          <a:ext cx="2716867" cy="868705"/>
        </a:xfrm>
        <a:prstGeom prst="rect">
          <a:avLst/>
        </a:prstGeom>
      </xdr:spPr>
    </xdr:pic>
    <xdr:clientData/>
  </xdr:oneCellAnchor>
  <xdr:twoCellAnchor editAs="oneCell">
    <xdr:from>
      <xdr:col>58</xdr:col>
      <xdr:colOff>142875</xdr:colOff>
      <xdr:row>3</xdr:row>
      <xdr:rowOff>142875</xdr:rowOff>
    </xdr:from>
    <xdr:to>
      <xdr:col>77</xdr:col>
      <xdr:colOff>285750</xdr:colOff>
      <xdr:row>11</xdr:row>
      <xdr:rowOff>200025</xdr:rowOff>
    </xdr:to>
    <xdr:pic>
      <xdr:nvPicPr>
        <xdr:cNvPr id="5" name="Picture 4">
          <a:extLst>
            <a:ext uri="{FF2B5EF4-FFF2-40B4-BE49-F238E27FC236}">
              <a16:creationId xmlns:a16="http://schemas.microsoft.com/office/drawing/2014/main" id="{1D485A32-5ABC-90D1-3186-2DBA37EBF3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06275" y="828675"/>
          <a:ext cx="61150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190500</xdr:colOff>
      <xdr:row>12</xdr:row>
      <xdr:rowOff>114300</xdr:rowOff>
    </xdr:from>
    <xdr:to>
      <xdr:col>67</xdr:col>
      <xdr:colOff>256813</xdr:colOff>
      <xdr:row>33</xdr:row>
      <xdr:rowOff>151874</xdr:rowOff>
    </xdr:to>
    <xdr:pic>
      <xdr:nvPicPr>
        <xdr:cNvPr id="6" name="Picture 5">
          <a:extLst>
            <a:ext uri="{FF2B5EF4-FFF2-40B4-BE49-F238E27FC236}">
              <a16:creationId xmlns:a16="http://schemas.microsoft.com/office/drawing/2014/main" id="{92E32746-FA98-45D0-927B-E5CE981E94C8}"/>
            </a:ext>
          </a:extLst>
        </xdr:cNvPr>
        <xdr:cNvPicPr>
          <a:picLocks noChangeAspect="1"/>
        </xdr:cNvPicPr>
      </xdr:nvPicPr>
      <xdr:blipFill>
        <a:blip xmlns:r="http://schemas.openxmlformats.org/officeDocument/2006/relationships" r:embed="rId3"/>
        <a:stretch>
          <a:fillRect/>
        </a:stretch>
      </xdr:blipFill>
      <xdr:spPr>
        <a:xfrm>
          <a:off x="12153900" y="2609850"/>
          <a:ext cx="2895238" cy="42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31</xdr:col>
      <xdr:colOff>250249</xdr:colOff>
      <xdr:row>30</xdr:row>
      <xdr:rowOff>84860</xdr:rowOff>
    </xdr:from>
    <xdr:to>
      <xdr:col>42</xdr:col>
      <xdr:colOff>201390</xdr:colOff>
      <xdr:row>58</xdr:row>
      <xdr:rowOff>89414</xdr:rowOff>
    </xdr:to>
    <xdr:pic>
      <xdr:nvPicPr>
        <xdr:cNvPr id="2" name="Picture 1">
          <a:extLst>
            <a:ext uri="{FF2B5EF4-FFF2-40B4-BE49-F238E27FC236}">
              <a16:creationId xmlns:a16="http://schemas.microsoft.com/office/drawing/2014/main" id="{774C46A4-D6A2-4A1E-A159-858E91EE8EAB}"/>
            </a:ext>
          </a:extLst>
        </xdr:cNvPr>
        <xdr:cNvPicPr>
          <a:picLocks noChangeAspect="1"/>
        </xdr:cNvPicPr>
      </xdr:nvPicPr>
      <xdr:blipFill>
        <a:blip xmlns:r="http://schemas.openxmlformats.org/officeDocument/2006/relationships" r:embed="rId1"/>
        <a:stretch>
          <a:fillRect/>
        </a:stretch>
      </xdr:blipFill>
      <xdr:spPr>
        <a:xfrm>
          <a:off x="19040476" y="5799860"/>
          <a:ext cx="7276386" cy="5334744"/>
        </a:xfrm>
        <a:prstGeom prst="rect">
          <a:avLst/>
        </a:prstGeom>
      </xdr:spPr>
    </xdr:pic>
    <xdr:clientData/>
  </xdr:twoCellAnchor>
  <xdr:twoCellAnchor editAs="oneCell">
    <xdr:from>
      <xdr:col>41</xdr:col>
      <xdr:colOff>457200</xdr:colOff>
      <xdr:row>35</xdr:row>
      <xdr:rowOff>85725</xdr:rowOff>
    </xdr:from>
    <xdr:to>
      <xdr:col>52</xdr:col>
      <xdr:colOff>178122</xdr:colOff>
      <xdr:row>51</xdr:row>
      <xdr:rowOff>168076</xdr:rowOff>
    </xdr:to>
    <xdr:pic>
      <xdr:nvPicPr>
        <xdr:cNvPr id="3" name="Picture 2">
          <a:extLst>
            <a:ext uri="{FF2B5EF4-FFF2-40B4-BE49-F238E27FC236}">
              <a16:creationId xmlns:a16="http://schemas.microsoft.com/office/drawing/2014/main" id="{22347AE5-5F65-4B7C-9688-6CACAE840F6F}"/>
            </a:ext>
          </a:extLst>
        </xdr:cNvPr>
        <xdr:cNvPicPr>
          <a:picLocks noChangeAspect="1"/>
        </xdr:cNvPicPr>
      </xdr:nvPicPr>
      <xdr:blipFill>
        <a:blip xmlns:r="http://schemas.openxmlformats.org/officeDocument/2006/relationships" r:embed="rId2"/>
        <a:stretch>
          <a:fillRect/>
        </a:stretch>
      </xdr:blipFill>
      <xdr:spPr>
        <a:xfrm>
          <a:off x="12649200" y="6562725"/>
          <a:ext cx="6849431" cy="3124636"/>
        </a:xfrm>
        <a:prstGeom prst="rect">
          <a:avLst/>
        </a:prstGeom>
      </xdr:spPr>
    </xdr:pic>
    <xdr:clientData/>
  </xdr:twoCellAnchor>
  <xdr:oneCellAnchor>
    <xdr:from>
      <xdr:col>39</xdr:col>
      <xdr:colOff>429696</xdr:colOff>
      <xdr:row>17</xdr:row>
      <xdr:rowOff>73958</xdr:rowOff>
    </xdr:from>
    <xdr:ext cx="4686954" cy="5515745"/>
    <xdr:pic>
      <xdr:nvPicPr>
        <xdr:cNvPr id="4" name="Picture 3">
          <a:extLst>
            <a:ext uri="{FF2B5EF4-FFF2-40B4-BE49-F238E27FC236}">
              <a16:creationId xmlns:a16="http://schemas.microsoft.com/office/drawing/2014/main" id="{5C55ECDE-C67E-4386-BA4E-1E132DA80D82}"/>
            </a:ext>
          </a:extLst>
        </xdr:cNvPr>
        <xdr:cNvPicPr>
          <a:picLocks noChangeAspect="1"/>
        </xdr:cNvPicPr>
      </xdr:nvPicPr>
      <xdr:blipFill>
        <a:blip xmlns:r="http://schemas.openxmlformats.org/officeDocument/2006/relationships" r:embed="rId3"/>
        <a:stretch>
          <a:fillRect/>
        </a:stretch>
      </xdr:blipFill>
      <xdr:spPr>
        <a:xfrm>
          <a:off x="24276832" y="3312458"/>
          <a:ext cx="4686954" cy="5515745"/>
        </a:xfrm>
        <a:prstGeom prst="rect">
          <a:avLst/>
        </a:prstGeom>
      </xdr:spPr>
    </xdr:pic>
    <xdr:clientData/>
  </xdr:oneCellAnchor>
  <xdr:twoCellAnchor editAs="oneCell">
    <xdr:from>
      <xdr:col>42</xdr:col>
      <xdr:colOff>0</xdr:colOff>
      <xdr:row>56</xdr:row>
      <xdr:rowOff>0</xdr:rowOff>
    </xdr:from>
    <xdr:to>
      <xdr:col>59</xdr:col>
      <xdr:colOff>26215</xdr:colOff>
      <xdr:row>92</xdr:row>
      <xdr:rowOff>140042</xdr:rowOff>
    </xdr:to>
    <xdr:pic>
      <xdr:nvPicPr>
        <xdr:cNvPr id="5" name="Picture 4">
          <a:extLst>
            <a:ext uri="{FF2B5EF4-FFF2-40B4-BE49-F238E27FC236}">
              <a16:creationId xmlns:a16="http://schemas.microsoft.com/office/drawing/2014/main" id="{E82BA222-F950-4F17-A191-1393B28BC875}"/>
            </a:ext>
          </a:extLst>
        </xdr:cNvPr>
        <xdr:cNvPicPr>
          <a:picLocks noChangeAspect="1"/>
        </xdr:cNvPicPr>
      </xdr:nvPicPr>
      <xdr:blipFill>
        <a:blip xmlns:r="http://schemas.openxmlformats.org/officeDocument/2006/relationships" r:embed="rId4"/>
        <a:stretch>
          <a:fillRect/>
        </a:stretch>
      </xdr:blipFill>
      <xdr:spPr>
        <a:xfrm>
          <a:off x="12801600" y="10477500"/>
          <a:ext cx="10393225" cy="7001852"/>
        </a:xfrm>
        <a:prstGeom prst="rect">
          <a:avLst/>
        </a:prstGeom>
      </xdr:spPr>
    </xdr:pic>
    <xdr:clientData/>
  </xdr:twoCellAnchor>
  <xdr:twoCellAnchor editAs="oneCell">
    <xdr:from>
      <xdr:col>21</xdr:col>
      <xdr:colOff>212351</xdr:colOff>
      <xdr:row>26</xdr:row>
      <xdr:rowOff>176900</xdr:rowOff>
    </xdr:from>
    <xdr:to>
      <xdr:col>29</xdr:col>
      <xdr:colOff>295977</xdr:colOff>
      <xdr:row>49</xdr:row>
      <xdr:rowOff>124164</xdr:rowOff>
    </xdr:to>
    <xdr:pic>
      <xdr:nvPicPr>
        <xdr:cNvPr id="8" name="Picture 7">
          <a:extLst>
            <a:ext uri="{FF2B5EF4-FFF2-40B4-BE49-F238E27FC236}">
              <a16:creationId xmlns:a16="http://schemas.microsoft.com/office/drawing/2014/main" id="{EDB0D8C0-7D8F-4E91-BD59-699C2AB21BB0}"/>
            </a:ext>
          </a:extLst>
        </xdr:cNvPr>
        <xdr:cNvPicPr>
          <a:picLocks noChangeAspect="1"/>
        </xdr:cNvPicPr>
      </xdr:nvPicPr>
      <xdr:blipFill>
        <a:blip xmlns:r="http://schemas.openxmlformats.org/officeDocument/2006/relationships" r:embed="rId5"/>
        <a:stretch>
          <a:fillRect/>
        </a:stretch>
      </xdr:blipFill>
      <xdr:spPr>
        <a:xfrm>
          <a:off x="12941215" y="5129900"/>
          <a:ext cx="4936527" cy="4324954"/>
        </a:xfrm>
        <a:prstGeom prst="rect">
          <a:avLst/>
        </a:prstGeom>
      </xdr:spPr>
    </xdr:pic>
    <xdr:clientData/>
  </xdr:twoCellAnchor>
  <xdr:twoCellAnchor editAs="oneCell">
    <xdr:from>
      <xdr:col>30</xdr:col>
      <xdr:colOff>590549</xdr:colOff>
      <xdr:row>46</xdr:row>
      <xdr:rowOff>142010</xdr:rowOff>
    </xdr:from>
    <xdr:to>
      <xdr:col>42</xdr:col>
      <xdr:colOff>168686</xdr:colOff>
      <xdr:row>72</xdr:row>
      <xdr:rowOff>60776</xdr:rowOff>
    </xdr:to>
    <xdr:pic>
      <xdr:nvPicPr>
        <xdr:cNvPr id="9" name="Picture 8">
          <a:extLst>
            <a:ext uri="{FF2B5EF4-FFF2-40B4-BE49-F238E27FC236}">
              <a16:creationId xmlns:a16="http://schemas.microsoft.com/office/drawing/2014/main" id="{6D3F5972-325B-4185-9337-0508218BFE8E}"/>
            </a:ext>
          </a:extLst>
        </xdr:cNvPr>
        <xdr:cNvPicPr>
          <a:picLocks noChangeAspect="1"/>
        </xdr:cNvPicPr>
      </xdr:nvPicPr>
      <xdr:blipFill>
        <a:blip xmlns:r="http://schemas.openxmlformats.org/officeDocument/2006/relationships" r:embed="rId6"/>
        <a:stretch>
          <a:fillRect/>
        </a:stretch>
      </xdr:blipFill>
      <xdr:spPr>
        <a:xfrm>
          <a:off x="18774640" y="8905010"/>
          <a:ext cx="7472976" cy="4877481"/>
        </a:xfrm>
        <a:prstGeom prst="rect">
          <a:avLst/>
        </a:prstGeom>
      </xdr:spPr>
    </xdr:pic>
    <xdr:clientData/>
  </xdr:twoCellAnchor>
  <xdr:twoCellAnchor editAs="oneCell">
    <xdr:from>
      <xdr:col>7</xdr:col>
      <xdr:colOff>381000</xdr:colOff>
      <xdr:row>48</xdr:row>
      <xdr:rowOff>176645</xdr:rowOff>
    </xdr:from>
    <xdr:to>
      <xdr:col>19</xdr:col>
      <xdr:colOff>397346</xdr:colOff>
      <xdr:row>95</xdr:row>
      <xdr:rowOff>132169</xdr:rowOff>
    </xdr:to>
    <xdr:pic>
      <xdr:nvPicPr>
        <xdr:cNvPr id="10" name="Picture 9">
          <a:extLst>
            <a:ext uri="{FF2B5EF4-FFF2-40B4-BE49-F238E27FC236}">
              <a16:creationId xmlns:a16="http://schemas.microsoft.com/office/drawing/2014/main" id="{CA6EE51A-F94C-4033-94A1-BDC9115390DF}"/>
            </a:ext>
          </a:extLst>
        </xdr:cNvPr>
        <xdr:cNvPicPr>
          <a:picLocks noChangeAspect="1"/>
        </xdr:cNvPicPr>
      </xdr:nvPicPr>
      <xdr:blipFill>
        <a:blip xmlns:r="http://schemas.openxmlformats.org/officeDocument/2006/relationships" r:embed="rId7"/>
        <a:stretch>
          <a:fillRect/>
        </a:stretch>
      </xdr:blipFill>
      <xdr:spPr>
        <a:xfrm>
          <a:off x="4623955" y="9320645"/>
          <a:ext cx="7871353" cy="8916644"/>
        </a:xfrm>
        <a:prstGeom prst="rect">
          <a:avLst/>
        </a:prstGeom>
      </xdr:spPr>
    </xdr:pic>
    <xdr:clientData/>
  </xdr:twoCellAnchor>
  <xdr:twoCellAnchor editAs="oneCell">
    <xdr:from>
      <xdr:col>32</xdr:col>
      <xdr:colOff>225136</xdr:colOff>
      <xdr:row>87</xdr:row>
      <xdr:rowOff>0</xdr:rowOff>
    </xdr:from>
    <xdr:to>
      <xdr:col>43</xdr:col>
      <xdr:colOff>593711</xdr:colOff>
      <xdr:row>100</xdr:row>
      <xdr:rowOff>129903</xdr:rowOff>
    </xdr:to>
    <xdr:pic>
      <xdr:nvPicPr>
        <xdr:cNvPr id="12" name="Picture 11">
          <a:extLst>
            <a:ext uri="{FF2B5EF4-FFF2-40B4-BE49-F238E27FC236}">
              <a16:creationId xmlns:a16="http://schemas.microsoft.com/office/drawing/2014/main" id="{01696FAA-03B2-40C5-8B25-06F440847893}"/>
            </a:ext>
          </a:extLst>
        </xdr:cNvPr>
        <xdr:cNvPicPr>
          <a:picLocks noChangeAspect="1"/>
        </xdr:cNvPicPr>
      </xdr:nvPicPr>
      <xdr:blipFill>
        <a:blip xmlns:r="http://schemas.openxmlformats.org/officeDocument/2006/relationships" r:embed="rId8"/>
        <a:stretch>
          <a:fillRect/>
        </a:stretch>
      </xdr:blipFill>
      <xdr:spPr>
        <a:xfrm>
          <a:off x="19621500" y="16573500"/>
          <a:ext cx="7703344" cy="2600688"/>
        </a:xfrm>
        <a:prstGeom prst="rect">
          <a:avLst/>
        </a:prstGeom>
      </xdr:spPr>
    </xdr:pic>
    <xdr:clientData/>
  </xdr:twoCellAnchor>
  <xdr:twoCellAnchor editAs="oneCell">
    <xdr:from>
      <xdr:col>60</xdr:col>
      <xdr:colOff>363683</xdr:colOff>
      <xdr:row>27</xdr:row>
      <xdr:rowOff>34636</xdr:rowOff>
    </xdr:from>
    <xdr:to>
      <xdr:col>72</xdr:col>
      <xdr:colOff>770858</xdr:colOff>
      <xdr:row>54</xdr:row>
      <xdr:rowOff>54407</xdr:rowOff>
    </xdr:to>
    <xdr:pic>
      <xdr:nvPicPr>
        <xdr:cNvPr id="13" name="Picture 12">
          <a:extLst>
            <a:ext uri="{FF2B5EF4-FFF2-40B4-BE49-F238E27FC236}">
              <a16:creationId xmlns:a16="http://schemas.microsoft.com/office/drawing/2014/main" id="{1CA00FC7-C5A5-4564-A02F-6E3592E88F72}"/>
            </a:ext>
          </a:extLst>
        </xdr:cNvPr>
        <xdr:cNvPicPr>
          <a:picLocks noChangeAspect="1"/>
        </xdr:cNvPicPr>
      </xdr:nvPicPr>
      <xdr:blipFill>
        <a:blip xmlns:r="http://schemas.openxmlformats.org/officeDocument/2006/relationships" r:embed="rId9"/>
        <a:stretch>
          <a:fillRect/>
        </a:stretch>
      </xdr:blipFill>
      <xdr:spPr>
        <a:xfrm>
          <a:off x="32696728" y="5178136"/>
          <a:ext cx="8080933" cy="5163271"/>
        </a:xfrm>
        <a:prstGeom prst="rect">
          <a:avLst/>
        </a:prstGeom>
      </xdr:spPr>
    </xdr:pic>
    <xdr:clientData/>
  </xdr:twoCellAnchor>
  <xdr:twoCellAnchor editAs="oneCell">
    <xdr:from>
      <xdr:col>67</xdr:col>
      <xdr:colOff>406400</xdr:colOff>
      <xdr:row>54</xdr:row>
      <xdr:rowOff>124690</xdr:rowOff>
    </xdr:from>
    <xdr:to>
      <xdr:col>73</xdr:col>
      <xdr:colOff>836779</xdr:colOff>
      <xdr:row>106</xdr:row>
      <xdr:rowOff>324</xdr:rowOff>
    </xdr:to>
    <xdr:pic>
      <xdr:nvPicPr>
        <xdr:cNvPr id="14" name="Picture 13">
          <a:extLst>
            <a:ext uri="{FF2B5EF4-FFF2-40B4-BE49-F238E27FC236}">
              <a16:creationId xmlns:a16="http://schemas.microsoft.com/office/drawing/2014/main" id="{B3AF4C2D-12BA-49C2-99D9-07C208E39D12}"/>
            </a:ext>
          </a:extLst>
        </xdr:cNvPr>
        <xdr:cNvPicPr>
          <a:picLocks noChangeAspect="1"/>
        </xdr:cNvPicPr>
      </xdr:nvPicPr>
      <xdr:blipFill>
        <a:blip xmlns:r="http://schemas.openxmlformats.org/officeDocument/2006/relationships" r:embed="rId10"/>
        <a:stretch>
          <a:fillRect/>
        </a:stretch>
      </xdr:blipFill>
      <xdr:spPr>
        <a:xfrm>
          <a:off x="36982400" y="10411690"/>
          <a:ext cx="4275016" cy="9774014"/>
        </a:xfrm>
        <a:prstGeom prst="rect">
          <a:avLst/>
        </a:prstGeom>
      </xdr:spPr>
    </xdr:pic>
    <xdr:clientData/>
  </xdr:twoCellAnchor>
  <xdr:twoCellAnchor editAs="oneCell">
    <xdr:from>
      <xdr:col>16</xdr:col>
      <xdr:colOff>435147</xdr:colOff>
      <xdr:row>23</xdr:row>
      <xdr:rowOff>103640</xdr:rowOff>
    </xdr:from>
    <xdr:to>
      <xdr:col>30</xdr:col>
      <xdr:colOff>341578</xdr:colOff>
      <xdr:row>67</xdr:row>
      <xdr:rowOff>60724</xdr:rowOff>
    </xdr:to>
    <xdr:pic>
      <xdr:nvPicPr>
        <xdr:cNvPr id="6" name="Picture 5">
          <a:extLst>
            <a:ext uri="{FF2B5EF4-FFF2-40B4-BE49-F238E27FC236}">
              <a16:creationId xmlns:a16="http://schemas.microsoft.com/office/drawing/2014/main" id="{65FDD1D0-C0EE-4EE6-9660-0D0320114E98}"/>
            </a:ext>
          </a:extLst>
        </xdr:cNvPr>
        <xdr:cNvPicPr>
          <a:picLocks noChangeAspect="1"/>
        </xdr:cNvPicPr>
      </xdr:nvPicPr>
      <xdr:blipFill>
        <a:blip xmlns:r="http://schemas.openxmlformats.org/officeDocument/2006/relationships" r:embed="rId11"/>
        <a:stretch>
          <a:fillRect/>
        </a:stretch>
      </xdr:blipFill>
      <xdr:spPr>
        <a:xfrm>
          <a:off x="10133329" y="4485140"/>
          <a:ext cx="8392340" cy="8331464"/>
        </a:xfrm>
        <a:prstGeom prst="rect">
          <a:avLst/>
        </a:prstGeom>
      </xdr:spPr>
    </xdr:pic>
    <xdr:clientData/>
  </xdr:twoCellAnchor>
  <xdr:twoCellAnchor editAs="oneCell">
    <xdr:from>
      <xdr:col>77</xdr:col>
      <xdr:colOff>39048</xdr:colOff>
      <xdr:row>48</xdr:row>
      <xdr:rowOff>169847</xdr:rowOff>
    </xdr:from>
    <xdr:to>
      <xdr:col>94</xdr:col>
      <xdr:colOff>372040</xdr:colOff>
      <xdr:row>93</xdr:row>
      <xdr:rowOff>123468</xdr:rowOff>
    </xdr:to>
    <xdr:pic>
      <xdr:nvPicPr>
        <xdr:cNvPr id="7" name="Picture 6">
          <a:extLst>
            <a:ext uri="{FF2B5EF4-FFF2-40B4-BE49-F238E27FC236}">
              <a16:creationId xmlns:a16="http://schemas.microsoft.com/office/drawing/2014/main" id="{262C86B8-86A3-419F-98C2-50E47E990095}"/>
            </a:ext>
          </a:extLst>
        </xdr:cNvPr>
        <xdr:cNvPicPr>
          <a:picLocks noChangeAspect="1"/>
        </xdr:cNvPicPr>
      </xdr:nvPicPr>
      <xdr:blipFill>
        <a:blip xmlns:r="http://schemas.openxmlformats.org/officeDocument/2006/relationships" r:embed="rId12"/>
        <a:stretch>
          <a:fillRect/>
        </a:stretch>
      </xdr:blipFill>
      <xdr:spPr>
        <a:xfrm>
          <a:off x="49487405" y="9313847"/>
          <a:ext cx="10742456" cy="8526121"/>
        </a:xfrm>
        <a:prstGeom prst="rect">
          <a:avLst/>
        </a:prstGeom>
      </xdr:spPr>
    </xdr:pic>
    <xdr:clientData/>
  </xdr:twoCellAnchor>
  <xdr:twoCellAnchor editAs="oneCell">
    <xdr:from>
      <xdr:col>119</xdr:col>
      <xdr:colOff>87406</xdr:colOff>
      <xdr:row>50</xdr:row>
      <xdr:rowOff>168089</xdr:rowOff>
    </xdr:from>
    <xdr:to>
      <xdr:col>128</xdr:col>
      <xdr:colOff>412154</xdr:colOff>
      <xdr:row>86</xdr:row>
      <xdr:rowOff>73783</xdr:rowOff>
    </xdr:to>
    <xdr:pic>
      <xdr:nvPicPr>
        <xdr:cNvPr id="15" name="Picture 14">
          <a:extLst>
            <a:ext uri="{FF2B5EF4-FFF2-40B4-BE49-F238E27FC236}">
              <a16:creationId xmlns:a16="http://schemas.microsoft.com/office/drawing/2014/main" id="{9817C419-C8EE-4C3D-AFA4-6E3254700ECB}"/>
            </a:ext>
          </a:extLst>
        </xdr:cNvPr>
        <xdr:cNvPicPr>
          <a:picLocks noChangeAspect="1"/>
        </xdr:cNvPicPr>
      </xdr:nvPicPr>
      <xdr:blipFill>
        <a:blip xmlns:r="http://schemas.openxmlformats.org/officeDocument/2006/relationships" r:embed="rId13"/>
        <a:stretch>
          <a:fillRect/>
        </a:stretch>
      </xdr:blipFill>
      <xdr:spPr>
        <a:xfrm>
          <a:off x="60094906" y="9693089"/>
          <a:ext cx="6385449" cy="6763694"/>
        </a:xfrm>
        <a:prstGeom prst="rect">
          <a:avLst/>
        </a:prstGeom>
      </xdr:spPr>
    </xdr:pic>
    <xdr:clientData/>
  </xdr:twoCellAnchor>
  <xdr:twoCellAnchor editAs="oneCell">
    <xdr:from>
      <xdr:col>19</xdr:col>
      <xdr:colOff>242455</xdr:colOff>
      <xdr:row>54</xdr:row>
      <xdr:rowOff>173182</xdr:rowOff>
    </xdr:from>
    <xdr:to>
      <xdr:col>28</xdr:col>
      <xdr:colOff>53439</xdr:colOff>
      <xdr:row>76</xdr:row>
      <xdr:rowOff>19439</xdr:rowOff>
    </xdr:to>
    <xdr:pic>
      <xdr:nvPicPr>
        <xdr:cNvPr id="16" name="Picture 15">
          <a:extLst>
            <a:ext uri="{FF2B5EF4-FFF2-40B4-BE49-F238E27FC236}">
              <a16:creationId xmlns:a16="http://schemas.microsoft.com/office/drawing/2014/main" id="{FEDF637C-33CE-CFC1-A30C-713344077EC7}"/>
            </a:ext>
          </a:extLst>
        </xdr:cNvPr>
        <xdr:cNvPicPr>
          <a:picLocks noChangeAspect="1"/>
        </xdr:cNvPicPr>
      </xdr:nvPicPr>
      <xdr:blipFill>
        <a:blip xmlns:r="http://schemas.openxmlformats.org/officeDocument/2006/relationships" r:embed="rId14"/>
        <a:stretch>
          <a:fillRect/>
        </a:stretch>
      </xdr:blipFill>
      <xdr:spPr>
        <a:xfrm>
          <a:off x="11759046" y="10460182"/>
          <a:ext cx="5266211" cy="4029637"/>
        </a:xfrm>
        <a:prstGeom prst="rect">
          <a:avLst/>
        </a:prstGeom>
      </xdr:spPr>
    </xdr:pic>
    <xdr:clientData/>
  </xdr:twoCellAnchor>
  <xdr:twoCellAnchor editAs="oneCell">
    <xdr:from>
      <xdr:col>73</xdr:col>
      <xdr:colOff>517070</xdr:colOff>
      <xdr:row>43</xdr:row>
      <xdr:rowOff>95250</xdr:rowOff>
    </xdr:from>
    <xdr:to>
      <xdr:col>83</xdr:col>
      <xdr:colOff>25591</xdr:colOff>
      <xdr:row>52</xdr:row>
      <xdr:rowOff>101206</xdr:rowOff>
    </xdr:to>
    <xdr:pic>
      <xdr:nvPicPr>
        <xdr:cNvPr id="17" name="Picture 16">
          <a:extLst>
            <a:ext uri="{FF2B5EF4-FFF2-40B4-BE49-F238E27FC236}">
              <a16:creationId xmlns:a16="http://schemas.microsoft.com/office/drawing/2014/main" id="{19AF4710-81CF-2FB5-E91F-27E561B977E0}"/>
            </a:ext>
          </a:extLst>
        </xdr:cNvPr>
        <xdr:cNvPicPr>
          <a:picLocks noChangeAspect="1"/>
        </xdr:cNvPicPr>
      </xdr:nvPicPr>
      <xdr:blipFill>
        <a:blip xmlns:r="http://schemas.openxmlformats.org/officeDocument/2006/relationships" r:embed="rId15"/>
        <a:stretch>
          <a:fillRect/>
        </a:stretch>
      </xdr:blipFill>
      <xdr:spPr>
        <a:xfrm>
          <a:off x="38671499" y="8286750"/>
          <a:ext cx="5934903" cy="1724266"/>
        </a:xfrm>
        <a:prstGeom prst="rect">
          <a:avLst/>
        </a:prstGeom>
      </xdr:spPr>
    </xdr:pic>
    <xdr:clientData/>
  </xdr:twoCellAnchor>
  <xdr:twoCellAnchor editAs="oneCell">
    <xdr:from>
      <xdr:col>73</xdr:col>
      <xdr:colOff>615041</xdr:colOff>
      <xdr:row>26</xdr:row>
      <xdr:rowOff>6803</xdr:rowOff>
    </xdr:from>
    <xdr:to>
      <xdr:col>79</xdr:col>
      <xdr:colOff>364645</xdr:colOff>
      <xdr:row>42</xdr:row>
      <xdr:rowOff>54860</xdr:rowOff>
    </xdr:to>
    <xdr:pic>
      <xdr:nvPicPr>
        <xdr:cNvPr id="18" name="Picture 17">
          <a:extLst>
            <a:ext uri="{FF2B5EF4-FFF2-40B4-BE49-F238E27FC236}">
              <a16:creationId xmlns:a16="http://schemas.microsoft.com/office/drawing/2014/main" id="{109A41BC-D40B-BE11-1EDC-9F7D7255F957}"/>
            </a:ext>
          </a:extLst>
        </xdr:cNvPr>
        <xdr:cNvPicPr>
          <a:picLocks noChangeAspect="1"/>
        </xdr:cNvPicPr>
      </xdr:nvPicPr>
      <xdr:blipFill>
        <a:blip xmlns:r="http://schemas.openxmlformats.org/officeDocument/2006/relationships" r:embed="rId16"/>
        <a:stretch>
          <a:fillRect/>
        </a:stretch>
      </xdr:blipFill>
      <xdr:spPr>
        <a:xfrm>
          <a:off x="38600741" y="4959803"/>
          <a:ext cx="3694858" cy="3096057"/>
        </a:xfrm>
        <a:prstGeom prst="rect">
          <a:avLst/>
        </a:prstGeom>
      </xdr:spPr>
    </xdr:pic>
    <xdr:clientData/>
  </xdr:twoCellAnchor>
  <xdr:twoCellAnchor editAs="oneCell">
    <xdr:from>
      <xdr:col>69</xdr:col>
      <xdr:colOff>259772</xdr:colOff>
      <xdr:row>135</xdr:row>
      <xdr:rowOff>138545</xdr:rowOff>
    </xdr:from>
    <xdr:to>
      <xdr:col>81</xdr:col>
      <xdr:colOff>473307</xdr:colOff>
      <xdr:row>158</xdr:row>
      <xdr:rowOff>96407</xdr:rowOff>
    </xdr:to>
    <xdr:pic>
      <xdr:nvPicPr>
        <xdr:cNvPr id="19" name="Picture 18">
          <a:extLst>
            <a:ext uri="{FF2B5EF4-FFF2-40B4-BE49-F238E27FC236}">
              <a16:creationId xmlns:a16="http://schemas.microsoft.com/office/drawing/2014/main" id="{96EE0ECF-E488-4428-9CA6-D900B681F08B}"/>
            </a:ext>
          </a:extLst>
        </xdr:cNvPr>
        <xdr:cNvPicPr>
          <a:picLocks noChangeAspect="1"/>
        </xdr:cNvPicPr>
      </xdr:nvPicPr>
      <xdr:blipFill>
        <a:blip xmlns:r="http://schemas.openxmlformats.org/officeDocument/2006/relationships" r:embed="rId17"/>
        <a:stretch>
          <a:fillRect/>
        </a:stretch>
      </xdr:blipFill>
      <xdr:spPr>
        <a:xfrm>
          <a:off x="38048045" y="25856045"/>
          <a:ext cx="7983682" cy="4331742"/>
        </a:xfrm>
        <a:prstGeom prst="rect">
          <a:avLst/>
        </a:prstGeom>
      </xdr:spPr>
    </xdr:pic>
    <xdr:clientData/>
  </xdr:twoCellAnchor>
  <xdr:twoCellAnchor editAs="oneCell">
    <xdr:from>
      <xdr:col>38</xdr:col>
      <xdr:colOff>34636</xdr:colOff>
      <xdr:row>158</xdr:row>
      <xdr:rowOff>64506</xdr:rowOff>
    </xdr:from>
    <xdr:to>
      <xdr:col>45</xdr:col>
      <xdr:colOff>308263</xdr:colOff>
      <xdr:row>169</xdr:row>
      <xdr:rowOff>169513</xdr:rowOff>
    </xdr:to>
    <xdr:pic>
      <xdr:nvPicPr>
        <xdr:cNvPr id="20" name="Picture 19">
          <a:extLst>
            <a:ext uri="{FF2B5EF4-FFF2-40B4-BE49-F238E27FC236}">
              <a16:creationId xmlns:a16="http://schemas.microsoft.com/office/drawing/2014/main" id="{E33700DE-9AF7-4B05-B975-855EBC050E3B}"/>
            </a:ext>
          </a:extLst>
        </xdr:cNvPr>
        <xdr:cNvPicPr>
          <a:picLocks noChangeAspect="1"/>
        </xdr:cNvPicPr>
      </xdr:nvPicPr>
      <xdr:blipFill>
        <a:blip xmlns:r="http://schemas.openxmlformats.org/officeDocument/2006/relationships" r:embed="rId18"/>
        <a:stretch>
          <a:fillRect/>
        </a:stretch>
      </xdr:blipFill>
      <xdr:spPr>
        <a:xfrm>
          <a:off x="23275636" y="30163506"/>
          <a:ext cx="4970318" cy="2208127"/>
        </a:xfrm>
        <a:prstGeom prst="rect">
          <a:avLst/>
        </a:prstGeom>
      </xdr:spPr>
    </xdr:pic>
    <xdr:clientData/>
  </xdr:twoCellAnchor>
  <xdr:twoCellAnchor editAs="oneCell">
    <xdr:from>
      <xdr:col>26</xdr:col>
      <xdr:colOff>155864</xdr:colOff>
      <xdr:row>156</xdr:row>
      <xdr:rowOff>64940</xdr:rowOff>
    </xdr:from>
    <xdr:to>
      <xdr:col>35</xdr:col>
      <xdr:colOff>381000</xdr:colOff>
      <xdr:row>170</xdr:row>
      <xdr:rowOff>28160</xdr:rowOff>
    </xdr:to>
    <xdr:pic>
      <xdr:nvPicPr>
        <xdr:cNvPr id="21" name="Picture 20">
          <a:extLst>
            <a:ext uri="{FF2B5EF4-FFF2-40B4-BE49-F238E27FC236}">
              <a16:creationId xmlns:a16="http://schemas.microsoft.com/office/drawing/2014/main" id="{CE8E6EDD-FDA4-4D58-A6D8-3378B1695C29}"/>
            </a:ext>
          </a:extLst>
        </xdr:cNvPr>
        <xdr:cNvPicPr>
          <a:picLocks noChangeAspect="1"/>
        </xdr:cNvPicPr>
      </xdr:nvPicPr>
      <xdr:blipFill>
        <a:blip xmlns:r="http://schemas.openxmlformats.org/officeDocument/2006/relationships" r:embed="rId19"/>
        <a:stretch>
          <a:fillRect/>
        </a:stretch>
      </xdr:blipFill>
      <xdr:spPr>
        <a:xfrm>
          <a:off x="15915409" y="29782940"/>
          <a:ext cx="5784273" cy="2634030"/>
        </a:xfrm>
        <a:prstGeom prst="rect">
          <a:avLst/>
        </a:prstGeom>
      </xdr:spPr>
    </xdr:pic>
    <xdr:clientData/>
  </xdr:twoCellAnchor>
  <xdr:twoCellAnchor editAs="oneCell">
    <xdr:from>
      <xdr:col>9</xdr:col>
      <xdr:colOff>192665</xdr:colOff>
      <xdr:row>192</xdr:row>
      <xdr:rowOff>71005</xdr:rowOff>
    </xdr:from>
    <xdr:to>
      <xdr:col>20</xdr:col>
      <xdr:colOff>506037</xdr:colOff>
      <xdr:row>196</xdr:row>
      <xdr:rowOff>21573</xdr:rowOff>
    </xdr:to>
    <xdr:pic>
      <xdr:nvPicPr>
        <xdr:cNvPr id="22" name="Picture 21">
          <a:extLst>
            <a:ext uri="{FF2B5EF4-FFF2-40B4-BE49-F238E27FC236}">
              <a16:creationId xmlns:a16="http://schemas.microsoft.com/office/drawing/2014/main" id="{56457D79-7321-4A33-AF04-4223EB888450}"/>
            </a:ext>
          </a:extLst>
        </xdr:cNvPr>
        <xdr:cNvPicPr>
          <a:picLocks noChangeAspect="1"/>
        </xdr:cNvPicPr>
      </xdr:nvPicPr>
      <xdr:blipFill>
        <a:blip xmlns:r="http://schemas.openxmlformats.org/officeDocument/2006/relationships" r:embed="rId20"/>
        <a:stretch>
          <a:fillRect/>
        </a:stretch>
      </xdr:blipFill>
      <xdr:spPr>
        <a:xfrm>
          <a:off x="5647892" y="36647005"/>
          <a:ext cx="6977062" cy="704948"/>
        </a:xfrm>
        <a:prstGeom prst="rect">
          <a:avLst/>
        </a:prstGeom>
      </xdr:spPr>
    </xdr:pic>
    <xdr:clientData/>
  </xdr:twoCellAnchor>
  <xdr:twoCellAnchor editAs="oneCell">
    <xdr:from>
      <xdr:col>16</xdr:col>
      <xdr:colOff>556347</xdr:colOff>
      <xdr:row>169</xdr:row>
      <xdr:rowOff>6927</xdr:rowOff>
    </xdr:from>
    <xdr:to>
      <xdr:col>29</xdr:col>
      <xdr:colOff>59574</xdr:colOff>
      <xdr:row>179</xdr:row>
      <xdr:rowOff>92930</xdr:rowOff>
    </xdr:to>
    <xdr:pic>
      <xdr:nvPicPr>
        <xdr:cNvPr id="23" name="Picture 22">
          <a:extLst>
            <a:ext uri="{FF2B5EF4-FFF2-40B4-BE49-F238E27FC236}">
              <a16:creationId xmlns:a16="http://schemas.microsoft.com/office/drawing/2014/main" id="{BBE46258-786B-4C73-8E12-33DA0DC30E2F}"/>
            </a:ext>
          </a:extLst>
        </xdr:cNvPr>
        <xdr:cNvPicPr>
          <a:picLocks noChangeAspect="1"/>
        </xdr:cNvPicPr>
      </xdr:nvPicPr>
      <xdr:blipFill>
        <a:blip xmlns:r="http://schemas.openxmlformats.org/officeDocument/2006/relationships" r:embed="rId21"/>
        <a:stretch>
          <a:fillRect/>
        </a:stretch>
      </xdr:blipFill>
      <xdr:spPr>
        <a:xfrm>
          <a:off x="10254529" y="32201427"/>
          <a:ext cx="7375380" cy="1991003"/>
        </a:xfrm>
        <a:prstGeom prst="rect">
          <a:avLst/>
        </a:prstGeom>
      </xdr:spPr>
    </xdr:pic>
    <xdr:clientData/>
  </xdr:twoCellAnchor>
  <xdr:twoCellAnchor editAs="oneCell">
    <xdr:from>
      <xdr:col>9</xdr:col>
      <xdr:colOff>110021</xdr:colOff>
      <xdr:row>192</xdr:row>
      <xdr:rowOff>46964</xdr:rowOff>
    </xdr:from>
    <xdr:to>
      <xdr:col>29</xdr:col>
      <xdr:colOff>22283</xdr:colOff>
      <xdr:row>215</xdr:row>
      <xdr:rowOff>141867</xdr:rowOff>
    </xdr:to>
    <xdr:pic>
      <xdr:nvPicPr>
        <xdr:cNvPr id="24" name="Picture 23">
          <a:extLst>
            <a:ext uri="{FF2B5EF4-FFF2-40B4-BE49-F238E27FC236}">
              <a16:creationId xmlns:a16="http://schemas.microsoft.com/office/drawing/2014/main" id="{7E0AC256-BB80-4F82-A856-13809918D566}"/>
            </a:ext>
          </a:extLst>
        </xdr:cNvPr>
        <xdr:cNvPicPr>
          <a:picLocks noChangeAspect="1"/>
        </xdr:cNvPicPr>
      </xdr:nvPicPr>
      <xdr:blipFill>
        <a:blip xmlns:r="http://schemas.openxmlformats.org/officeDocument/2006/relationships" r:embed="rId22"/>
        <a:stretch>
          <a:fillRect/>
        </a:stretch>
      </xdr:blipFill>
      <xdr:spPr>
        <a:xfrm>
          <a:off x="5565248" y="36622964"/>
          <a:ext cx="12034990" cy="4480213"/>
        </a:xfrm>
        <a:prstGeom prst="rect">
          <a:avLst/>
        </a:prstGeom>
      </xdr:spPr>
    </xdr:pic>
    <xdr:clientData/>
  </xdr:twoCellAnchor>
  <xdr:twoCellAnchor editAs="oneCell">
    <xdr:from>
      <xdr:col>11</xdr:col>
      <xdr:colOff>15153</xdr:colOff>
      <xdr:row>223</xdr:row>
      <xdr:rowOff>121227</xdr:rowOff>
    </xdr:from>
    <xdr:to>
      <xdr:col>42</xdr:col>
      <xdr:colOff>53686</xdr:colOff>
      <xdr:row>237</xdr:row>
      <xdr:rowOff>94927</xdr:rowOff>
    </xdr:to>
    <xdr:pic>
      <xdr:nvPicPr>
        <xdr:cNvPr id="25" name="Picture 24">
          <a:extLst>
            <a:ext uri="{FF2B5EF4-FFF2-40B4-BE49-F238E27FC236}">
              <a16:creationId xmlns:a16="http://schemas.microsoft.com/office/drawing/2014/main" id="{1EB5C0AA-4B98-4F5E-9CFA-E0089A92A96D}"/>
            </a:ext>
          </a:extLst>
        </xdr:cNvPr>
        <xdr:cNvPicPr>
          <a:picLocks noChangeAspect="1"/>
        </xdr:cNvPicPr>
      </xdr:nvPicPr>
      <xdr:blipFill>
        <a:blip xmlns:r="http://schemas.openxmlformats.org/officeDocument/2006/relationships" r:embed="rId23"/>
        <a:stretch>
          <a:fillRect/>
        </a:stretch>
      </xdr:blipFill>
      <xdr:spPr>
        <a:xfrm>
          <a:off x="6825528" y="42602727"/>
          <a:ext cx="19879108" cy="2648320"/>
        </a:xfrm>
        <a:prstGeom prst="rect">
          <a:avLst/>
        </a:prstGeom>
      </xdr:spPr>
    </xdr:pic>
    <xdr:clientData/>
  </xdr:twoCellAnchor>
  <xdr:twoCellAnchor editAs="oneCell">
    <xdr:from>
      <xdr:col>8</xdr:col>
      <xdr:colOff>519113</xdr:colOff>
      <xdr:row>238</xdr:row>
      <xdr:rowOff>173182</xdr:rowOff>
    </xdr:from>
    <xdr:to>
      <xdr:col>28</xdr:col>
      <xdr:colOff>130926</xdr:colOff>
      <xdr:row>260</xdr:row>
      <xdr:rowOff>154714</xdr:rowOff>
    </xdr:to>
    <xdr:pic>
      <xdr:nvPicPr>
        <xdr:cNvPr id="26" name="Picture 25">
          <a:extLst>
            <a:ext uri="{FF2B5EF4-FFF2-40B4-BE49-F238E27FC236}">
              <a16:creationId xmlns:a16="http://schemas.microsoft.com/office/drawing/2014/main" id="{67E64BDF-37C3-4974-95E9-C131AF492961}"/>
            </a:ext>
          </a:extLst>
        </xdr:cNvPr>
        <xdr:cNvPicPr>
          <a:picLocks noChangeAspect="1"/>
        </xdr:cNvPicPr>
      </xdr:nvPicPr>
      <xdr:blipFill>
        <a:blip xmlns:r="http://schemas.openxmlformats.org/officeDocument/2006/relationships" r:embed="rId24"/>
        <a:stretch>
          <a:fillRect/>
        </a:stretch>
      </xdr:blipFill>
      <xdr:spPr>
        <a:xfrm>
          <a:off x="5368204" y="45512182"/>
          <a:ext cx="11742160" cy="4172532"/>
        </a:xfrm>
        <a:prstGeom prst="rect">
          <a:avLst/>
        </a:prstGeom>
      </xdr:spPr>
    </xdr:pic>
    <xdr:clientData/>
  </xdr:twoCellAnchor>
  <xdr:twoCellAnchor editAs="oneCell">
    <xdr:from>
      <xdr:col>70</xdr:col>
      <xdr:colOff>207818</xdr:colOff>
      <xdr:row>177</xdr:row>
      <xdr:rowOff>11257</xdr:rowOff>
    </xdr:from>
    <xdr:to>
      <xdr:col>83</xdr:col>
      <xdr:colOff>130925</xdr:colOff>
      <xdr:row>194</xdr:row>
      <xdr:rowOff>21237</xdr:rowOff>
    </xdr:to>
    <xdr:pic>
      <xdr:nvPicPr>
        <xdr:cNvPr id="27" name="Picture 26">
          <a:extLst>
            <a:ext uri="{FF2B5EF4-FFF2-40B4-BE49-F238E27FC236}">
              <a16:creationId xmlns:a16="http://schemas.microsoft.com/office/drawing/2014/main" id="{B8DDCFFB-01C7-4B4B-B031-05E373476297}"/>
            </a:ext>
          </a:extLst>
        </xdr:cNvPr>
        <xdr:cNvPicPr>
          <a:picLocks noChangeAspect="1"/>
        </xdr:cNvPicPr>
      </xdr:nvPicPr>
      <xdr:blipFill>
        <a:blip xmlns:r="http://schemas.openxmlformats.org/officeDocument/2006/relationships" r:embed="rId25"/>
        <a:stretch>
          <a:fillRect/>
        </a:stretch>
      </xdr:blipFill>
      <xdr:spPr>
        <a:xfrm>
          <a:off x="38602227" y="33729757"/>
          <a:ext cx="8312728" cy="3248480"/>
        </a:xfrm>
        <a:prstGeom prst="rect">
          <a:avLst/>
        </a:prstGeom>
      </xdr:spPr>
    </xdr:pic>
    <xdr:clientData/>
  </xdr:twoCellAnchor>
  <xdr:twoCellAnchor editAs="oneCell">
    <xdr:from>
      <xdr:col>3</xdr:col>
      <xdr:colOff>348401</xdr:colOff>
      <xdr:row>135</xdr:row>
      <xdr:rowOff>149649</xdr:rowOff>
    </xdr:from>
    <xdr:to>
      <xdr:col>15</xdr:col>
      <xdr:colOff>87050</xdr:colOff>
      <xdr:row>163</xdr:row>
      <xdr:rowOff>169446</xdr:rowOff>
    </xdr:to>
    <xdr:pic>
      <xdr:nvPicPr>
        <xdr:cNvPr id="28" name="Picture 27">
          <a:extLst>
            <a:ext uri="{FF2B5EF4-FFF2-40B4-BE49-F238E27FC236}">
              <a16:creationId xmlns:a16="http://schemas.microsoft.com/office/drawing/2014/main" id="{BAE00530-F7D3-4277-A401-5F7A088ECC47}"/>
            </a:ext>
          </a:extLst>
        </xdr:cNvPr>
        <xdr:cNvPicPr>
          <a:picLocks noChangeAspect="1"/>
        </xdr:cNvPicPr>
      </xdr:nvPicPr>
      <xdr:blipFill>
        <a:blip xmlns:r="http://schemas.openxmlformats.org/officeDocument/2006/relationships" r:embed="rId26"/>
        <a:stretch>
          <a:fillRect/>
        </a:stretch>
      </xdr:blipFill>
      <xdr:spPr>
        <a:xfrm>
          <a:off x="2166810" y="25867149"/>
          <a:ext cx="8157883" cy="5353797"/>
        </a:xfrm>
        <a:prstGeom prst="rect">
          <a:avLst/>
        </a:prstGeom>
      </xdr:spPr>
    </xdr:pic>
    <xdr:clientData/>
  </xdr:twoCellAnchor>
  <xdr:twoCellAnchor editAs="oneCell">
    <xdr:from>
      <xdr:col>1</xdr:col>
      <xdr:colOff>205221</xdr:colOff>
      <xdr:row>120</xdr:row>
      <xdr:rowOff>121227</xdr:rowOff>
    </xdr:from>
    <xdr:to>
      <xdr:col>8</xdr:col>
      <xdr:colOff>158981</xdr:colOff>
      <xdr:row>133</xdr:row>
      <xdr:rowOff>94900</xdr:rowOff>
    </xdr:to>
    <xdr:pic>
      <xdr:nvPicPr>
        <xdr:cNvPr id="29" name="Picture 28">
          <a:extLst>
            <a:ext uri="{FF2B5EF4-FFF2-40B4-BE49-F238E27FC236}">
              <a16:creationId xmlns:a16="http://schemas.microsoft.com/office/drawing/2014/main" id="{0E13B81A-AB87-4912-8D92-BFCE5DBB6AD8}"/>
            </a:ext>
          </a:extLst>
        </xdr:cNvPr>
        <xdr:cNvPicPr>
          <a:picLocks noChangeAspect="1"/>
        </xdr:cNvPicPr>
      </xdr:nvPicPr>
      <xdr:blipFill>
        <a:blip xmlns:r="http://schemas.openxmlformats.org/officeDocument/2006/relationships" r:embed="rId27"/>
        <a:stretch>
          <a:fillRect/>
        </a:stretch>
      </xdr:blipFill>
      <xdr:spPr>
        <a:xfrm>
          <a:off x="811357" y="22981227"/>
          <a:ext cx="5336598" cy="2457793"/>
        </a:xfrm>
        <a:prstGeom prst="rect">
          <a:avLst/>
        </a:prstGeom>
      </xdr:spPr>
    </xdr:pic>
    <xdr:clientData/>
  </xdr:twoCellAnchor>
  <xdr:twoCellAnchor editAs="oneCell">
    <xdr:from>
      <xdr:col>20</xdr:col>
      <xdr:colOff>432955</xdr:colOff>
      <xdr:row>111</xdr:row>
      <xdr:rowOff>155864</xdr:rowOff>
    </xdr:from>
    <xdr:to>
      <xdr:col>38</xdr:col>
      <xdr:colOff>446463</xdr:colOff>
      <xdr:row>141</xdr:row>
      <xdr:rowOff>136657</xdr:rowOff>
    </xdr:to>
    <xdr:pic>
      <xdr:nvPicPr>
        <xdr:cNvPr id="30" name="Picture 29">
          <a:extLst>
            <a:ext uri="{FF2B5EF4-FFF2-40B4-BE49-F238E27FC236}">
              <a16:creationId xmlns:a16="http://schemas.microsoft.com/office/drawing/2014/main" id="{42AFA5AA-0890-4859-B5AE-04F8DF285CC0}"/>
            </a:ext>
          </a:extLst>
        </xdr:cNvPr>
        <xdr:cNvPicPr>
          <a:picLocks noChangeAspect="1"/>
        </xdr:cNvPicPr>
      </xdr:nvPicPr>
      <xdr:blipFill>
        <a:blip xmlns:r="http://schemas.openxmlformats.org/officeDocument/2006/relationships" r:embed="rId28"/>
        <a:stretch>
          <a:fillRect/>
        </a:stretch>
      </xdr:blipFill>
      <xdr:spPr>
        <a:xfrm>
          <a:off x="12555682" y="21301364"/>
          <a:ext cx="11135591" cy="5701508"/>
        </a:xfrm>
        <a:prstGeom prst="rect">
          <a:avLst/>
        </a:prstGeom>
      </xdr:spPr>
    </xdr:pic>
    <xdr:clientData/>
  </xdr:twoCellAnchor>
  <xdr:twoCellAnchor editAs="oneCell">
    <xdr:from>
      <xdr:col>31</xdr:col>
      <xdr:colOff>86591</xdr:colOff>
      <xdr:row>176</xdr:row>
      <xdr:rowOff>70571</xdr:rowOff>
    </xdr:from>
    <xdr:to>
      <xdr:col>41</xdr:col>
      <xdr:colOff>1050175</xdr:colOff>
      <xdr:row>193</xdr:row>
      <xdr:rowOff>84361</xdr:rowOff>
    </xdr:to>
    <xdr:pic>
      <xdr:nvPicPr>
        <xdr:cNvPr id="31" name="Picture 30">
          <a:extLst>
            <a:ext uri="{FF2B5EF4-FFF2-40B4-BE49-F238E27FC236}">
              <a16:creationId xmlns:a16="http://schemas.microsoft.com/office/drawing/2014/main" id="{E13136A5-A0E5-4CE0-9851-9A289D5EE683}"/>
            </a:ext>
          </a:extLst>
        </xdr:cNvPr>
        <xdr:cNvPicPr>
          <a:picLocks noChangeAspect="1"/>
        </xdr:cNvPicPr>
      </xdr:nvPicPr>
      <xdr:blipFill>
        <a:blip xmlns:r="http://schemas.openxmlformats.org/officeDocument/2006/relationships" r:embed="rId25"/>
        <a:stretch>
          <a:fillRect/>
        </a:stretch>
      </xdr:blipFill>
      <xdr:spPr>
        <a:xfrm>
          <a:off x="18876818" y="33598571"/>
          <a:ext cx="7221682" cy="3248480"/>
        </a:xfrm>
        <a:prstGeom prst="rect">
          <a:avLst/>
        </a:prstGeom>
      </xdr:spPr>
    </xdr:pic>
    <xdr:clientData/>
  </xdr:twoCellAnchor>
  <xdr:twoCellAnchor editAs="oneCell">
    <xdr:from>
      <xdr:col>2</xdr:col>
      <xdr:colOff>90920</xdr:colOff>
      <xdr:row>167</xdr:row>
      <xdr:rowOff>153571</xdr:rowOff>
    </xdr:from>
    <xdr:to>
      <xdr:col>14</xdr:col>
      <xdr:colOff>361603</xdr:colOff>
      <xdr:row>195</xdr:row>
      <xdr:rowOff>173368</xdr:rowOff>
    </xdr:to>
    <xdr:pic>
      <xdr:nvPicPr>
        <xdr:cNvPr id="32" name="Picture 31">
          <a:extLst>
            <a:ext uri="{FF2B5EF4-FFF2-40B4-BE49-F238E27FC236}">
              <a16:creationId xmlns:a16="http://schemas.microsoft.com/office/drawing/2014/main" id="{24EC249D-0C7F-4759-9DC1-B1C45CA66E79}"/>
            </a:ext>
          </a:extLst>
        </xdr:cNvPr>
        <xdr:cNvPicPr>
          <a:picLocks noChangeAspect="1"/>
        </xdr:cNvPicPr>
      </xdr:nvPicPr>
      <xdr:blipFill>
        <a:blip xmlns:r="http://schemas.openxmlformats.org/officeDocument/2006/relationships" r:embed="rId26"/>
        <a:stretch>
          <a:fillRect/>
        </a:stretch>
      </xdr:blipFill>
      <xdr:spPr>
        <a:xfrm>
          <a:off x="1329170" y="31967071"/>
          <a:ext cx="8875568" cy="5353797"/>
        </a:xfrm>
        <a:prstGeom prst="rect">
          <a:avLst/>
        </a:prstGeom>
      </xdr:spPr>
    </xdr:pic>
    <xdr:clientData/>
  </xdr:twoCellAnchor>
  <xdr:twoCellAnchor editAs="oneCell">
    <xdr:from>
      <xdr:col>48</xdr:col>
      <xdr:colOff>158028</xdr:colOff>
      <xdr:row>229</xdr:row>
      <xdr:rowOff>141576</xdr:rowOff>
    </xdr:from>
    <xdr:to>
      <xdr:col>84</xdr:col>
      <xdr:colOff>260517</xdr:colOff>
      <xdr:row>260</xdr:row>
      <xdr:rowOff>127159</xdr:rowOff>
    </xdr:to>
    <xdr:pic>
      <xdr:nvPicPr>
        <xdr:cNvPr id="33" name="Picture 32">
          <a:extLst>
            <a:ext uri="{FF2B5EF4-FFF2-40B4-BE49-F238E27FC236}">
              <a16:creationId xmlns:a16="http://schemas.microsoft.com/office/drawing/2014/main" id="{A1F8B4F7-EBB5-4C87-8DF0-B75F4B336BB3}"/>
            </a:ext>
          </a:extLst>
        </xdr:cNvPr>
        <xdr:cNvPicPr>
          <a:picLocks noChangeAspect="1"/>
        </xdr:cNvPicPr>
      </xdr:nvPicPr>
      <xdr:blipFill>
        <a:blip xmlns:r="http://schemas.openxmlformats.org/officeDocument/2006/relationships" r:embed="rId29"/>
        <a:stretch>
          <a:fillRect/>
        </a:stretch>
      </xdr:blipFill>
      <xdr:spPr>
        <a:xfrm>
          <a:off x="30066528" y="43766076"/>
          <a:ext cx="23275637" cy="5887273"/>
        </a:xfrm>
        <a:prstGeom prst="rect">
          <a:avLst/>
        </a:prstGeom>
      </xdr:spPr>
    </xdr:pic>
    <xdr:clientData/>
  </xdr:twoCellAnchor>
  <xdr:twoCellAnchor editAs="oneCell">
    <xdr:from>
      <xdr:col>69</xdr:col>
      <xdr:colOff>1223</xdr:colOff>
      <xdr:row>196</xdr:row>
      <xdr:rowOff>61861</xdr:rowOff>
    </xdr:from>
    <xdr:to>
      <xdr:col>98</xdr:col>
      <xdr:colOff>407829</xdr:colOff>
      <xdr:row>238</xdr:row>
      <xdr:rowOff>93463</xdr:rowOff>
    </xdr:to>
    <xdr:pic>
      <xdr:nvPicPr>
        <xdr:cNvPr id="34" name="Picture 33">
          <a:extLst>
            <a:ext uri="{FF2B5EF4-FFF2-40B4-BE49-F238E27FC236}">
              <a16:creationId xmlns:a16="http://schemas.microsoft.com/office/drawing/2014/main" id="{6D64C2DF-A66A-408F-BF5B-DAB43779A53D}"/>
            </a:ext>
          </a:extLst>
        </xdr:cNvPr>
        <xdr:cNvPicPr>
          <a:picLocks noChangeAspect="1"/>
        </xdr:cNvPicPr>
      </xdr:nvPicPr>
      <xdr:blipFill>
        <a:blip xmlns:r="http://schemas.openxmlformats.org/officeDocument/2006/relationships" r:embed="rId30"/>
        <a:stretch>
          <a:fillRect/>
        </a:stretch>
      </xdr:blipFill>
      <xdr:spPr>
        <a:xfrm>
          <a:off x="37789496" y="37399861"/>
          <a:ext cx="18485427" cy="8040222"/>
        </a:xfrm>
        <a:prstGeom prst="rect">
          <a:avLst/>
        </a:prstGeom>
      </xdr:spPr>
    </xdr:pic>
    <xdr:clientData/>
  </xdr:twoCellAnchor>
  <xdr:twoCellAnchor editAs="oneCell">
    <xdr:from>
      <xdr:col>45</xdr:col>
      <xdr:colOff>524739</xdr:colOff>
      <xdr:row>204</xdr:row>
      <xdr:rowOff>9091</xdr:rowOff>
    </xdr:from>
    <xdr:to>
      <xdr:col>65</xdr:col>
      <xdr:colOff>2800</xdr:colOff>
      <xdr:row>219</xdr:row>
      <xdr:rowOff>133333</xdr:rowOff>
    </xdr:to>
    <xdr:pic>
      <xdr:nvPicPr>
        <xdr:cNvPr id="35" name="Picture 34">
          <a:extLst>
            <a:ext uri="{FF2B5EF4-FFF2-40B4-BE49-F238E27FC236}">
              <a16:creationId xmlns:a16="http://schemas.microsoft.com/office/drawing/2014/main" id="{E064B5CA-F052-4156-8C4D-0302F030DDC0}"/>
            </a:ext>
          </a:extLst>
        </xdr:cNvPr>
        <xdr:cNvPicPr>
          <a:picLocks noChangeAspect="1"/>
        </xdr:cNvPicPr>
      </xdr:nvPicPr>
      <xdr:blipFill>
        <a:blip xmlns:r="http://schemas.openxmlformats.org/officeDocument/2006/relationships" r:embed="rId31"/>
        <a:stretch>
          <a:fillRect/>
        </a:stretch>
      </xdr:blipFill>
      <xdr:spPr>
        <a:xfrm>
          <a:off x="28008694" y="38871091"/>
          <a:ext cx="11978987" cy="2981742"/>
        </a:xfrm>
        <a:prstGeom prst="rect">
          <a:avLst/>
        </a:prstGeom>
      </xdr:spPr>
    </xdr:pic>
    <xdr:clientData/>
  </xdr:twoCellAnchor>
  <xdr:twoCellAnchor editAs="oneCell">
    <xdr:from>
      <xdr:col>10</xdr:col>
      <xdr:colOff>204787</xdr:colOff>
      <xdr:row>92</xdr:row>
      <xdr:rowOff>21649</xdr:rowOff>
    </xdr:from>
    <xdr:to>
      <xdr:col>20</xdr:col>
      <xdr:colOff>398319</xdr:colOff>
      <xdr:row>112</xdr:row>
      <xdr:rowOff>98391</xdr:rowOff>
    </xdr:to>
    <xdr:pic>
      <xdr:nvPicPr>
        <xdr:cNvPr id="36" name="Picture 35">
          <a:extLst>
            <a:ext uri="{FF2B5EF4-FFF2-40B4-BE49-F238E27FC236}">
              <a16:creationId xmlns:a16="http://schemas.microsoft.com/office/drawing/2014/main" id="{09995B4C-1180-4CF5-A5C6-8781AF60D00D}"/>
            </a:ext>
          </a:extLst>
        </xdr:cNvPr>
        <xdr:cNvPicPr>
          <a:picLocks noChangeAspect="1"/>
        </xdr:cNvPicPr>
      </xdr:nvPicPr>
      <xdr:blipFill>
        <a:blip xmlns:r="http://schemas.openxmlformats.org/officeDocument/2006/relationships" r:embed="rId32"/>
        <a:stretch>
          <a:fillRect/>
        </a:stretch>
      </xdr:blipFill>
      <xdr:spPr>
        <a:xfrm>
          <a:off x="6266151" y="17547649"/>
          <a:ext cx="6254895" cy="3886742"/>
        </a:xfrm>
        <a:prstGeom prst="rect">
          <a:avLst/>
        </a:prstGeom>
      </xdr:spPr>
    </xdr:pic>
    <xdr:clientData/>
  </xdr:twoCellAnchor>
  <xdr:twoCellAnchor editAs="oneCell">
    <xdr:from>
      <xdr:col>11</xdr:col>
      <xdr:colOff>584056</xdr:colOff>
      <xdr:row>136</xdr:row>
      <xdr:rowOff>148069</xdr:rowOff>
    </xdr:from>
    <xdr:to>
      <xdr:col>25</xdr:col>
      <xdr:colOff>554182</xdr:colOff>
      <xdr:row>149</xdr:row>
      <xdr:rowOff>136982</xdr:rowOff>
    </xdr:to>
    <xdr:pic>
      <xdr:nvPicPr>
        <xdr:cNvPr id="37" name="Picture 36">
          <a:extLst>
            <a:ext uri="{FF2B5EF4-FFF2-40B4-BE49-F238E27FC236}">
              <a16:creationId xmlns:a16="http://schemas.microsoft.com/office/drawing/2014/main" id="{1B045D34-E31A-421A-B825-EEA4FF15D6E3}"/>
            </a:ext>
          </a:extLst>
        </xdr:cNvPr>
        <xdr:cNvPicPr>
          <a:picLocks noChangeAspect="1"/>
        </xdr:cNvPicPr>
      </xdr:nvPicPr>
      <xdr:blipFill>
        <a:blip xmlns:r="http://schemas.openxmlformats.org/officeDocument/2006/relationships" r:embed="rId27"/>
        <a:stretch>
          <a:fillRect/>
        </a:stretch>
      </xdr:blipFill>
      <xdr:spPr>
        <a:xfrm>
          <a:off x="7251556" y="26056069"/>
          <a:ext cx="8456035" cy="2457793"/>
        </a:xfrm>
        <a:prstGeom prst="rect">
          <a:avLst/>
        </a:prstGeom>
      </xdr:spPr>
    </xdr:pic>
    <xdr:clientData/>
  </xdr:twoCellAnchor>
  <xdr:twoCellAnchor editAs="oneCell">
    <xdr:from>
      <xdr:col>43</xdr:col>
      <xdr:colOff>103042</xdr:colOff>
      <xdr:row>116</xdr:row>
      <xdr:rowOff>173182</xdr:rowOff>
    </xdr:from>
    <xdr:to>
      <xdr:col>59</xdr:col>
      <xdr:colOff>415635</xdr:colOff>
      <xdr:row>137</xdr:row>
      <xdr:rowOff>59424</xdr:rowOff>
    </xdr:to>
    <xdr:pic>
      <xdr:nvPicPr>
        <xdr:cNvPr id="38" name="Picture 37">
          <a:extLst>
            <a:ext uri="{FF2B5EF4-FFF2-40B4-BE49-F238E27FC236}">
              <a16:creationId xmlns:a16="http://schemas.microsoft.com/office/drawing/2014/main" id="{82000303-026B-4746-9E39-9DFCAD6B11BD}"/>
            </a:ext>
          </a:extLst>
        </xdr:cNvPr>
        <xdr:cNvPicPr>
          <a:picLocks noChangeAspect="1"/>
        </xdr:cNvPicPr>
      </xdr:nvPicPr>
      <xdr:blipFill>
        <a:blip xmlns:r="http://schemas.openxmlformats.org/officeDocument/2006/relationships" r:embed="rId32"/>
        <a:stretch>
          <a:fillRect/>
        </a:stretch>
      </xdr:blipFill>
      <xdr:spPr>
        <a:xfrm>
          <a:off x="26374724" y="22271182"/>
          <a:ext cx="10010775" cy="3886742"/>
        </a:xfrm>
        <a:prstGeom prst="rect">
          <a:avLst/>
        </a:prstGeom>
      </xdr:spPr>
    </xdr:pic>
    <xdr:clientData/>
  </xdr:twoCellAnchor>
  <xdr:twoCellAnchor editAs="oneCell">
    <xdr:from>
      <xdr:col>23</xdr:col>
      <xdr:colOff>155865</xdr:colOff>
      <xdr:row>142</xdr:row>
      <xdr:rowOff>182707</xdr:rowOff>
    </xdr:from>
    <xdr:to>
      <xdr:col>42</xdr:col>
      <xdr:colOff>402475</xdr:colOff>
      <xdr:row>155</xdr:row>
      <xdr:rowOff>171620</xdr:rowOff>
    </xdr:to>
    <xdr:pic>
      <xdr:nvPicPr>
        <xdr:cNvPr id="39" name="Picture 38">
          <a:extLst>
            <a:ext uri="{FF2B5EF4-FFF2-40B4-BE49-F238E27FC236}">
              <a16:creationId xmlns:a16="http://schemas.microsoft.com/office/drawing/2014/main" id="{5E30B43B-94B9-46E6-B216-6000C30A4F62}"/>
            </a:ext>
          </a:extLst>
        </xdr:cNvPr>
        <xdr:cNvPicPr>
          <a:picLocks noChangeAspect="1"/>
        </xdr:cNvPicPr>
      </xdr:nvPicPr>
      <xdr:blipFill>
        <a:blip xmlns:r="http://schemas.openxmlformats.org/officeDocument/2006/relationships" r:embed="rId27"/>
        <a:stretch>
          <a:fillRect/>
        </a:stretch>
      </xdr:blipFill>
      <xdr:spPr>
        <a:xfrm>
          <a:off x="14097001" y="27233707"/>
          <a:ext cx="12417136" cy="2457793"/>
        </a:xfrm>
        <a:prstGeom prst="rect">
          <a:avLst/>
        </a:prstGeom>
      </xdr:spPr>
    </xdr:pic>
    <xdr:clientData/>
  </xdr:twoCellAnchor>
  <xdr:twoCellAnchor editAs="oneCell">
    <xdr:from>
      <xdr:col>23</xdr:col>
      <xdr:colOff>348401</xdr:colOff>
      <xdr:row>81</xdr:row>
      <xdr:rowOff>38711</xdr:rowOff>
    </xdr:from>
    <xdr:to>
      <xdr:col>29</xdr:col>
      <xdr:colOff>555523</xdr:colOff>
      <xdr:row>101</xdr:row>
      <xdr:rowOff>178328</xdr:rowOff>
    </xdr:to>
    <xdr:pic>
      <xdr:nvPicPr>
        <xdr:cNvPr id="40" name="Picture 39">
          <a:extLst>
            <a:ext uri="{FF2B5EF4-FFF2-40B4-BE49-F238E27FC236}">
              <a16:creationId xmlns:a16="http://schemas.microsoft.com/office/drawing/2014/main" id="{AB5110A2-0CB1-D835-0E03-5C26E521E7E7}"/>
            </a:ext>
          </a:extLst>
        </xdr:cNvPr>
        <xdr:cNvPicPr>
          <a:picLocks noChangeAspect="1"/>
        </xdr:cNvPicPr>
      </xdr:nvPicPr>
      <xdr:blipFill>
        <a:blip xmlns:r="http://schemas.openxmlformats.org/officeDocument/2006/relationships" r:embed="rId33"/>
        <a:stretch>
          <a:fillRect/>
        </a:stretch>
      </xdr:blipFill>
      <xdr:spPr>
        <a:xfrm>
          <a:off x="14289537" y="15469211"/>
          <a:ext cx="3849656" cy="3953427"/>
        </a:xfrm>
        <a:prstGeom prst="rect">
          <a:avLst/>
        </a:prstGeom>
      </xdr:spPr>
    </xdr:pic>
    <xdr:clientData/>
  </xdr:twoCellAnchor>
  <xdr:twoCellAnchor editAs="oneCell">
    <xdr:from>
      <xdr:col>135</xdr:col>
      <xdr:colOff>521914</xdr:colOff>
      <xdr:row>30</xdr:row>
      <xdr:rowOff>72558</xdr:rowOff>
    </xdr:from>
    <xdr:to>
      <xdr:col>146</xdr:col>
      <xdr:colOff>313270</xdr:colOff>
      <xdr:row>56</xdr:row>
      <xdr:rowOff>158986</xdr:rowOff>
    </xdr:to>
    <xdr:pic>
      <xdr:nvPicPr>
        <xdr:cNvPr id="11" name="Picture 10">
          <a:extLst>
            <a:ext uri="{FF2B5EF4-FFF2-40B4-BE49-F238E27FC236}">
              <a16:creationId xmlns:a16="http://schemas.microsoft.com/office/drawing/2014/main" id="{87DAD460-04AD-346C-BCA6-267A2B9972FC}"/>
            </a:ext>
          </a:extLst>
        </xdr:cNvPr>
        <xdr:cNvPicPr>
          <a:picLocks noChangeAspect="1"/>
        </xdr:cNvPicPr>
      </xdr:nvPicPr>
      <xdr:blipFill>
        <a:blip xmlns:r="http://schemas.openxmlformats.org/officeDocument/2006/relationships" r:embed="rId34"/>
        <a:stretch>
          <a:fillRect/>
        </a:stretch>
      </xdr:blipFill>
      <xdr:spPr>
        <a:xfrm>
          <a:off x="87129377" y="5745536"/>
          <a:ext cx="6493875" cy="5003009"/>
        </a:xfrm>
        <a:prstGeom prst="rect">
          <a:avLst/>
        </a:prstGeom>
      </xdr:spPr>
    </xdr:pic>
    <xdr:clientData/>
  </xdr:twoCellAnchor>
  <xdr:twoCellAnchor editAs="oneCell">
    <xdr:from>
      <xdr:col>135</xdr:col>
      <xdr:colOff>420221</xdr:colOff>
      <xdr:row>17</xdr:row>
      <xdr:rowOff>182095</xdr:rowOff>
    </xdr:from>
    <xdr:to>
      <xdr:col>148</xdr:col>
      <xdr:colOff>221554</xdr:colOff>
      <xdr:row>28</xdr:row>
      <xdr:rowOff>31368</xdr:rowOff>
    </xdr:to>
    <xdr:pic>
      <xdr:nvPicPr>
        <xdr:cNvPr id="41" name="Picture 40">
          <a:extLst>
            <a:ext uri="{FF2B5EF4-FFF2-40B4-BE49-F238E27FC236}">
              <a16:creationId xmlns:a16="http://schemas.microsoft.com/office/drawing/2014/main" id="{EF0560A3-8216-2679-E2F4-AD058DC2200F}"/>
            </a:ext>
          </a:extLst>
        </xdr:cNvPr>
        <xdr:cNvPicPr>
          <a:picLocks noChangeAspect="1"/>
        </xdr:cNvPicPr>
      </xdr:nvPicPr>
      <xdr:blipFill>
        <a:blip xmlns:r="http://schemas.openxmlformats.org/officeDocument/2006/relationships" r:embed="rId35"/>
        <a:stretch>
          <a:fillRect/>
        </a:stretch>
      </xdr:blipFill>
      <xdr:spPr>
        <a:xfrm>
          <a:off x="87027684" y="3396783"/>
          <a:ext cx="7722491" cy="1929364"/>
        </a:xfrm>
        <a:prstGeom prst="rect">
          <a:avLst/>
        </a:prstGeom>
      </xdr:spPr>
    </xdr:pic>
    <xdr:clientData/>
  </xdr:twoCellAnchor>
  <xdr:twoCellAnchor editAs="oneCell">
    <xdr:from>
      <xdr:col>59</xdr:col>
      <xdr:colOff>144236</xdr:colOff>
      <xdr:row>81</xdr:row>
      <xdr:rowOff>189140</xdr:rowOff>
    </xdr:from>
    <xdr:to>
      <xdr:col>76</xdr:col>
      <xdr:colOff>291785</xdr:colOff>
      <xdr:row>133</xdr:row>
      <xdr:rowOff>114312</xdr:rowOff>
    </xdr:to>
    <xdr:pic>
      <xdr:nvPicPr>
        <xdr:cNvPr id="42" name="Picture 41">
          <a:extLst>
            <a:ext uri="{FF2B5EF4-FFF2-40B4-BE49-F238E27FC236}">
              <a16:creationId xmlns:a16="http://schemas.microsoft.com/office/drawing/2014/main" id="{6DC3E142-7E42-52A2-DB2A-90D296AC5060}"/>
            </a:ext>
          </a:extLst>
        </xdr:cNvPr>
        <xdr:cNvPicPr>
          <a:picLocks noChangeAspect="1"/>
        </xdr:cNvPicPr>
      </xdr:nvPicPr>
      <xdr:blipFill>
        <a:blip xmlns:r="http://schemas.openxmlformats.org/officeDocument/2006/relationships" r:embed="rId36"/>
        <a:stretch>
          <a:fillRect/>
        </a:stretch>
      </xdr:blipFill>
      <xdr:spPr>
        <a:xfrm>
          <a:off x="38067343" y="15619640"/>
          <a:ext cx="11469693" cy="9831172"/>
        </a:xfrm>
        <a:prstGeom prst="rect">
          <a:avLst/>
        </a:prstGeom>
      </xdr:spPr>
    </xdr:pic>
    <xdr:clientData/>
  </xdr:twoCellAnchor>
  <xdr:twoCellAnchor editAs="oneCell">
    <xdr:from>
      <xdr:col>80</xdr:col>
      <xdr:colOff>47625</xdr:colOff>
      <xdr:row>22</xdr:row>
      <xdr:rowOff>0</xdr:rowOff>
    </xdr:from>
    <xdr:to>
      <xdr:col>97</xdr:col>
      <xdr:colOff>582545</xdr:colOff>
      <xdr:row>40</xdr:row>
      <xdr:rowOff>479</xdr:rowOff>
    </xdr:to>
    <xdr:pic>
      <xdr:nvPicPr>
        <xdr:cNvPr id="44" name="Picture 43">
          <a:extLst>
            <a:ext uri="{FF2B5EF4-FFF2-40B4-BE49-F238E27FC236}">
              <a16:creationId xmlns:a16="http://schemas.microsoft.com/office/drawing/2014/main" id="{CDB544E8-35A7-4B79-B47B-CA8608D961B1}"/>
            </a:ext>
          </a:extLst>
        </xdr:cNvPr>
        <xdr:cNvPicPr>
          <a:picLocks noChangeAspect="1"/>
        </xdr:cNvPicPr>
      </xdr:nvPicPr>
      <xdr:blipFill>
        <a:blip xmlns:r="http://schemas.openxmlformats.org/officeDocument/2006/relationships" r:embed="rId37"/>
        <a:stretch>
          <a:fillRect/>
        </a:stretch>
      </xdr:blipFill>
      <xdr:spPr>
        <a:xfrm>
          <a:off x="50653950" y="4191000"/>
          <a:ext cx="10898121" cy="3429479"/>
        </a:xfrm>
        <a:prstGeom prst="rect">
          <a:avLst/>
        </a:prstGeom>
      </xdr:spPr>
    </xdr:pic>
    <xdr:clientData/>
  </xdr:twoCellAnchor>
  <xdr:twoCellAnchor editAs="oneCell">
    <xdr:from>
      <xdr:col>31</xdr:col>
      <xdr:colOff>0</xdr:colOff>
      <xdr:row>75</xdr:row>
      <xdr:rowOff>0</xdr:rowOff>
    </xdr:from>
    <xdr:to>
      <xdr:col>39</xdr:col>
      <xdr:colOff>200025</xdr:colOff>
      <xdr:row>80</xdr:row>
      <xdr:rowOff>114300</xdr:rowOff>
    </xdr:to>
    <xdr:pic>
      <xdr:nvPicPr>
        <xdr:cNvPr id="43" name="Picture 42">
          <a:extLst>
            <a:ext uri="{FF2B5EF4-FFF2-40B4-BE49-F238E27FC236}">
              <a16:creationId xmlns:a16="http://schemas.microsoft.com/office/drawing/2014/main" id="{1A98EDA4-C2F6-64C0-ACEC-07338A9A9528}"/>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20050125" y="14287500"/>
          <a:ext cx="5267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514350</xdr:colOff>
      <xdr:row>80</xdr:row>
      <xdr:rowOff>28575</xdr:rowOff>
    </xdr:from>
    <xdr:to>
      <xdr:col>42</xdr:col>
      <xdr:colOff>171450</xdr:colOff>
      <xdr:row>84</xdr:row>
      <xdr:rowOff>19050</xdr:rowOff>
    </xdr:to>
    <xdr:pic>
      <xdr:nvPicPr>
        <xdr:cNvPr id="45" name="Picture 44">
          <a:extLst>
            <a:ext uri="{FF2B5EF4-FFF2-40B4-BE49-F238E27FC236}">
              <a16:creationId xmlns:a16="http://schemas.microsoft.com/office/drawing/2014/main" id="{E74CD32E-2BD8-02E5-6481-823AAA2753F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9954875" y="15268575"/>
          <a:ext cx="7620000"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148</xdr:col>
      <xdr:colOff>886106</xdr:colOff>
      <xdr:row>28</xdr:row>
      <xdr:rowOff>128598</xdr:rowOff>
    </xdr:from>
    <xdr:to>
      <xdr:col>159</xdr:col>
      <xdr:colOff>33020</xdr:colOff>
      <xdr:row>51</xdr:row>
      <xdr:rowOff>74551</xdr:rowOff>
    </xdr:to>
    <xdr:pic>
      <xdr:nvPicPr>
        <xdr:cNvPr id="46" name="Picture 45">
          <a:extLst>
            <a:ext uri="{FF2B5EF4-FFF2-40B4-BE49-F238E27FC236}">
              <a16:creationId xmlns:a16="http://schemas.microsoft.com/office/drawing/2014/main" id="{E9CAF9C8-7D48-4601-8298-0EE473F325C4}"/>
            </a:ext>
          </a:extLst>
        </xdr:cNvPr>
        <xdr:cNvPicPr>
          <a:picLocks noChangeAspect="1"/>
        </xdr:cNvPicPr>
      </xdr:nvPicPr>
      <xdr:blipFill>
        <a:blip xmlns:r="http://schemas.openxmlformats.org/officeDocument/2006/relationships" r:embed="rId40"/>
        <a:stretch>
          <a:fillRect/>
        </a:stretch>
      </xdr:blipFill>
      <xdr:spPr>
        <a:xfrm>
          <a:off x="95414727" y="5423377"/>
          <a:ext cx="7019047" cy="4295237"/>
        </a:xfrm>
        <a:prstGeom prst="rect">
          <a:avLst/>
        </a:prstGeom>
      </xdr:spPr>
    </xdr:pic>
    <xdr:clientData/>
  </xdr:twoCellAnchor>
  <xdr:twoCellAnchor editAs="oneCell">
    <xdr:from>
      <xdr:col>148</xdr:col>
      <xdr:colOff>893848</xdr:colOff>
      <xdr:row>15</xdr:row>
      <xdr:rowOff>44543</xdr:rowOff>
    </xdr:from>
    <xdr:to>
      <xdr:col>154</xdr:col>
      <xdr:colOff>68735</xdr:colOff>
      <xdr:row>27</xdr:row>
      <xdr:rowOff>87797</xdr:rowOff>
    </xdr:to>
    <xdr:pic>
      <xdr:nvPicPr>
        <xdr:cNvPr id="47" name="Picture 46">
          <a:extLst>
            <a:ext uri="{FF2B5EF4-FFF2-40B4-BE49-F238E27FC236}">
              <a16:creationId xmlns:a16="http://schemas.microsoft.com/office/drawing/2014/main" id="{B3E33FB3-136D-4E48-965F-77DEC2C1F42A}"/>
            </a:ext>
          </a:extLst>
        </xdr:cNvPr>
        <xdr:cNvPicPr>
          <a:picLocks noChangeAspect="1"/>
        </xdr:cNvPicPr>
      </xdr:nvPicPr>
      <xdr:blipFill>
        <a:blip xmlns:r="http://schemas.openxmlformats.org/officeDocument/2006/relationships" r:embed="rId41"/>
        <a:stretch>
          <a:fillRect/>
        </a:stretch>
      </xdr:blipFill>
      <xdr:spPr>
        <a:xfrm>
          <a:off x="95422469" y="2881032"/>
          <a:ext cx="4000420" cy="231244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hyperlink" Target="https://asce7hazardtool.onlin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74B5-2A02-4C45-895A-4D067E2F4F02}">
  <sheetPr codeName="Sheet1"/>
  <dimension ref="B2:C8"/>
  <sheetViews>
    <sheetView zoomScale="130" zoomScaleNormal="130" workbookViewId="0">
      <selection activeCell="D23" sqref="D23"/>
    </sheetView>
  </sheetViews>
  <sheetFormatPr defaultRowHeight="15" x14ac:dyDescent="0.25"/>
  <sheetData>
    <row r="2" spans="2:3" ht="15.75" thickBot="1" x14ac:dyDescent="0.3"/>
    <row r="3" spans="2:3" ht="15.75" thickBot="1" x14ac:dyDescent="0.3">
      <c r="B3" s="13"/>
      <c r="C3" t="s">
        <v>120</v>
      </c>
    </row>
    <row r="4" spans="2:3" ht="15.75" thickBot="1" x14ac:dyDescent="0.3">
      <c r="B4" s="14"/>
      <c r="C4" t="s">
        <v>121</v>
      </c>
    </row>
    <row r="5" spans="2:3" ht="15.75" thickBot="1" x14ac:dyDescent="0.3">
      <c r="B5" s="15"/>
      <c r="C5" t="s">
        <v>122</v>
      </c>
    </row>
    <row r="6" spans="2:3" ht="15.75" thickBot="1" x14ac:dyDescent="0.3">
      <c r="B6" s="16"/>
      <c r="C6" t="s">
        <v>123</v>
      </c>
    </row>
    <row r="7" spans="2:3" ht="15.75" thickBot="1" x14ac:dyDescent="0.3">
      <c r="B7" s="17"/>
      <c r="C7" t="s">
        <v>124</v>
      </c>
    </row>
    <row r="8" spans="2:3" ht="15.75" thickBot="1" x14ac:dyDescent="0.3">
      <c r="B8" s="18"/>
      <c r="C8"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B24F5-7C9F-4AEC-ADEE-CA4B1FB7C0C1}">
  <sheetPr codeName="Sheet2"/>
  <dimension ref="A1:GX135"/>
  <sheetViews>
    <sheetView tabSelected="1" zoomScale="178" zoomScaleNormal="178" workbookViewId="0">
      <selection activeCell="J23" sqref="J23:AB23"/>
    </sheetView>
  </sheetViews>
  <sheetFormatPr defaultColWidth="0" defaultRowHeight="15" zeroHeight="1" x14ac:dyDescent="0.25"/>
  <cols>
    <col min="1" max="1" width="2.7109375" customWidth="1"/>
    <col min="2" max="2" width="3.28515625" customWidth="1"/>
    <col min="3" max="54" width="3" customWidth="1"/>
    <col min="55" max="55" width="3.28515625" customWidth="1"/>
    <col min="56" max="56" width="4.7109375" customWidth="1"/>
    <col min="57" max="64" width="4.7109375" style="5" customWidth="1"/>
    <col min="65" max="65" width="4.7109375" customWidth="1"/>
    <col min="66" max="152" width="4.7109375" hidden="1"/>
    <col min="153" max="206" width="3" hidden="1"/>
    <col min="207" max="16383" width="4.7109375" hidden="1"/>
    <col min="16384" max="16384" width="4.7109375" hidden="1" customWidth="1"/>
  </cols>
  <sheetData>
    <row r="1" spans="1:206" ht="15.75" thickBot="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M1" s="5"/>
    </row>
    <row r="2" spans="1:206" ht="18.75" x14ac:dyDescent="0.3">
      <c r="A2" s="5"/>
      <c r="B2" s="1"/>
      <c r="C2" s="2"/>
      <c r="D2" s="2"/>
      <c r="E2" s="2"/>
      <c r="F2" s="2"/>
      <c r="G2" s="2"/>
      <c r="H2" s="2"/>
      <c r="I2" s="2"/>
      <c r="J2" s="2"/>
      <c r="K2" s="2"/>
      <c r="L2" s="2"/>
      <c r="M2" s="2"/>
      <c r="N2" s="2"/>
      <c r="O2" s="3"/>
      <c r="P2" s="48" t="s">
        <v>1014</v>
      </c>
      <c r="Q2" s="44"/>
      <c r="R2" s="44"/>
      <c r="S2" s="44"/>
      <c r="T2" s="44"/>
      <c r="U2" s="44"/>
      <c r="V2" s="44"/>
      <c r="W2" s="44"/>
      <c r="X2" s="44"/>
      <c r="Y2" s="44"/>
      <c r="Z2" s="44"/>
      <c r="AA2" s="44"/>
      <c r="AB2" s="44"/>
      <c r="AC2" s="44"/>
      <c r="AD2" s="44"/>
      <c r="AE2" s="44"/>
      <c r="AF2" s="44"/>
      <c r="AG2" s="44"/>
      <c r="AH2" s="44"/>
      <c r="AI2" s="44"/>
      <c r="AJ2" s="44"/>
      <c r="AK2" s="44"/>
      <c r="AL2" s="44"/>
      <c r="AM2" s="44"/>
      <c r="AN2" s="44"/>
      <c r="AO2" s="45"/>
      <c r="AP2" s="1"/>
      <c r="AQ2" s="2"/>
      <c r="AR2" s="2"/>
      <c r="AS2" s="2"/>
      <c r="AT2" s="2"/>
      <c r="AU2" s="2"/>
      <c r="AV2" s="2"/>
      <c r="AW2" s="2"/>
      <c r="AX2" s="2"/>
      <c r="AY2" s="2"/>
      <c r="AZ2" s="2"/>
      <c r="BA2" s="2"/>
      <c r="BB2" s="2"/>
      <c r="BC2" s="3"/>
      <c r="BD2" s="251"/>
      <c r="BM2" s="251"/>
      <c r="EW2" s="1"/>
      <c r="EX2" s="2"/>
      <c r="EY2" s="2"/>
      <c r="EZ2" s="2"/>
      <c r="FA2" s="2"/>
      <c r="FB2" s="2"/>
      <c r="FC2" s="2"/>
      <c r="FD2" s="2"/>
      <c r="FE2" s="2"/>
      <c r="FF2" s="2"/>
      <c r="FG2" s="2"/>
      <c r="FH2" s="2"/>
      <c r="FI2" s="2"/>
      <c r="FJ2" s="3"/>
      <c r="FK2" s="48" t="s">
        <v>1014</v>
      </c>
      <c r="FL2" s="44"/>
      <c r="FM2" s="44"/>
      <c r="FN2" s="44"/>
      <c r="FO2" s="44"/>
      <c r="FP2" s="44"/>
      <c r="FQ2" s="44"/>
      <c r="FR2" s="44"/>
      <c r="FS2" s="44"/>
      <c r="FT2" s="44"/>
      <c r="FU2" s="44"/>
      <c r="FV2" s="44"/>
      <c r="FW2" s="44"/>
      <c r="FX2" s="44"/>
      <c r="FY2" s="44"/>
      <c r="FZ2" s="44"/>
      <c r="GA2" s="44"/>
      <c r="GB2" s="44"/>
      <c r="GC2" s="44"/>
      <c r="GD2" s="44"/>
      <c r="GE2" s="44"/>
      <c r="GF2" s="44"/>
      <c r="GG2" s="44"/>
      <c r="GH2" s="44"/>
      <c r="GI2" s="44"/>
      <c r="GJ2" s="45"/>
      <c r="GK2" s="1"/>
      <c r="GL2" s="2"/>
      <c r="GM2" s="2"/>
      <c r="GN2" s="2"/>
      <c r="GO2" s="2"/>
      <c r="GP2" s="2"/>
      <c r="GQ2" s="2"/>
      <c r="GR2" s="2"/>
      <c r="GS2" s="2"/>
      <c r="GT2" s="2"/>
      <c r="GU2" s="2"/>
      <c r="GV2" s="2"/>
      <c r="GW2" s="2"/>
      <c r="GX2" s="3"/>
    </row>
    <row r="3" spans="1:206" ht="19.5" thickBot="1" x14ac:dyDescent="0.35">
      <c r="A3" s="5"/>
      <c r="B3" s="4"/>
      <c r="C3" s="5"/>
      <c r="D3" s="5"/>
      <c r="E3" s="5"/>
      <c r="F3" s="5"/>
      <c r="G3" s="5"/>
      <c r="H3" s="5"/>
      <c r="I3" s="5"/>
      <c r="J3" s="5"/>
      <c r="K3" s="5"/>
      <c r="L3" s="5"/>
      <c r="M3" s="5"/>
      <c r="N3" s="5"/>
      <c r="O3" s="6"/>
      <c r="P3" s="49" t="s">
        <v>1845</v>
      </c>
      <c r="Q3" s="46"/>
      <c r="R3" s="46"/>
      <c r="S3" s="46"/>
      <c r="T3" s="46"/>
      <c r="U3" s="46"/>
      <c r="V3" s="46"/>
      <c r="W3" s="46"/>
      <c r="X3" s="46"/>
      <c r="Y3" s="46"/>
      <c r="Z3" s="46"/>
      <c r="AA3" s="46"/>
      <c r="AB3" s="46"/>
      <c r="AC3" s="46"/>
      <c r="AD3" s="46"/>
      <c r="AE3" s="46"/>
      <c r="AF3" s="46"/>
      <c r="AG3" s="46"/>
      <c r="AH3" s="46"/>
      <c r="AI3" s="46"/>
      <c r="AJ3" s="46"/>
      <c r="AK3" s="46"/>
      <c r="AL3" s="46"/>
      <c r="AM3" s="46"/>
      <c r="AN3" s="46"/>
      <c r="AO3" s="47"/>
      <c r="AP3" s="4"/>
      <c r="AQ3" s="5"/>
      <c r="AR3" s="5"/>
      <c r="AS3" s="5"/>
      <c r="AT3" s="5"/>
      <c r="AU3" s="5"/>
      <c r="AV3" s="5"/>
      <c r="AW3" s="5"/>
      <c r="AX3" s="5"/>
      <c r="AY3" s="5"/>
      <c r="AZ3" s="5"/>
      <c r="BA3" s="5"/>
      <c r="BB3" s="5"/>
      <c r="BC3" s="6"/>
      <c r="BD3" s="251"/>
      <c r="BM3" s="251"/>
      <c r="EW3" s="4"/>
      <c r="EX3" s="5"/>
      <c r="EY3" s="5"/>
      <c r="EZ3" s="5"/>
      <c r="FA3" s="5"/>
      <c r="FB3" s="5"/>
      <c r="FC3" s="5"/>
      <c r="FD3" s="5"/>
      <c r="FE3" s="5"/>
      <c r="FF3" s="5"/>
      <c r="FG3" s="5"/>
      <c r="FH3" s="5"/>
      <c r="FI3" s="5"/>
      <c r="FJ3" s="6"/>
      <c r="FK3" s="49" t="s">
        <v>1035</v>
      </c>
      <c r="FL3" s="46"/>
      <c r="FM3" s="46"/>
      <c r="FN3" s="46"/>
      <c r="FO3" s="46"/>
      <c r="FP3" s="46"/>
      <c r="FQ3" s="46"/>
      <c r="FR3" s="46"/>
      <c r="FS3" s="46"/>
      <c r="FT3" s="46"/>
      <c r="FU3" s="46"/>
      <c r="FV3" s="46"/>
      <c r="FW3" s="46"/>
      <c r="FX3" s="46"/>
      <c r="FY3" s="46"/>
      <c r="FZ3" s="46"/>
      <c r="GA3" s="46"/>
      <c r="GB3" s="46"/>
      <c r="GC3" s="46"/>
      <c r="GD3" s="46"/>
      <c r="GE3" s="46"/>
      <c r="GF3" s="46"/>
      <c r="GG3" s="46"/>
      <c r="GH3" s="46"/>
      <c r="GI3" s="46"/>
      <c r="GJ3" s="47"/>
      <c r="GK3" s="4"/>
      <c r="GL3" s="5"/>
      <c r="GM3" s="5"/>
      <c r="GN3" s="5"/>
      <c r="GO3" s="5"/>
      <c r="GP3" s="5"/>
      <c r="GQ3" s="5"/>
      <c r="GR3" s="5"/>
      <c r="GS3" s="5"/>
      <c r="GT3" s="5"/>
      <c r="GU3" s="5"/>
      <c r="GV3" s="5"/>
      <c r="GW3" s="5"/>
      <c r="GX3" s="6"/>
    </row>
    <row r="4" spans="1:206" x14ac:dyDescent="0.25">
      <c r="A4" s="5"/>
      <c r="B4" s="4"/>
      <c r="C4" s="5"/>
      <c r="D4" s="5"/>
      <c r="E4" s="5"/>
      <c r="F4" s="5"/>
      <c r="G4" s="5"/>
      <c r="H4" s="5"/>
      <c r="I4" s="5"/>
      <c r="J4" s="5"/>
      <c r="K4" s="5"/>
      <c r="L4" s="5"/>
      <c r="M4" s="5"/>
      <c r="N4" s="5"/>
      <c r="O4" s="5"/>
      <c r="P4" s="50" t="s">
        <v>1851</v>
      </c>
      <c r="Q4" s="33"/>
      <c r="R4" s="33"/>
      <c r="S4" s="33"/>
      <c r="T4" s="34"/>
      <c r="U4" s="162"/>
      <c r="V4" s="133"/>
      <c r="W4" s="133"/>
      <c r="X4" s="133"/>
      <c r="Y4" s="133"/>
      <c r="Z4" s="133"/>
      <c r="AA4" s="133"/>
      <c r="AB4" s="133"/>
      <c r="AC4" s="133"/>
      <c r="AD4" s="133"/>
      <c r="AE4" s="133"/>
      <c r="AF4" s="134"/>
      <c r="AG4" s="53" t="s">
        <v>1028</v>
      </c>
      <c r="AH4" s="33"/>
      <c r="AI4" s="33"/>
      <c r="AJ4" s="34"/>
      <c r="AK4" s="140"/>
      <c r="AL4" s="133"/>
      <c r="AM4" s="133"/>
      <c r="AN4" s="133"/>
      <c r="AO4" s="141"/>
      <c r="AP4" s="5"/>
      <c r="AQ4" s="5"/>
      <c r="AR4" s="5"/>
      <c r="AS4" s="5"/>
      <c r="AT4" s="5"/>
      <c r="AU4" s="5"/>
      <c r="AV4" s="5"/>
      <c r="AW4" s="5"/>
      <c r="AX4" s="5"/>
      <c r="AY4" s="5"/>
      <c r="AZ4" s="5"/>
      <c r="BA4" s="5"/>
      <c r="BB4" s="5"/>
      <c r="BC4" s="6"/>
      <c r="BD4" s="251"/>
      <c r="BM4" s="251"/>
      <c r="EW4" s="4"/>
      <c r="EX4" s="5"/>
      <c r="EY4" s="5"/>
      <c r="EZ4" s="5"/>
      <c r="FA4" s="5"/>
      <c r="FB4" s="5"/>
      <c r="FC4" s="5"/>
      <c r="FD4" s="5"/>
      <c r="FE4" s="5"/>
      <c r="FF4" s="5"/>
      <c r="FG4" s="5"/>
      <c r="FH4" s="5"/>
      <c r="FI4" s="5"/>
      <c r="FJ4" s="5"/>
      <c r="FK4" s="50" t="s">
        <v>1024</v>
      </c>
      <c r="FL4" s="33"/>
      <c r="FM4" s="33"/>
      <c r="FN4" s="33"/>
      <c r="FO4" s="34"/>
      <c r="FP4" s="35"/>
      <c r="FQ4" s="33"/>
      <c r="FR4" s="33"/>
      <c r="FS4" s="33"/>
      <c r="FT4" s="33"/>
      <c r="FU4" s="33"/>
      <c r="FV4" s="33"/>
      <c r="FW4" s="33"/>
      <c r="FX4" s="33"/>
      <c r="FY4" s="33"/>
      <c r="FZ4" s="33"/>
      <c r="GA4" s="34"/>
      <c r="GB4" s="53" t="s">
        <v>1028</v>
      </c>
      <c r="GC4" s="33"/>
      <c r="GD4" s="33"/>
      <c r="GE4" s="34"/>
      <c r="GF4" s="35"/>
      <c r="GG4" s="33"/>
      <c r="GH4" s="33"/>
      <c r="GI4" s="33"/>
      <c r="GJ4" s="36"/>
      <c r="GK4" s="5"/>
      <c r="GL4" s="5"/>
      <c r="GM4" s="5"/>
      <c r="GN4" s="5"/>
      <c r="GO4" s="5"/>
      <c r="GP4" s="5"/>
      <c r="GQ4" s="5"/>
      <c r="GR4" s="5"/>
      <c r="GS4" s="5"/>
      <c r="GT4" s="5"/>
      <c r="GU4" s="5"/>
      <c r="GV4" s="5"/>
      <c r="GW4" s="5"/>
      <c r="GX4" s="6"/>
    </row>
    <row r="5" spans="1:206" x14ac:dyDescent="0.25">
      <c r="A5" s="5"/>
      <c r="B5" s="4"/>
      <c r="C5" s="5"/>
      <c r="D5" s="5"/>
      <c r="E5" s="5"/>
      <c r="F5" s="5"/>
      <c r="G5" s="5"/>
      <c r="H5" s="5"/>
      <c r="I5" s="5"/>
      <c r="J5" s="5"/>
      <c r="K5" s="5"/>
      <c r="L5" s="5"/>
      <c r="M5" s="5"/>
      <c r="N5" s="5"/>
      <c r="O5" s="5"/>
      <c r="P5" s="51" t="s">
        <v>1025</v>
      </c>
      <c r="Q5" s="31"/>
      <c r="R5" s="31"/>
      <c r="S5" s="31"/>
      <c r="T5" s="32"/>
      <c r="U5" s="135"/>
      <c r="V5" s="136"/>
      <c r="W5" s="136"/>
      <c r="X5" s="136"/>
      <c r="Y5" s="136"/>
      <c r="Z5" s="136"/>
      <c r="AA5" s="136"/>
      <c r="AB5" s="136"/>
      <c r="AC5" s="136"/>
      <c r="AD5" s="136"/>
      <c r="AE5" s="136"/>
      <c r="AF5" s="137"/>
      <c r="AG5" s="54" t="s">
        <v>1029</v>
      </c>
      <c r="AH5" s="31"/>
      <c r="AI5" s="31"/>
      <c r="AJ5" s="32"/>
      <c r="AK5" s="337"/>
      <c r="AL5" s="338"/>
      <c r="AM5" s="338"/>
      <c r="AN5" s="338"/>
      <c r="AO5" s="339"/>
      <c r="AP5" s="5"/>
      <c r="AQ5" s="5"/>
      <c r="AR5" s="5"/>
      <c r="AS5" s="5"/>
      <c r="AT5" s="5"/>
      <c r="AU5" s="5"/>
      <c r="AV5" s="5"/>
      <c r="AW5" s="5"/>
      <c r="AX5" s="5"/>
      <c r="AY5" s="5"/>
      <c r="AZ5" s="5"/>
      <c r="BA5" s="5"/>
      <c r="BB5" s="5"/>
      <c r="BC5" s="6"/>
      <c r="BD5" s="251"/>
      <c r="BM5" s="251"/>
      <c r="EW5" s="4"/>
      <c r="EX5" s="5"/>
      <c r="EY5" s="5"/>
      <c r="EZ5" s="5"/>
      <c r="FA5" s="5"/>
      <c r="FB5" s="5"/>
      <c r="FC5" s="5"/>
      <c r="FD5" s="5"/>
      <c r="FE5" s="5"/>
      <c r="FF5" s="5"/>
      <c r="FG5" s="5"/>
      <c r="FH5" s="5"/>
      <c r="FI5" s="5"/>
      <c r="FJ5" s="5"/>
      <c r="FK5" s="51" t="s">
        <v>1025</v>
      </c>
      <c r="FL5" s="31"/>
      <c r="FM5" s="31"/>
      <c r="FN5" s="31"/>
      <c r="FO5" s="32"/>
      <c r="FP5" s="30"/>
      <c r="FQ5" s="31"/>
      <c r="FR5" s="31"/>
      <c r="FS5" s="31"/>
      <c r="FT5" s="31"/>
      <c r="FU5" s="31"/>
      <c r="FV5" s="31"/>
      <c r="FW5" s="31"/>
      <c r="FX5" s="31"/>
      <c r="FY5" s="31"/>
      <c r="FZ5" s="31"/>
      <c r="GA5" s="32"/>
      <c r="GB5" s="54" t="s">
        <v>1029</v>
      </c>
      <c r="GC5" s="31"/>
      <c r="GD5" s="31"/>
      <c r="GE5" s="32"/>
      <c r="GF5" s="30"/>
      <c r="GG5" s="31"/>
      <c r="GH5" s="31"/>
      <c r="GI5" s="31"/>
      <c r="GJ5" s="37"/>
      <c r="GK5" s="5"/>
      <c r="GL5" s="5"/>
      <c r="GM5" s="5"/>
      <c r="GN5" s="5"/>
      <c r="GO5" s="5"/>
      <c r="GP5" s="5"/>
      <c r="GQ5" s="5"/>
      <c r="GR5" s="5"/>
      <c r="GS5" s="5"/>
      <c r="GT5" s="5"/>
      <c r="GU5" s="5"/>
      <c r="GV5" s="5"/>
      <c r="GW5" s="5"/>
      <c r="GX5" s="6"/>
    </row>
    <row r="6" spans="1:206" x14ac:dyDescent="0.25">
      <c r="A6" s="5"/>
      <c r="B6" s="4"/>
      <c r="C6" s="5"/>
      <c r="D6" s="5"/>
      <c r="E6" s="5"/>
      <c r="F6" s="5"/>
      <c r="G6" s="5"/>
      <c r="H6" s="5"/>
      <c r="I6" s="5"/>
      <c r="J6" s="5"/>
      <c r="K6" s="5"/>
      <c r="L6" s="5"/>
      <c r="M6" s="5"/>
      <c r="N6" s="5"/>
      <c r="O6" s="5"/>
      <c r="P6" s="51" t="s">
        <v>1026</v>
      </c>
      <c r="Q6" s="31"/>
      <c r="R6" s="31"/>
      <c r="S6" s="31"/>
      <c r="T6" s="32"/>
      <c r="U6" s="135"/>
      <c r="V6" s="136"/>
      <c r="W6" s="136"/>
      <c r="X6" s="136"/>
      <c r="Y6" s="136"/>
      <c r="Z6" s="136"/>
      <c r="AA6" s="136"/>
      <c r="AB6" s="136"/>
      <c r="AC6" s="136"/>
      <c r="AD6" s="136"/>
      <c r="AE6" s="136"/>
      <c r="AF6" s="137"/>
      <c r="AG6" s="54" t="s">
        <v>1030</v>
      </c>
      <c r="AH6" s="31"/>
      <c r="AI6" s="31"/>
      <c r="AJ6" s="32"/>
      <c r="AK6" s="163"/>
      <c r="AL6" s="164"/>
      <c r="AM6" s="164"/>
      <c r="AN6" s="164"/>
      <c r="AO6" s="165"/>
      <c r="AP6" s="5"/>
      <c r="AQ6" s="5"/>
      <c r="AR6" s="5"/>
      <c r="AS6" s="5"/>
      <c r="AT6" s="5"/>
      <c r="AU6" s="5"/>
      <c r="AV6" s="5"/>
      <c r="AW6" s="5"/>
      <c r="AX6" s="5"/>
      <c r="AY6" s="5"/>
      <c r="AZ6" s="5"/>
      <c r="BA6" s="5"/>
      <c r="BB6" s="5"/>
      <c r="BC6" s="6"/>
      <c r="BD6" s="251"/>
      <c r="BM6" s="251"/>
      <c r="EW6" s="4"/>
      <c r="EX6" s="5"/>
      <c r="EY6" s="5"/>
      <c r="EZ6" s="5"/>
      <c r="FA6" s="5"/>
      <c r="FB6" s="5"/>
      <c r="FC6" s="5"/>
      <c r="FD6" s="5"/>
      <c r="FE6" s="5"/>
      <c r="FF6" s="5"/>
      <c r="FG6" s="5"/>
      <c r="FH6" s="5"/>
      <c r="FI6" s="5"/>
      <c r="FJ6" s="5"/>
      <c r="FK6" s="51" t="s">
        <v>1026</v>
      </c>
      <c r="FL6" s="31"/>
      <c r="FM6" s="31"/>
      <c r="FN6" s="31"/>
      <c r="FO6" s="32"/>
      <c r="FP6" s="30"/>
      <c r="FQ6" s="31"/>
      <c r="FR6" s="31"/>
      <c r="FS6" s="31"/>
      <c r="FT6" s="31"/>
      <c r="FU6" s="31"/>
      <c r="FV6" s="31"/>
      <c r="FW6" s="31"/>
      <c r="FX6" s="31"/>
      <c r="FY6" s="31"/>
      <c r="FZ6" s="31"/>
      <c r="GA6" s="32"/>
      <c r="GB6" s="54" t="s">
        <v>1030</v>
      </c>
      <c r="GC6" s="31"/>
      <c r="GD6" s="31"/>
      <c r="GE6" s="32"/>
      <c r="GF6" s="30"/>
      <c r="GG6" s="31"/>
      <c r="GH6" s="31"/>
      <c r="GI6" s="31"/>
      <c r="GJ6" s="37"/>
      <c r="GK6" s="5"/>
      <c r="GL6" s="5"/>
      <c r="GM6" s="5"/>
      <c r="GN6" s="5"/>
      <c r="GO6" s="5"/>
      <c r="GP6" s="5"/>
      <c r="GQ6" s="5"/>
      <c r="GR6" s="5"/>
      <c r="GS6" s="5"/>
      <c r="GT6" s="5"/>
      <c r="GU6" s="5"/>
      <c r="GV6" s="5"/>
      <c r="GW6" s="5"/>
      <c r="GX6" s="6"/>
    </row>
    <row r="7" spans="1:206" x14ac:dyDescent="0.25">
      <c r="A7" s="5"/>
      <c r="B7" s="4"/>
      <c r="C7" s="5"/>
      <c r="D7" s="5"/>
      <c r="E7" s="5"/>
      <c r="F7" s="5"/>
      <c r="G7" s="5"/>
      <c r="H7" s="5"/>
      <c r="I7" s="5"/>
      <c r="J7" s="5"/>
      <c r="K7" s="5"/>
      <c r="L7" s="5"/>
      <c r="M7" s="5"/>
      <c r="N7" s="5"/>
      <c r="O7" s="5"/>
      <c r="P7" s="51" t="s">
        <v>1027</v>
      </c>
      <c r="Q7" s="31"/>
      <c r="R7" s="31"/>
      <c r="S7" s="31"/>
      <c r="T7" s="32"/>
      <c r="U7" s="135"/>
      <c r="V7" s="136"/>
      <c r="W7" s="136"/>
      <c r="X7" s="136"/>
      <c r="Y7" s="136"/>
      <c r="Z7" s="136"/>
      <c r="AA7" s="136"/>
      <c r="AB7" s="136"/>
      <c r="AC7" s="136"/>
      <c r="AD7" s="136"/>
      <c r="AE7" s="136"/>
      <c r="AF7" s="137"/>
      <c r="AG7" s="55" t="s">
        <v>1031</v>
      </c>
      <c r="AH7" s="43"/>
      <c r="AI7" s="43"/>
      <c r="AJ7" s="42"/>
      <c r="AK7" s="337"/>
      <c r="AL7" s="338"/>
      <c r="AM7" s="338"/>
      <c r="AN7" s="338"/>
      <c r="AO7" s="339"/>
      <c r="AP7" s="5"/>
      <c r="AQ7" s="5"/>
      <c r="AR7" s="5"/>
      <c r="AS7" s="5"/>
      <c r="AT7" s="5"/>
      <c r="AU7" s="5"/>
      <c r="AV7" s="5"/>
      <c r="AW7" s="5"/>
      <c r="AX7" s="5"/>
      <c r="AY7" s="5"/>
      <c r="AZ7" s="5"/>
      <c r="BA7" s="5"/>
      <c r="BB7" s="5"/>
      <c r="BC7" s="6"/>
      <c r="BD7" s="251"/>
      <c r="BM7" s="251"/>
      <c r="EW7" s="4"/>
      <c r="EX7" s="5"/>
      <c r="EY7" s="5"/>
      <c r="EZ7" s="5"/>
      <c r="FA7" s="5"/>
      <c r="FB7" s="5"/>
      <c r="FC7" s="5"/>
      <c r="FD7" s="5"/>
      <c r="FE7" s="5"/>
      <c r="FF7" s="5"/>
      <c r="FG7" s="5"/>
      <c r="FH7" s="5"/>
      <c r="FI7" s="5"/>
      <c r="FJ7" s="5"/>
      <c r="FK7" s="51" t="s">
        <v>1027</v>
      </c>
      <c r="FL7" s="31"/>
      <c r="FM7" s="31"/>
      <c r="FN7" s="31"/>
      <c r="FO7" s="32"/>
      <c r="FP7" s="30"/>
      <c r="FQ7" s="31"/>
      <c r="FR7" s="31"/>
      <c r="FS7" s="31"/>
      <c r="FT7" s="31"/>
      <c r="FU7" s="31"/>
      <c r="FV7" s="31"/>
      <c r="FW7" s="31"/>
      <c r="FX7" s="31"/>
      <c r="FY7" s="31"/>
      <c r="FZ7" s="31"/>
      <c r="GA7" s="32"/>
      <c r="GB7" s="55" t="s">
        <v>1031</v>
      </c>
      <c r="GC7" s="43"/>
      <c r="GD7" s="43"/>
      <c r="GE7" s="42"/>
      <c r="GF7" s="30"/>
      <c r="GG7" s="31"/>
      <c r="GH7" s="31"/>
      <c r="GI7" s="31"/>
      <c r="GJ7" s="37"/>
      <c r="GK7" s="5"/>
      <c r="GL7" s="5"/>
      <c r="GM7" s="5"/>
      <c r="GN7" s="5"/>
      <c r="GO7" s="5"/>
      <c r="GP7" s="5"/>
      <c r="GQ7" s="5"/>
      <c r="GR7" s="5"/>
      <c r="GS7" s="5"/>
      <c r="GT7" s="5"/>
      <c r="GU7" s="5"/>
      <c r="GV7" s="5"/>
      <c r="GW7" s="5"/>
      <c r="GX7" s="6"/>
    </row>
    <row r="8" spans="1:206" ht="15.75" thickBot="1" x14ac:dyDescent="0.3">
      <c r="A8" s="5"/>
      <c r="B8" s="4"/>
      <c r="C8" s="7"/>
      <c r="D8" s="7"/>
      <c r="E8" s="7"/>
      <c r="F8" s="7"/>
      <c r="G8" s="7"/>
      <c r="H8" s="7"/>
      <c r="I8" s="7"/>
      <c r="J8" s="7"/>
      <c r="K8" s="7"/>
      <c r="L8" s="7"/>
      <c r="M8" s="7"/>
      <c r="N8" s="7"/>
      <c r="O8" s="7"/>
      <c r="P8" s="52" t="s">
        <v>1034</v>
      </c>
      <c r="Q8" s="38"/>
      <c r="R8" s="38"/>
      <c r="S8" s="38"/>
      <c r="T8" s="39"/>
      <c r="U8" s="138"/>
      <c r="V8" s="139"/>
      <c r="W8" s="139"/>
      <c r="X8" s="139"/>
      <c r="Y8" s="139"/>
      <c r="Z8" s="139"/>
      <c r="AA8" s="139"/>
      <c r="AB8" s="139"/>
      <c r="AC8" s="139"/>
      <c r="AD8" s="139"/>
      <c r="AE8" s="139"/>
      <c r="AF8" s="139"/>
      <c r="AG8" s="56" t="s">
        <v>1032</v>
      </c>
      <c r="AH8" s="38"/>
      <c r="AI8" s="38"/>
      <c r="AJ8" s="39"/>
      <c r="AK8" s="142"/>
      <c r="AL8" s="166"/>
      <c r="AM8" s="57" t="s">
        <v>1033</v>
      </c>
      <c r="AN8" s="138"/>
      <c r="AO8" s="167"/>
      <c r="AP8" s="7"/>
      <c r="AQ8" s="7"/>
      <c r="AR8" s="7"/>
      <c r="AS8" s="7"/>
      <c r="AT8" s="7"/>
      <c r="AU8" s="7"/>
      <c r="AV8" s="7"/>
      <c r="AW8" s="7"/>
      <c r="AX8" s="7"/>
      <c r="AY8" s="7"/>
      <c r="AZ8" s="7"/>
      <c r="BA8" s="7"/>
      <c r="BB8" s="7"/>
      <c r="BC8" s="6"/>
      <c r="BD8" s="251"/>
      <c r="BM8" s="251"/>
      <c r="EW8" s="4"/>
      <c r="EX8" s="7"/>
      <c r="EY8" s="7"/>
      <c r="EZ8" s="7"/>
      <c r="FA8" s="7"/>
      <c r="FB8" s="7"/>
      <c r="FC8" s="7"/>
      <c r="FD8" s="7"/>
      <c r="FE8" s="7"/>
      <c r="FF8" s="7"/>
      <c r="FG8" s="7"/>
      <c r="FH8" s="7"/>
      <c r="FI8" s="7"/>
      <c r="FJ8" s="7"/>
      <c r="FK8" s="52" t="s">
        <v>1034</v>
      </c>
      <c r="FL8" s="38"/>
      <c r="FM8" s="38"/>
      <c r="FN8" s="38"/>
      <c r="FO8" s="39"/>
      <c r="FP8" s="7"/>
      <c r="FQ8" s="7"/>
      <c r="FR8" s="7"/>
      <c r="FS8" s="7"/>
      <c r="FT8" s="7"/>
      <c r="FU8" s="7"/>
      <c r="FV8" s="7"/>
      <c r="FW8" s="7"/>
      <c r="FX8" s="7"/>
      <c r="FY8" s="7"/>
      <c r="FZ8" s="7"/>
      <c r="GA8" s="7"/>
      <c r="GB8" s="56" t="s">
        <v>1032</v>
      </c>
      <c r="GC8" s="38"/>
      <c r="GD8" s="38"/>
      <c r="GE8" s="39"/>
      <c r="GF8" s="41"/>
      <c r="GG8" s="40"/>
      <c r="GH8" s="57" t="s">
        <v>1033</v>
      </c>
      <c r="GI8" s="7"/>
      <c r="GJ8" s="8"/>
      <c r="GK8" s="7"/>
      <c r="GL8" s="7"/>
      <c r="GM8" s="7"/>
      <c r="GN8" s="7"/>
      <c r="GO8" s="7"/>
      <c r="GP8" s="7"/>
      <c r="GQ8" s="7"/>
      <c r="GR8" s="7"/>
      <c r="GS8" s="7"/>
      <c r="GT8" s="7"/>
      <c r="GU8" s="7"/>
      <c r="GV8" s="7"/>
      <c r="GW8" s="7"/>
      <c r="GX8" s="8"/>
    </row>
    <row r="9" spans="1:206" ht="15.75" thickBot="1" x14ac:dyDescent="0.3">
      <c r="A9" s="5"/>
      <c r="B9" s="62">
        <v>1</v>
      </c>
      <c r="C9" s="117" t="s">
        <v>1036</v>
      </c>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62" t="s">
        <v>953</v>
      </c>
      <c r="BD9" s="251"/>
      <c r="BM9" s="251"/>
      <c r="EW9" s="62">
        <v>1</v>
      </c>
      <c r="EX9" s="61" t="s">
        <v>1036</v>
      </c>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2" t="s">
        <v>1037</v>
      </c>
    </row>
    <row r="10" spans="1:206" x14ac:dyDescent="0.25">
      <c r="A10" s="161"/>
      <c r="B10" s="63">
        <v>2</v>
      </c>
      <c r="C10" s="104" t="s">
        <v>1038</v>
      </c>
      <c r="D10" s="72"/>
      <c r="E10" s="72"/>
      <c r="F10" s="72"/>
      <c r="G10" s="72"/>
      <c r="H10" s="72"/>
      <c r="I10" s="72"/>
      <c r="J10" s="72"/>
      <c r="K10" s="72"/>
      <c r="L10" s="72"/>
      <c r="M10" s="72"/>
      <c r="N10" s="72"/>
      <c r="O10" s="76"/>
      <c r="P10" s="123"/>
      <c r="Q10" s="176"/>
      <c r="R10" s="176"/>
      <c r="S10" s="176"/>
      <c r="T10" s="176"/>
      <c r="U10" s="176"/>
      <c r="V10" s="176"/>
      <c r="W10" s="176"/>
      <c r="X10" s="176"/>
      <c r="Y10" s="176"/>
      <c r="Z10" s="176"/>
      <c r="AA10" s="176"/>
      <c r="AB10" s="177"/>
      <c r="AC10" s="71" t="s">
        <v>1050</v>
      </c>
      <c r="AD10" s="72"/>
      <c r="AE10" s="72"/>
      <c r="AF10" s="72"/>
      <c r="AG10" s="72"/>
      <c r="AH10" s="72"/>
      <c r="AI10" s="72"/>
      <c r="AJ10" s="72"/>
      <c r="AK10" s="72"/>
      <c r="AL10" s="72"/>
      <c r="AM10" s="72"/>
      <c r="AN10" s="72"/>
      <c r="AO10" s="76"/>
      <c r="AP10" s="331"/>
      <c r="AQ10" s="332"/>
      <c r="AR10" s="332"/>
      <c r="AS10" s="332"/>
      <c r="AT10" s="332"/>
      <c r="AU10" s="332"/>
      <c r="AV10" s="332"/>
      <c r="AW10" s="332"/>
      <c r="AX10" s="332"/>
      <c r="AY10" s="332"/>
      <c r="AZ10" s="332"/>
      <c r="BA10" s="332"/>
      <c r="BB10" s="333"/>
      <c r="BC10" s="65"/>
      <c r="BD10" s="252"/>
      <c r="BM10" s="252"/>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W10" s="63">
        <v>2</v>
      </c>
      <c r="EX10" s="104" t="s">
        <v>1038</v>
      </c>
      <c r="EY10" s="72"/>
      <c r="EZ10" s="72"/>
      <c r="FA10" s="72"/>
      <c r="FB10" s="72"/>
      <c r="FC10" s="72"/>
      <c r="FD10" s="72"/>
      <c r="FE10" s="72"/>
      <c r="FF10" s="72"/>
      <c r="FG10" s="72"/>
      <c r="FH10" s="72"/>
      <c r="FI10" s="72"/>
      <c r="FJ10" s="76"/>
      <c r="FK10" s="73"/>
      <c r="FL10" s="74"/>
      <c r="FM10" s="74"/>
      <c r="FN10" s="74"/>
      <c r="FO10" s="74"/>
      <c r="FP10" s="74"/>
      <c r="FQ10" s="74"/>
      <c r="FR10" s="74"/>
      <c r="FS10" s="74"/>
      <c r="FT10" s="74"/>
      <c r="FU10" s="74"/>
      <c r="FV10" s="74"/>
      <c r="FW10" s="75"/>
      <c r="FX10" s="71" t="s">
        <v>1050</v>
      </c>
      <c r="FY10" s="72"/>
      <c r="FZ10" s="72"/>
      <c r="GA10" s="72"/>
      <c r="GB10" s="72"/>
      <c r="GC10" s="72"/>
      <c r="GD10" s="72"/>
      <c r="GE10" s="72"/>
      <c r="GF10" s="72"/>
      <c r="GG10" s="72"/>
      <c r="GH10" s="72"/>
      <c r="GI10" s="72"/>
      <c r="GJ10" s="76"/>
      <c r="GK10" s="69"/>
      <c r="GL10" s="69"/>
      <c r="GM10" s="69"/>
      <c r="GN10" s="69"/>
      <c r="GO10" s="69"/>
      <c r="GP10" s="69"/>
      <c r="GQ10" s="69"/>
      <c r="GR10" s="69"/>
      <c r="GS10" s="69"/>
      <c r="GT10" s="69"/>
      <c r="GU10" s="69"/>
      <c r="GV10" s="69"/>
      <c r="GW10" s="69"/>
      <c r="GX10" s="65"/>
    </row>
    <row r="11" spans="1:206" ht="17.25" x14ac:dyDescent="0.25">
      <c r="A11" s="5"/>
      <c r="B11" s="63">
        <v>3</v>
      </c>
      <c r="C11" s="105" t="s">
        <v>1034</v>
      </c>
      <c r="D11" s="78"/>
      <c r="E11" s="78"/>
      <c r="F11" s="78"/>
      <c r="G11" s="78"/>
      <c r="H11" s="78"/>
      <c r="I11" s="78"/>
      <c r="J11" s="78"/>
      <c r="K11" s="78"/>
      <c r="L11" s="78"/>
      <c r="M11" s="78"/>
      <c r="N11" s="78"/>
      <c r="O11" s="82"/>
      <c r="P11" s="281"/>
      <c r="Q11" s="178"/>
      <c r="R11" s="178"/>
      <c r="S11" s="178"/>
      <c r="T11" s="178"/>
      <c r="U11" s="178"/>
      <c r="V11" s="178"/>
      <c r="W11" s="178"/>
      <c r="X11" s="178"/>
      <c r="Y11" s="178"/>
      <c r="Z11" s="178"/>
      <c r="AA11" s="178"/>
      <c r="AB11" s="179"/>
      <c r="AC11" s="77" t="s">
        <v>1051</v>
      </c>
      <c r="AD11" s="78"/>
      <c r="AE11" s="78"/>
      <c r="AF11" s="78"/>
      <c r="AG11" s="78"/>
      <c r="AH11" s="78"/>
      <c r="AI11" s="78"/>
      <c r="AJ11" s="78"/>
      <c r="AK11" s="78"/>
      <c r="AL11" s="78"/>
      <c r="AM11" s="78"/>
      <c r="AN11" s="78"/>
      <c r="AO11" s="82"/>
      <c r="AP11" s="124" t="e">
        <f>Reference!CB1</f>
        <v>#N/A</v>
      </c>
      <c r="AQ11" s="180"/>
      <c r="AR11" s="180"/>
      <c r="AS11" s="80" t="s">
        <v>1101</v>
      </c>
      <c r="AT11" s="80"/>
      <c r="AU11" s="80"/>
      <c r="AV11" s="80"/>
      <c r="AW11" s="80"/>
      <c r="AX11" s="80"/>
      <c r="AY11" s="80"/>
      <c r="AZ11" s="80"/>
      <c r="BA11" s="80"/>
      <c r="BB11" s="80"/>
      <c r="BC11" s="65"/>
      <c r="BD11" s="251"/>
      <c r="BM11" s="251"/>
      <c r="EW11" s="63">
        <v>3</v>
      </c>
      <c r="EX11" s="105" t="s">
        <v>1034</v>
      </c>
      <c r="EY11" s="78"/>
      <c r="EZ11" s="78"/>
      <c r="FA11" s="78"/>
      <c r="FB11" s="78"/>
      <c r="FC11" s="78"/>
      <c r="FD11" s="78"/>
      <c r="FE11" s="78"/>
      <c r="FF11" s="78"/>
      <c r="FG11" s="78"/>
      <c r="FH11" s="78"/>
      <c r="FI11" s="78"/>
      <c r="FJ11" s="82"/>
      <c r="FK11" s="79"/>
      <c r="FL11" s="80"/>
      <c r="FM11" s="80"/>
      <c r="FN11" s="80"/>
      <c r="FO11" s="80"/>
      <c r="FP11" s="80"/>
      <c r="FQ11" s="80"/>
      <c r="FR11" s="80"/>
      <c r="FS11" s="80"/>
      <c r="FT11" s="80"/>
      <c r="FU11" s="80"/>
      <c r="FV11" s="80"/>
      <c r="FW11" s="81"/>
      <c r="FX11" s="77" t="s">
        <v>1051</v>
      </c>
      <c r="FY11" s="78"/>
      <c r="FZ11" s="78"/>
      <c r="GA11" s="78"/>
      <c r="GB11" s="78"/>
      <c r="GC11" s="78"/>
      <c r="GD11" s="78"/>
      <c r="GE11" s="78"/>
      <c r="GF11" s="78"/>
      <c r="GG11" s="78"/>
      <c r="GH11" s="78"/>
      <c r="GI11" s="78"/>
      <c r="GJ11" s="82"/>
      <c r="GK11" s="80"/>
      <c r="GL11" s="80"/>
      <c r="GM11" s="80"/>
      <c r="GN11" s="80"/>
      <c r="GO11" s="80"/>
      <c r="GP11" s="80"/>
      <c r="GQ11" s="80"/>
      <c r="GR11" s="80"/>
      <c r="GS11" s="80"/>
      <c r="GT11" s="80"/>
      <c r="GU11" s="80"/>
      <c r="GV11" s="80"/>
      <c r="GW11" s="80"/>
      <c r="GX11" s="65"/>
    </row>
    <row r="12" spans="1:206" x14ac:dyDescent="0.25">
      <c r="A12" s="5"/>
      <c r="B12" s="63">
        <v>4</v>
      </c>
      <c r="C12" s="105" t="s">
        <v>1100</v>
      </c>
      <c r="D12" s="78"/>
      <c r="E12" s="78"/>
      <c r="F12" s="78"/>
      <c r="G12" s="78"/>
      <c r="H12" s="78"/>
      <c r="I12" s="78"/>
      <c r="J12" s="78"/>
      <c r="K12" s="78"/>
      <c r="L12" s="78"/>
      <c r="M12" s="78"/>
      <c r="N12" s="78"/>
      <c r="O12" s="82"/>
      <c r="P12" s="124"/>
      <c r="Q12" s="180"/>
      <c r="R12" s="180"/>
      <c r="S12" s="180"/>
      <c r="T12" s="180"/>
      <c r="U12" s="180"/>
      <c r="V12" s="180"/>
      <c r="W12" s="180"/>
      <c r="X12" s="180"/>
      <c r="Y12" s="180"/>
      <c r="Z12" s="180"/>
      <c r="AA12" s="180"/>
      <c r="AB12" s="181"/>
      <c r="AC12" s="77" t="s">
        <v>1235</v>
      </c>
      <c r="AD12" s="78"/>
      <c r="AE12" s="78"/>
      <c r="AF12" s="78"/>
      <c r="AG12" s="78"/>
      <c r="AH12" s="78"/>
      <c r="AI12" s="78"/>
      <c r="AJ12" s="78"/>
      <c r="AK12" s="78"/>
      <c r="AL12" s="78"/>
      <c r="AM12" s="78"/>
      <c r="AN12" s="78"/>
      <c r="AO12" s="82"/>
      <c r="AP12" s="127" t="e">
        <f>Reference!CC1</f>
        <v>#N/A</v>
      </c>
      <c r="AQ12" s="180"/>
      <c r="AR12" s="180"/>
      <c r="AS12" s="80" t="s">
        <v>1102</v>
      </c>
      <c r="AT12" s="80"/>
      <c r="AU12" s="80"/>
      <c r="AV12" s="80"/>
      <c r="AW12" s="80"/>
      <c r="AX12" s="80"/>
      <c r="AY12" s="80"/>
      <c r="AZ12" s="80"/>
      <c r="BA12" s="80"/>
      <c r="BB12" s="80"/>
      <c r="BC12" s="65"/>
      <c r="BD12" s="251"/>
      <c r="BM12" s="251"/>
      <c r="EW12" s="63">
        <v>4</v>
      </c>
      <c r="EX12" s="105" t="s">
        <v>1039</v>
      </c>
      <c r="EY12" s="78"/>
      <c r="EZ12" s="78"/>
      <c r="FA12" s="78"/>
      <c r="FB12" s="78"/>
      <c r="FC12" s="78"/>
      <c r="FD12" s="78"/>
      <c r="FE12" s="78"/>
      <c r="FF12" s="78"/>
      <c r="FG12" s="78"/>
      <c r="FH12" s="78"/>
      <c r="FI12" s="78"/>
      <c r="FJ12" s="82"/>
      <c r="FK12" s="79"/>
      <c r="FL12" s="80"/>
      <c r="FM12" s="80"/>
      <c r="FN12" s="80"/>
      <c r="FO12" s="80"/>
      <c r="FP12" s="80"/>
      <c r="FQ12" s="80"/>
      <c r="FR12" s="80"/>
      <c r="FS12" s="80"/>
      <c r="FT12" s="80"/>
      <c r="FU12" s="80"/>
      <c r="FV12" s="80"/>
      <c r="FW12" s="81"/>
      <c r="FX12" s="77" t="s">
        <v>1052</v>
      </c>
      <c r="FY12" s="78"/>
      <c r="FZ12" s="78"/>
      <c r="GA12" s="78"/>
      <c r="GB12" s="78"/>
      <c r="GC12" s="78"/>
      <c r="GD12" s="78"/>
      <c r="GE12" s="78"/>
      <c r="GF12" s="78"/>
      <c r="GG12" s="78"/>
      <c r="GH12" s="78"/>
      <c r="GI12" s="78"/>
      <c r="GJ12" s="82"/>
      <c r="GK12" s="80"/>
      <c r="GL12" s="80"/>
      <c r="GM12" s="80"/>
      <c r="GN12" s="80"/>
      <c r="GO12" s="80"/>
      <c r="GP12" s="80"/>
      <c r="GQ12" s="80"/>
      <c r="GR12" s="80"/>
      <c r="GS12" s="80"/>
      <c r="GT12" s="80"/>
      <c r="GU12" s="80"/>
      <c r="GV12" s="80"/>
      <c r="GW12" s="80"/>
      <c r="GX12" s="65"/>
    </row>
    <row r="13" spans="1:206" x14ac:dyDescent="0.25">
      <c r="A13" s="5"/>
      <c r="B13" s="63">
        <v>5</v>
      </c>
      <c r="C13" s="105" t="s">
        <v>1039</v>
      </c>
      <c r="D13" s="78"/>
      <c r="E13" s="78"/>
      <c r="F13" s="78"/>
      <c r="G13" s="78"/>
      <c r="H13" s="78"/>
      <c r="I13" s="78"/>
      <c r="J13" s="78"/>
      <c r="K13" s="78"/>
      <c r="L13" s="78"/>
      <c r="M13" s="78"/>
      <c r="N13" s="78"/>
      <c r="O13" s="82"/>
      <c r="P13" s="124"/>
      <c r="Q13" s="180"/>
      <c r="R13" s="180"/>
      <c r="S13" s="80" t="s">
        <v>1046</v>
      </c>
      <c r="T13" s="80" t="s">
        <v>1043</v>
      </c>
      <c r="U13" s="80">
        <f>P13*12</f>
        <v>0</v>
      </c>
      <c r="V13" s="80"/>
      <c r="W13" s="80"/>
      <c r="X13" s="80" t="s">
        <v>1047</v>
      </c>
      <c r="Y13" s="80" t="s">
        <v>1044</v>
      </c>
      <c r="Z13" s="80"/>
      <c r="AA13" s="80"/>
      <c r="AB13" s="81"/>
      <c r="AC13" s="77" t="s">
        <v>1053</v>
      </c>
      <c r="AD13" s="78"/>
      <c r="AE13" s="78"/>
      <c r="AF13" s="78"/>
      <c r="AG13" s="78"/>
      <c r="AH13" s="78"/>
      <c r="AI13" s="78"/>
      <c r="AJ13" s="78"/>
      <c r="AK13" s="78"/>
      <c r="AL13" s="78"/>
      <c r="AM13" s="78"/>
      <c r="AN13" s="78"/>
      <c r="AO13" s="82"/>
      <c r="AP13" s="328" t="e">
        <f>Reference!CE1</f>
        <v>#N/A</v>
      </c>
      <c r="AQ13" s="329"/>
      <c r="AR13" s="329"/>
      <c r="AS13" s="329"/>
      <c r="AT13" s="329"/>
      <c r="AU13" s="329"/>
      <c r="AV13" s="329"/>
      <c r="AW13" s="329"/>
      <c r="AX13" s="329"/>
      <c r="AY13" s="329"/>
      <c r="AZ13" s="329"/>
      <c r="BA13" s="329"/>
      <c r="BB13" s="330"/>
      <c r="BC13" s="65"/>
      <c r="BD13" s="251"/>
      <c r="BM13" s="251"/>
      <c r="EW13" s="63">
        <v>5</v>
      </c>
      <c r="EX13" s="105" t="s">
        <v>1045</v>
      </c>
      <c r="EY13" s="78"/>
      <c r="EZ13" s="78"/>
      <c r="FA13" s="78"/>
      <c r="FB13" s="78"/>
      <c r="FC13" s="78"/>
      <c r="FD13" s="78"/>
      <c r="FE13" s="78"/>
      <c r="FF13" s="78"/>
      <c r="FG13" s="78"/>
      <c r="FH13" s="78"/>
      <c r="FI13" s="78"/>
      <c r="FJ13" s="82"/>
      <c r="FK13" s="79"/>
      <c r="FL13" s="80"/>
      <c r="FM13" s="80"/>
      <c r="FN13" s="80"/>
      <c r="FO13" s="80"/>
      <c r="FP13" s="80"/>
      <c r="FQ13" s="80"/>
      <c r="FR13" s="80"/>
      <c r="FS13" s="80"/>
      <c r="FT13" s="80"/>
      <c r="FU13" s="80"/>
      <c r="FV13" s="80"/>
      <c r="FW13" s="81"/>
      <c r="FX13" s="77" t="s">
        <v>1053</v>
      </c>
      <c r="FY13" s="78"/>
      <c r="FZ13" s="78"/>
      <c r="GA13" s="78"/>
      <c r="GB13" s="78"/>
      <c r="GC13" s="78"/>
      <c r="GD13" s="78"/>
      <c r="GE13" s="78"/>
      <c r="GF13" s="78"/>
      <c r="GG13" s="78"/>
      <c r="GH13" s="78"/>
      <c r="GI13" s="78"/>
      <c r="GJ13" s="82"/>
      <c r="GK13" s="80"/>
      <c r="GL13" s="80"/>
      <c r="GM13" s="80"/>
      <c r="GN13" s="80"/>
      <c r="GO13" s="80"/>
      <c r="GP13" s="80"/>
      <c r="GQ13" s="80"/>
      <c r="GR13" s="80"/>
      <c r="GS13" s="80"/>
      <c r="GT13" s="80"/>
      <c r="GU13" s="80"/>
      <c r="GV13" s="80"/>
      <c r="GW13" s="80"/>
      <c r="GX13" s="65"/>
    </row>
    <row r="14" spans="1:206" x14ac:dyDescent="0.25">
      <c r="A14" s="5"/>
      <c r="B14" s="63">
        <v>6</v>
      </c>
      <c r="C14" s="105" t="s">
        <v>1040</v>
      </c>
      <c r="D14" s="78"/>
      <c r="E14" s="78"/>
      <c r="F14" s="78"/>
      <c r="G14" s="78"/>
      <c r="H14" s="78"/>
      <c r="I14" s="78"/>
      <c r="J14" s="78"/>
      <c r="K14" s="78"/>
      <c r="L14" s="78"/>
      <c r="M14" s="78"/>
      <c r="N14" s="78"/>
      <c r="O14" s="82"/>
      <c r="P14" s="328"/>
      <c r="Q14" s="329"/>
      <c r="R14" s="329"/>
      <c r="S14" s="329"/>
      <c r="T14" s="329"/>
      <c r="U14" s="329"/>
      <c r="V14" s="329"/>
      <c r="W14" s="329"/>
      <c r="X14" s="329"/>
      <c r="Y14" s="329"/>
      <c r="Z14" s="329"/>
      <c r="AA14" s="329"/>
      <c r="AB14" s="330"/>
      <c r="AC14" s="77" t="s">
        <v>1054</v>
      </c>
      <c r="AD14" s="78"/>
      <c r="AE14" s="78"/>
      <c r="AF14" s="78"/>
      <c r="AG14" s="78"/>
      <c r="AH14" s="78"/>
      <c r="AI14" s="78"/>
      <c r="AJ14" s="78"/>
      <c r="AK14" s="78"/>
      <c r="AL14" s="78"/>
      <c r="AM14" s="78"/>
      <c r="AN14" s="78"/>
      <c r="AO14" s="82"/>
      <c r="AP14" s="328" t="e">
        <f>Reference!CD1</f>
        <v>#N/A</v>
      </c>
      <c r="AQ14" s="329"/>
      <c r="AR14" s="329"/>
      <c r="AS14" s="329"/>
      <c r="AT14" s="329"/>
      <c r="AU14" s="329"/>
      <c r="AV14" s="329"/>
      <c r="AW14" s="329"/>
      <c r="AX14" s="329"/>
      <c r="AY14" s="329"/>
      <c r="AZ14" s="329"/>
      <c r="BA14" s="329"/>
      <c r="BB14" s="330"/>
      <c r="BC14" s="65"/>
      <c r="BD14" s="251"/>
      <c r="BM14" s="251"/>
      <c r="EW14" s="63">
        <v>6</v>
      </c>
      <c r="EX14" s="105" t="s">
        <v>1048</v>
      </c>
      <c r="EY14" s="78"/>
      <c r="EZ14" s="78"/>
      <c r="FA14" s="78"/>
      <c r="FB14" s="78"/>
      <c r="FC14" s="78"/>
      <c r="FD14" s="78"/>
      <c r="FE14" s="78"/>
      <c r="FF14" s="78"/>
      <c r="FG14" s="78"/>
      <c r="FH14" s="78"/>
      <c r="FI14" s="78"/>
      <c r="FJ14" s="82"/>
      <c r="FK14" s="79"/>
      <c r="FL14" s="80"/>
      <c r="FM14" s="80"/>
      <c r="FN14" s="80"/>
      <c r="FO14" s="80"/>
      <c r="FP14" s="80"/>
      <c r="FQ14" s="80"/>
      <c r="FR14" s="80"/>
      <c r="FS14" s="80"/>
      <c r="FT14" s="80"/>
      <c r="FU14" s="80"/>
      <c r="FV14" s="80"/>
      <c r="FW14" s="81"/>
      <c r="FX14" s="77" t="s">
        <v>1054</v>
      </c>
      <c r="FY14" s="78"/>
      <c r="FZ14" s="78"/>
      <c r="GA14" s="78"/>
      <c r="GB14" s="78"/>
      <c r="GC14" s="78"/>
      <c r="GD14" s="78"/>
      <c r="GE14" s="78"/>
      <c r="GF14" s="78"/>
      <c r="GG14" s="78"/>
      <c r="GH14" s="78"/>
      <c r="GI14" s="78"/>
      <c r="GJ14" s="82"/>
      <c r="GK14" s="80"/>
      <c r="GL14" s="80"/>
      <c r="GM14" s="80"/>
      <c r="GN14" s="80"/>
      <c r="GO14" s="80"/>
      <c r="GP14" s="80"/>
      <c r="GQ14" s="80"/>
      <c r="GR14" s="80"/>
      <c r="GS14" s="80"/>
      <c r="GT14" s="80"/>
      <c r="GU14" s="80"/>
      <c r="GV14" s="80"/>
      <c r="GW14" s="80"/>
      <c r="GX14" s="65"/>
    </row>
    <row r="15" spans="1:206" x14ac:dyDescent="0.25">
      <c r="A15" s="5"/>
      <c r="B15" s="63">
        <v>7</v>
      </c>
      <c r="C15" s="105" t="s">
        <v>1041</v>
      </c>
      <c r="D15" s="78"/>
      <c r="E15" s="78"/>
      <c r="F15" s="78"/>
      <c r="G15" s="78"/>
      <c r="H15" s="78"/>
      <c r="I15" s="78"/>
      <c r="J15" s="78"/>
      <c r="K15" s="78"/>
      <c r="L15" s="78"/>
      <c r="M15" s="78"/>
      <c r="N15" s="78"/>
      <c r="O15" s="82"/>
      <c r="P15" s="328"/>
      <c r="Q15" s="329"/>
      <c r="R15" s="329"/>
      <c r="S15" s="329"/>
      <c r="T15" s="329"/>
      <c r="U15" s="329"/>
      <c r="V15" s="329"/>
      <c r="W15" s="329"/>
      <c r="X15" s="329"/>
      <c r="Y15" s="329"/>
      <c r="Z15" s="329"/>
      <c r="AA15" s="329"/>
      <c r="AB15" s="330"/>
      <c r="AC15" s="77" t="s">
        <v>1236</v>
      </c>
      <c r="AD15" s="78"/>
      <c r="AE15" s="78"/>
      <c r="AF15" s="78"/>
      <c r="AG15" s="78"/>
      <c r="AH15" s="78"/>
      <c r="AI15" s="78"/>
      <c r="AJ15" s="78"/>
      <c r="AK15" s="78"/>
      <c r="AL15" s="78"/>
      <c r="AM15" s="78"/>
      <c r="AN15" s="78"/>
      <c r="AO15" s="82"/>
      <c r="AP15" s="328" t="e">
        <f>Reference!CF1</f>
        <v>#N/A</v>
      </c>
      <c r="AQ15" s="329"/>
      <c r="AR15" s="329"/>
      <c r="AS15" s="329"/>
      <c r="AT15" s="329"/>
      <c r="AU15" s="329"/>
      <c r="AV15" s="329"/>
      <c r="AW15" s="329"/>
      <c r="AX15" s="329"/>
      <c r="AY15" s="329"/>
      <c r="AZ15" s="329"/>
      <c r="BA15" s="329"/>
      <c r="BB15" s="330"/>
      <c r="BC15" s="65"/>
      <c r="BD15" s="251"/>
      <c r="BM15" s="251"/>
      <c r="EW15" s="63">
        <v>7</v>
      </c>
      <c r="EX15" s="105" t="s">
        <v>1073</v>
      </c>
      <c r="EY15" s="78"/>
      <c r="EZ15" s="78"/>
      <c r="FA15" s="78"/>
      <c r="FB15" s="78"/>
      <c r="FC15" s="78"/>
      <c r="FD15" s="78"/>
      <c r="FE15" s="78"/>
      <c r="FF15" s="78"/>
      <c r="FG15" s="78"/>
      <c r="FH15" s="78"/>
      <c r="FI15" s="78"/>
      <c r="FJ15" s="82"/>
      <c r="FK15" s="79"/>
      <c r="FL15" s="80"/>
      <c r="FM15" s="80"/>
      <c r="FN15" s="80"/>
      <c r="FO15" s="80"/>
      <c r="FP15" s="80"/>
      <c r="FQ15" s="80"/>
      <c r="FR15" s="80"/>
      <c r="FS15" s="80"/>
      <c r="FT15" s="80"/>
      <c r="FU15" s="80"/>
      <c r="FV15" s="80"/>
      <c r="FW15" s="81"/>
      <c r="FX15" s="77" t="s">
        <v>1055</v>
      </c>
      <c r="FY15" s="78"/>
      <c r="FZ15" s="78"/>
      <c r="GA15" s="78"/>
      <c r="GB15" s="78"/>
      <c r="GC15" s="78"/>
      <c r="GD15" s="78"/>
      <c r="GE15" s="78"/>
      <c r="GF15" s="78"/>
      <c r="GG15" s="78"/>
      <c r="GH15" s="78"/>
      <c r="GI15" s="78"/>
      <c r="GJ15" s="82"/>
      <c r="GK15" s="80"/>
      <c r="GL15" s="80"/>
      <c r="GM15" s="80"/>
      <c r="GN15" s="80"/>
      <c r="GO15" s="80"/>
      <c r="GP15" s="80"/>
      <c r="GQ15" s="80"/>
      <c r="GR15" s="80"/>
      <c r="GS15" s="80"/>
      <c r="GT15" s="80"/>
      <c r="GU15" s="80"/>
      <c r="GV15" s="80"/>
      <c r="GW15" s="80"/>
      <c r="GX15" s="65"/>
    </row>
    <row r="16" spans="1:206" x14ac:dyDescent="0.25">
      <c r="A16" s="5"/>
      <c r="B16" s="63">
        <v>8</v>
      </c>
      <c r="C16" s="105" t="s">
        <v>1042</v>
      </c>
      <c r="D16" s="78"/>
      <c r="E16" s="78"/>
      <c r="F16" s="78"/>
      <c r="G16" s="78"/>
      <c r="H16" s="78"/>
      <c r="I16" s="78"/>
      <c r="J16" s="78"/>
      <c r="K16" s="78"/>
      <c r="L16" s="78"/>
      <c r="M16" s="78"/>
      <c r="N16" s="78"/>
      <c r="O16" s="82"/>
      <c r="P16" s="328"/>
      <c r="Q16" s="329"/>
      <c r="R16" s="329"/>
      <c r="S16" s="329"/>
      <c r="T16" s="329"/>
      <c r="U16" s="329"/>
      <c r="V16" s="329"/>
      <c r="W16" s="329"/>
      <c r="X16" s="329"/>
      <c r="Y16" s="329"/>
      <c r="Z16" s="329"/>
      <c r="AA16" s="329"/>
      <c r="AB16" s="330"/>
      <c r="AC16" s="77" t="s">
        <v>1852</v>
      </c>
      <c r="AD16" s="78"/>
      <c r="AE16" s="78"/>
      <c r="AF16" s="78"/>
      <c r="AG16" s="78"/>
      <c r="AH16" s="78"/>
      <c r="AI16" s="78"/>
      <c r="AJ16" s="78"/>
      <c r="AK16" s="78"/>
      <c r="AL16" s="78"/>
      <c r="AM16" s="78"/>
      <c r="AN16" s="78"/>
      <c r="AO16" s="82"/>
      <c r="AP16" s="127"/>
      <c r="AQ16" s="180"/>
      <c r="AR16" s="180"/>
      <c r="AS16" s="118" t="s">
        <v>1057</v>
      </c>
      <c r="AT16" s="126"/>
      <c r="AU16" s="182" t="s">
        <v>1835</v>
      </c>
      <c r="AV16" s="118"/>
      <c r="AW16" s="127"/>
      <c r="AX16" s="183"/>
      <c r="AY16" s="180"/>
      <c r="AZ16" s="118" t="s">
        <v>1057</v>
      </c>
      <c r="BA16" s="118" t="s">
        <v>1836</v>
      </c>
      <c r="BB16" s="118"/>
      <c r="BC16" s="65"/>
      <c r="BD16" s="251"/>
      <c r="BM16" s="251"/>
      <c r="EW16" s="63">
        <v>8</v>
      </c>
      <c r="EX16" s="105" t="s">
        <v>1074</v>
      </c>
      <c r="EY16" s="78"/>
      <c r="EZ16" s="78"/>
      <c r="FA16" s="78"/>
      <c r="FB16" s="78"/>
      <c r="FC16" s="78"/>
      <c r="FD16" s="78"/>
      <c r="FE16" s="78"/>
      <c r="FF16" s="78"/>
      <c r="FG16" s="78"/>
      <c r="FH16" s="78"/>
      <c r="FI16" s="78"/>
      <c r="FJ16" s="82"/>
      <c r="FK16" s="79"/>
      <c r="FL16" s="80"/>
      <c r="FM16" s="80"/>
      <c r="FN16" s="80"/>
      <c r="FO16" s="89"/>
      <c r="FP16" s="80"/>
      <c r="FR16" s="80"/>
      <c r="FS16" s="80"/>
      <c r="FT16" s="80"/>
      <c r="FU16" s="80"/>
      <c r="FV16" s="80"/>
      <c r="FW16" s="81"/>
      <c r="FX16" s="77" t="s">
        <v>1056</v>
      </c>
      <c r="FY16" s="78"/>
      <c r="FZ16" s="78"/>
      <c r="GA16" s="78"/>
      <c r="GB16" s="78"/>
      <c r="GC16" s="78"/>
      <c r="GD16" s="78"/>
      <c r="GE16" s="78"/>
      <c r="GF16" s="78"/>
      <c r="GG16" s="78"/>
      <c r="GH16" s="78"/>
      <c r="GI16" s="78"/>
      <c r="GJ16" s="82"/>
      <c r="GK16" s="80"/>
      <c r="GL16" s="80"/>
      <c r="GM16" s="80"/>
      <c r="GN16" s="80"/>
      <c r="GO16" s="80"/>
      <c r="GP16" s="80"/>
      <c r="GQ16" s="80"/>
      <c r="GR16" s="80"/>
      <c r="GS16" s="80"/>
      <c r="GT16" s="80"/>
      <c r="GU16" s="80"/>
      <c r="GV16" s="80"/>
      <c r="GW16" s="80"/>
      <c r="GX16" s="65"/>
    </row>
    <row r="17" spans="1:206" x14ac:dyDescent="0.25">
      <c r="A17" s="5"/>
      <c r="B17" s="63">
        <v>9</v>
      </c>
      <c r="C17" s="105" t="s">
        <v>1049</v>
      </c>
      <c r="D17" s="78"/>
      <c r="E17" s="78"/>
      <c r="F17" s="78"/>
      <c r="G17" s="78"/>
      <c r="H17" s="78"/>
      <c r="I17" s="78"/>
      <c r="J17" s="78"/>
      <c r="K17" s="78"/>
      <c r="L17" s="78"/>
      <c r="M17" s="78"/>
      <c r="N17" s="78"/>
      <c r="O17" s="82"/>
      <c r="P17" s="304"/>
      <c r="Q17" s="305"/>
      <c r="R17" s="305"/>
      <c r="S17" s="305"/>
      <c r="T17" s="305"/>
      <c r="U17" s="305"/>
      <c r="V17" s="305"/>
      <c r="W17" s="305"/>
      <c r="X17" s="305"/>
      <c r="Y17" s="305"/>
      <c r="Z17" s="305"/>
      <c r="AA17" s="305"/>
      <c r="AB17" s="306"/>
      <c r="AC17" s="77" t="s">
        <v>1056</v>
      </c>
      <c r="AD17" s="78"/>
      <c r="AE17" s="78"/>
      <c r="AF17" s="78"/>
      <c r="AG17" s="78"/>
      <c r="AH17" s="78"/>
      <c r="AI17" s="78"/>
      <c r="AJ17" s="78"/>
      <c r="AK17" s="78"/>
      <c r="AL17" s="78"/>
      <c r="AM17" s="78"/>
      <c r="AN17" s="78"/>
      <c r="AO17" s="82"/>
      <c r="AP17" s="328" t="e">
        <f>Reference!CG1</f>
        <v>#N/A</v>
      </c>
      <c r="AQ17" s="329"/>
      <c r="AR17" s="329"/>
      <c r="AS17" s="329"/>
      <c r="AT17" s="329"/>
      <c r="AU17" s="329"/>
      <c r="AV17" s="329"/>
      <c r="AW17" s="329"/>
      <c r="AX17" s="329"/>
      <c r="AY17" s="329"/>
      <c r="AZ17" s="329"/>
      <c r="BA17" s="329"/>
      <c r="BB17" s="330"/>
      <c r="BC17" s="65"/>
      <c r="BD17" s="251"/>
      <c r="BM17" s="251"/>
      <c r="EW17" s="63">
        <v>9</v>
      </c>
      <c r="EX17" s="105" t="s">
        <v>1040</v>
      </c>
      <c r="EY17" s="78"/>
      <c r="EZ17" s="78"/>
      <c r="FA17" s="78"/>
      <c r="FB17" s="78"/>
      <c r="FC17" s="78"/>
      <c r="FD17" s="78"/>
      <c r="FE17" s="78"/>
      <c r="FF17" s="78"/>
      <c r="FG17" s="78"/>
      <c r="FH17" s="78"/>
      <c r="FI17" s="78"/>
      <c r="FJ17" s="82"/>
      <c r="FK17" s="79"/>
      <c r="FL17" s="80"/>
      <c r="FM17" s="80"/>
      <c r="FN17" s="80"/>
      <c r="FO17" s="80"/>
      <c r="FP17" s="80"/>
      <c r="FQ17" s="80"/>
      <c r="FR17" s="80"/>
      <c r="FS17" s="80"/>
      <c r="FT17" s="80"/>
      <c r="FU17" s="80"/>
      <c r="FV17" s="80"/>
      <c r="FW17" s="81"/>
      <c r="FX17" s="77" t="s">
        <v>1058</v>
      </c>
      <c r="FY17" s="78"/>
      <c r="FZ17" s="78"/>
      <c r="GA17" s="78"/>
      <c r="GB17" s="78"/>
      <c r="GC17" s="78"/>
      <c r="GD17" s="78"/>
      <c r="GE17" s="78"/>
      <c r="GF17" s="78"/>
      <c r="GG17" s="78"/>
      <c r="GH17" s="78"/>
      <c r="GI17" s="78"/>
      <c r="GJ17" s="82"/>
      <c r="GK17" s="78"/>
      <c r="GL17" s="78"/>
      <c r="GM17" s="78"/>
      <c r="GN17" s="78"/>
      <c r="GO17" s="78"/>
      <c r="GP17" s="78"/>
      <c r="GQ17" s="78"/>
      <c r="GR17" s="78"/>
      <c r="GS17" s="78"/>
      <c r="GT17" s="78"/>
      <c r="GU17" s="78"/>
      <c r="GV17" s="78"/>
      <c r="GW17" s="78"/>
      <c r="GX17" s="65"/>
    </row>
    <row r="18" spans="1:206" ht="15.75" thickBot="1" x14ac:dyDescent="0.3">
      <c r="A18" s="5"/>
      <c r="B18" s="63">
        <v>10</v>
      </c>
      <c r="C18" s="106" t="s">
        <v>1103</v>
      </c>
      <c r="D18" s="91"/>
      <c r="E18" s="91"/>
      <c r="F18" s="91"/>
      <c r="G18" s="91"/>
      <c r="H18" s="91"/>
      <c r="I18" s="91"/>
      <c r="J18" s="91"/>
      <c r="K18" s="91"/>
      <c r="L18" s="91"/>
      <c r="M18" s="91"/>
      <c r="N18" s="91"/>
      <c r="O18" s="92"/>
      <c r="P18" s="340"/>
      <c r="Q18" s="314"/>
      <c r="R18" s="314"/>
      <c r="S18" s="314"/>
      <c r="T18" s="314"/>
      <c r="U18" s="314"/>
      <c r="V18" s="314"/>
      <c r="W18" s="314"/>
      <c r="X18" s="314"/>
      <c r="Y18" s="314"/>
      <c r="Z18" s="314"/>
      <c r="AA18" s="314"/>
      <c r="AB18" s="341"/>
      <c r="AC18" s="90" t="s">
        <v>1058</v>
      </c>
      <c r="AD18" s="91"/>
      <c r="AE18" s="91"/>
      <c r="AF18" s="91"/>
      <c r="AG18" s="91"/>
      <c r="AH18" s="91"/>
      <c r="AI18" s="91"/>
      <c r="AJ18" s="91"/>
      <c r="AK18" s="91"/>
      <c r="AL18" s="91"/>
      <c r="AM18" s="91"/>
      <c r="AN18" s="91"/>
      <c r="AO18" s="92"/>
      <c r="AP18" s="168" t="s">
        <v>987</v>
      </c>
      <c r="AQ18" s="184"/>
      <c r="AR18" s="184"/>
      <c r="AS18" s="184"/>
      <c r="AT18" s="184"/>
      <c r="AU18" s="184"/>
      <c r="AV18" s="184"/>
      <c r="AW18" s="184"/>
      <c r="AX18" s="184"/>
      <c r="AY18" s="184"/>
      <c r="AZ18" s="184"/>
      <c r="BA18" s="184"/>
      <c r="BB18" s="184"/>
      <c r="BC18" s="65"/>
      <c r="BD18" s="251"/>
      <c r="BM18" s="251"/>
      <c r="EW18" s="63">
        <v>10</v>
      </c>
      <c r="EX18" s="105" t="s">
        <v>1041</v>
      </c>
      <c r="EY18" s="78"/>
      <c r="EZ18" s="78"/>
      <c r="FA18" s="78"/>
      <c r="FB18" s="78"/>
      <c r="FC18" s="78"/>
      <c r="FD18" s="78"/>
      <c r="FE18" s="78"/>
      <c r="FF18" s="78"/>
      <c r="FG18" s="78"/>
      <c r="FH18" s="78"/>
      <c r="FI18" s="78"/>
      <c r="FJ18" s="82"/>
      <c r="FK18" s="79"/>
      <c r="FL18" s="80"/>
      <c r="FM18" s="80"/>
      <c r="FN18" s="80"/>
      <c r="FO18" s="80"/>
      <c r="FP18" s="80"/>
      <c r="FQ18" s="80"/>
      <c r="FR18" s="80"/>
      <c r="FS18" s="80"/>
      <c r="FT18" s="80"/>
      <c r="FU18" s="80"/>
      <c r="FV18" s="80"/>
      <c r="FW18" s="81"/>
      <c r="FX18" s="77"/>
      <c r="FY18" s="78"/>
      <c r="FZ18" s="78"/>
      <c r="GA18" s="78"/>
      <c r="GB18" s="78"/>
      <c r="GC18" s="78"/>
      <c r="GD18" s="78"/>
      <c r="GE18" s="78"/>
      <c r="GF18" s="78"/>
      <c r="GG18" s="78"/>
      <c r="GH18" s="78"/>
      <c r="GI18" s="78"/>
      <c r="GJ18" s="82"/>
      <c r="GK18" s="78"/>
      <c r="GL18" s="78"/>
      <c r="GM18" s="78"/>
      <c r="GN18" s="78"/>
      <c r="GO18" s="78"/>
      <c r="GP18" s="78"/>
      <c r="GQ18" s="78"/>
      <c r="GR18" s="78"/>
      <c r="GS18" s="78"/>
      <c r="GT18" s="78"/>
      <c r="GU18" s="78"/>
      <c r="GV18" s="78"/>
      <c r="GW18" s="78"/>
      <c r="GX18" s="65"/>
    </row>
    <row r="19" spans="1:206" ht="15.75" thickBot="1" x14ac:dyDescent="0.3">
      <c r="A19" s="5"/>
      <c r="B19" s="63">
        <v>11</v>
      </c>
      <c r="C19" s="185" t="s">
        <v>1113</v>
      </c>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3"/>
      <c r="AC19" s="186" t="s">
        <v>1114</v>
      </c>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65"/>
      <c r="BD19" s="251"/>
      <c r="BM19" s="251"/>
      <c r="EW19" s="63">
        <v>11</v>
      </c>
      <c r="EX19" s="105" t="s">
        <v>1042</v>
      </c>
      <c r="EY19" s="78"/>
      <c r="EZ19" s="78"/>
      <c r="FA19" s="78"/>
      <c r="FB19" s="78"/>
      <c r="FC19" s="78"/>
      <c r="FD19" s="78"/>
      <c r="FE19" s="78"/>
      <c r="FF19" s="78"/>
      <c r="FG19" s="78"/>
      <c r="FH19" s="78"/>
      <c r="FI19" s="78"/>
      <c r="FJ19" s="82"/>
      <c r="FK19" s="79"/>
      <c r="FL19" s="80"/>
      <c r="FM19" s="80"/>
      <c r="FN19" s="80"/>
      <c r="FO19" s="80"/>
      <c r="FP19" s="80"/>
      <c r="FQ19" s="80"/>
      <c r="FR19" s="80"/>
      <c r="FS19" s="80"/>
      <c r="FT19" s="80"/>
      <c r="FU19" s="80"/>
      <c r="FV19" s="80"/>
      <c r="FW19" s="81"/>
      <c r="FX19" s="96"/>
      <c r="FY19" s="78"/>
      <c r="FZ19" s="78"/>
      <c r="GA19" s="78"/>
      <c r="GB19" s="78"/>
      <c r="GC19" s="78"/>
      <c r="GD19" s="78"/>
      <c r="GE19" s="78"/>
      <c r="GF19" s="78"/>
      <c r="GG19" s="78"/>
      <c r="GH19" s="78"/>
      <c r="GI19" s="78"/>
      <c r="GJ19" s="82"/>
      <c r="GK19" s="78"/>
      <c r="GL19" s="78"/>
      <c r="GM19" s="78"/>
      <c r="GN19" s="78"/>
      <c r="GO19" s="78"/>
      <c r="GP19" s="78"/>
      <c r="GQ19" s="78"/>
      <c r="GR19" s="78"/>
      <c r="GS19" s="78"/>
      <c r="GT19" s="78"/>
      <c r="GU19" s="78"/>
      <c r="GV19" s="78"/>
      <c r="GW19" s="78"/>
      <c r="GX19" s="65"/>
    </row>
    <row r="20" spans="1:206" ht="18" thickBot="1" x14ac:dyDescent="0.3">
      <c r="A20" s="5"/>
      <c r="B20" s="63">
        <v>12</v>
      </c>
      <c r="C20" s="187" t="s">
        <v>1045</v>
      </c>
      <c r="D20" s="72"/>
      <c r="E20" s="72"/>
      <c r="F20" s="188"/>
      <c r="G20" s="72"/>
      <c r="H20" s="189"/>
      <c r="I20" s="76"/>
      <c r="J20" s="128"/>
      <c r="K20" s="176"/>
      <c r="L20" s="176"/>
      <c r="M20" s="72" t="s">
        <v>1105</v>
      </c>
      <c r="N20" s="72"/>
      <c r="O20" s="72"/>
      <c r="P20" s="72" t="s">
        <v>1043</v>
      </c>
      <c r="Q20" s="74" t="e">
        <f>J20*AP11</f>
        <v>#N/A</v>
      </c>
      <c r="R20" s="190"/>
      <c r="S20" s="74"/>
      <c r="T20" s="190"/>
      <c r="U20" s="72" t="s">
        <v>4</v>
      </c>
      <c r="V20" s="72"/>
      <c r="W20" s="72" t="s">
        <v>1044</v>
      </c>
      <c r="X20" s="72"/>
      <c r="Y20" s="72"/>
      <c r="Z20" s="72"/>
      <c r="AA20" s="72"/>
      <c r="AB20" s="76"/>
      <c r="AC20" s="191" t="s">
        <v>1131</v>
      </c>
      <c r="AD20" s="72"/>
      <c r="AE20" s="72"/>
      <c r="AF20" s="72"/>
      <c r="AG20" s="72"/>
      <c r="AH20" s="72"/>
      <c r="AI20" s="76"/>
      <c r="AJ20" s="335"/>
      <c r="AK20" s="334"/>
      <c r="AL20" s="334"/>
      <c r="AM20" s="334"/>
      <c r="AN20" s="334"/>
      <c r="AO20" s="334"/>
      <c r="AP20" s="72"/>
      <c r="AQ20" s="334"/>
      <c r="AR20" s="334"/>
      <c r="AS20" s="334"/>
      <c r="AT20" s="334"/>
      <c r="AU20" s="334"/>
      <c r="AV20" s="334"/>
      <c r="AW20" s="72"/>
      <c r="AX20" s="72"/>
      <c r="AY20" s="72"/>
      <c r="AZ20" s="72"/>
      <c r="BA20" s="72"/>
      <c r="BB20" s="76"/>
      <c r="BC20" s="65"/>
      <c r="BD20" s="251"/>
      <c r="BM20" s="251"/>
      <c r="EW20" s="63">
        <v>12</v>
      </c>
      <c r="EX20" s="106" t="s">
        <v>1049</v>
      </c>
      <c r="EY20" s="91"/>
      <c r="EZ20" s="91"/>
      <c r="FA20" s="91"/>
      <c r="FB20" s="91"/>
      <c r="FC20" s="91"/>
      <c r="FD20" s="91"/>
      <c r="FE20" s="91"/>
      <c r="FF20" s="91"/>
      <c r="FG20" s="91"/>
      <c r="FH20" s="91"/>
      <c r="FI20" s="91"/>
      <c r="FJ20" s="92"/>
      <c r="FK20" s="93"/>
      <c r="FL20" s="94"/>
      <c r="FM20" s="94"/>
      <c r="FN20" s="94"/>
      <c r="FO20" s="94"/>
      <c r="FP20" s="94"/>
      <c r="FQ20" s="94"/>
      <c r="FR20" s="94"/>
      <c r="FS20" s="94"/>
      <c r="FT20" s="94"/>
      <c r="FU20" s="94"/>
      <c r="FV20" s="94"/>
      <c r="FW20" s="95"/>
      <c r="FX20" s="97"/>
      <c r="FY20" s="91"/>
      <c r="FZ20" s="91"/>
      <c r="GA20" s="91"/>
      <c r="GB20" s="91"/>
      <c r="GC20" s="91"/>
      <c r="GD20" s="91"/>
      <c r="GE20" s="91"/>
      <c r="GF20" s="91"/>
      <c r="GG20" s="91"/>
      <c r="GH20" s="91"/>
      <c r="GI20" s="91"/>
      <c r="GJ20" s="92"/>
      <c r="GK20" s="78"/>
      <c r="GL20" s="78"/>
      <c r="GM20" s="78"/>
      <c r="GN20" s="78"/>
      <c r="GO20" s="78"/>
      <c r="GP20" s="78"/>
      <c r="GQ20" s="78"/>
      <c r="GR20" s="78"/>
      <c r="GS20" s="78"/>
      <c r="GT20" s="78"/>
      <c r="GU20" s="78"/>
      <c r="GV20" s="78"/>
      <c r="GW20" s="78"/>
      <c r="GX20" s="65"/>
    </row>
    <row r="21" spans="1:206" ht="15.75" thickBot="1" x14ac:dyDescent="0.3">
      <c r="A21" s="5"/>
      <c r="B21" s="63">
        <v>13</v>
      </c>
      <c r="C21" s="192" t="s">
        <v>1073</v>
      </c>
      <c r="D21" s="78"/>
      <c r="E21" s="78"/>
      <c r="F21" s="78"/>
      <c r="G21" s="78"/>
      <c r="H21" s="193"/>
      <c r="I21" s="82"/>
      <c r="J21" s="328"/>
      <c r="K21" s="329"/>
      <c r="L21" s="329"/>
      <c r="M21" s="78" t="s">
        <v>1047</v>
      </c>
      <c r="N21" s="78"/>
      <c r="O21" s="78"/>
      <c r="P21" s="78"/>
      <c r="Q21" s="78"/>
      <c r="R21" s="78"/>
      <c r="S21" s="78"/>
      <c r="T21" s="78"/>
      <c r="U21" s="78"/>
      <c r="V21" s="78"/>
      <c r="W21" s="78"/>
      <c r="X21" s="78"/>
      <c r="Y21" s="78"/>
      <c r="Z21" s="78"/>
      <c r="AA21" s="78"/>
      <c r="AB21" s="82"/>
      <c r="AC21" s="194" t="s">
        <v>1138</v>
      </c>
      <c r="AD21" s="78"/>
      <c r="AE21" s="78"/>
      <c r="AF21" s="78"/>
      <c r="AG21" s="78"/>
      <c r="AH21" s="78"/>
      <c r="AI21" s="82"/>
      <c r="AJ21" s="304"/>
      <c r="AK21" s="305"/>
      <c r="AL21" s="305"/>
      <c r="AM21" s="305"/>
      <c r="AN21" s="305"/>
      <c r="AO21" s="305"/>
      <c r="AP21" s="78"/>
      <c r="AQ21" s="336"/>
      <c r="AR21" s="336"/>
      <c r="AS21" s="336"/>
      <c r="AT21" s="336"/>
      <c r="AU21" s="195" t="s">
        <v>1241</v>
      </c>
      <c r="AV21" s="195"/>
      <c r="AW21" s="80" t="s">
        <v>992</v>
      </c>
      <c r="AX21" s="80"/>
      <c r="AY21" s="80"/>
      <c r="AZ21" s="80"/>
      <c r="BA21" s="80"/>
      <c r="BB21" s="80"/>
      <c r="BC21" s="65"/>
      <c r="BD21" s="251"/>
      <c r="BM21" s="251"/>
      <c r="EW21" s="63">
        <v>13</v>
      </c>
      <c r="EX21" s="61" t="s">
        <v>1075</v>
      </c>
      <c r="EY21" s="60"/>
      <c r="EZ21" s="60"/>
      <c r="FA21" s="60"/>
      <c r="FB21" s="60"/>
      <c r="FC21" s="60"/>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5"/>
    </row>
    <row r="22" spans="1:206" ht="15" customHeight="1" x14ac:dyDescent="0.25">
      <c r="A22" s="5"/>
      <c r="B22" s="63">
        <v>14</v>
      </c>
      <c r="C22" s="192" t="s">
        <v>1074</v>
      </c>
      <c r="D22" s="78"/>
      <c r="E22" s="78"/>
      <c r="F22" s="78"/>
      <c r="G22" s="78"/>
      <c r="H22" s="193"/>
      <c r="I22" s="82"/>
      <c r="J22" s="328" t="s">
        <v>17</v>
      </c>
      <c r="K22" s="329"/>
      <c r="L22" s="329"/>
      <c r="M22" s="78"/>
      <c r="N22" s="78" t="s">
        <v>1043</v>
      </c>
      <c r="O22" s="89">
        <f>IF(J22="Full",J21,IF(J22="Short",(J21*(2/3)),IF(J22="Half",(J21/2),(J21*1.5))))</f>
        <v>0</v>
      </c>
      <c r="P22" s="80"/>
      <c r="Q22" s="80"/>
      <c r="R22" s="78" t="s">
        <v>1047</v>
      </c>
      <c r="S22" s="78" t="s">
        <v>1044</v>
      </c>
      <c r="T22" s="78"/>
      <c r="U22" s="78"/>
      <c r="V22" s="78"/>
      <c r="W22" s="78"/>
      <c r="X22" s="78"/>
      <c r="Y22" s="78"/>
      <c r="Z22" s="78"/>
      <c r="AA22" s="78"/>
      <c r="AB22" s="82"/>
      <c r="AC22" s="194" t="s">
        <v>1132</v>
      </c>
      <c r="AD22" s="78"/>
      <c r="AE22" s="78"/>
      <c r="AF22" s="78"/>
      <c r="AG22" s="78"/>
      <c r="AH22" s="78"/>
      <c r="AI22" s="82"/>
      <c r="AJ22" s="304"/>
      <c r="AK22" s="305"/>
      <c r="AL22" s="305"/>
      <c r="AM22" s="305"/>
      <c r="AN22" s="305"/>
      <c r="AO22" s="305"/>
      <c r="AP22" s="78"/>
      <c r="AQ22" s="316"/>
      <c r="AR22" s="316"/>
      <c r="AS22" s="316"/>
      <c r="AT22" s="316"/>
      <c r="AU22" s="316"/>
      <c r="AV22" s="316"/>
      <c r="AW22" s="80" t="s">
        <v>1254</v>
      </c>
      <c r="AX22" s="80"/>
      <c r="AY22" s="80"/>
      <c r="AZ22" s="80"/>
      <c r="BA22" s="80"/>
      <c r="BB22" s="80"/>
      <c r="BC22" s="58"/>
      <c r="BD22" s="251"/>
      <c r="BM22" s="251"/>
      <c r="EW22" s="58"/>
      <c r="EX22" s="29" t="s">
        <v>1076</v>
      </c>
      <c r="EY22" s="98"/>
      <c r="EZ22" s="98"/>
      <c r="FA22" s="98"/>
      <c r="FB22" s="98"/>
      <c r="FC22" s="98"/>
      <c r="FD22" s="98"/>
      <c r="FE22" s="98"/>
      <c r="FF22" s="98"/>
      <c r="FG22" s="98"/>
      <c r="FH22" s="98"/>
      <c r="FI22" s="98"/>
      <c r="FJ22" s="99"/>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8"/>
    </row>
    <row r="23" spans="1:206" x14ac:dyDescent="0.25">
      <c r="A23" s="5"/>
      <c r="B23" s="63">
        <v>15</v>
      </c>
      <c r="C23" s="192" t="s">
        <v>1109</v>
      </c>
      <c r="D23" s="78"/>
      <c r="E23" s="78"/>
      <c r="F23" s="78"/>
      <c r="G23" s="78"/>
      <c r="H23" s="193"/>
      <c r="I23" s="82"/>
      <c r="J23" s="328"/>
      <c r="K23" s="329"/>
      <c r="L23" s="329"/>
      <c r="M23" s="329"/>
      <c r="N23" s="329"/>
      <c r="O23" s="329"/>
      <c r="P23" s="329"/>
      <c r="Q23" s="329"/>
      <c r="R23" s="329"/>
      <c r="S23" s="329"/>
      <c r="T23" s="329"/>
      <c r="U23" s="329"/>
      <c r="V23" s="329"/>
      <c r="W23" s="329"/>
      <c r="X23" s="329"/>
      <c r="Y23" s="329"/>
      <c r="Z23" s="329"/>
      <c r="AA23" s="329"/>
      <c r="AB23" s="330"/>
      <c r="AC23" s="194" t="s">
        <v>1133</v>
      </c>
      <c r="AD23" s="78"/>
      <c r="AE23" s="78"/>
      <c r="AF23" s="78"/>
      <c r="AG23" s="78"/>
      <c r="AH23" s="78"/>
      <c r="AI23" s="82"/>
      <c r="AJ23" s="304"/>
      <c r="AK23" s="305"/>
      <c r="AL23" s="305"/>
      <c r="AM23" s="305"/>
      <c r="AN23" s="305"/>
      <c r="AO23" s="305"/>
      <c r="AP23" s="78"/>
      <c r="AQ23" s="305"/>
      <c r="AR23" s="305"/>
      <c r="AS23" s="305"/>
      <c r="AT23" s="305"/>
      <c r="AU23" s="305"/>
      <c r="AV23" s="305"/>
      <c r="AW23" s="80" t="s">
        <v>1253</v>
      </c>
      <c r="AX23" s="80"/>
      <c r="AY23" s="80"/>
      <c r="AZ23" s="80"/>
      <c r="BA23" s="80"/>
      <c r="BB23" s="80"/>
      <c r="BC23" s="58"/>
      <c r="BD23" s="251"/>
      <c r="BM23" s="251"/>
      <c r="EW23" s="58"/>
      <c r="EX23" s="107" t="s">
        <v>1077</v>
      </c>
      <c r="EY23" s="102"/>
      <c r="EZ23" s="102"/>
      <c r="FA23" s="102"/>
      <c r="FB23" s="102"/>
      <c r="FC23" s="102"/>
      <c r="FD23" s="102"/>
      <c r="FE23" s="102"/>
      <c r="FF23" s="102"/>
      <c r="FG23" s="102"/>
      <c r="FH23" s="102"/>
      <c r="FI23" s="102"/>
      <c r="FJ23" s="103"/>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8"/>
    </row>
    <row r="24" spans="1:206" x14ac:dyDescent="0.25">
      <c r="A24" s="5"/>
      <c r="B24" s="63">
        <v>16</v>
      </c>
      <c r="C24" s="192" t="s">
        <v>1110</v>
      </c>
      <c r="D24" s="78"/>
      <c r="E24" s="78"/>
      <c r="F24" s="78"/>
      <c r="G24" s="78"/>
      <c r="H24" s="193"/>
      <c r="I24" s="82"/>
      <c r="J24" s="328" t="s">
        <v>32</v>
      </c>
      <c r="K24" s="329"/>
      <c r="L24" s="329"/>
      <c r="M24" s="329"/>
      <c r="N24" s="329"/>
      <c r="O24" s="329"/>
      <c r="P24" s="329"/>
      <c r="Q24" s="329"/>
      <c r="R24" s="196" t="e">
        <f>"Standard = "&amp;Reference!J3</f>
        <v>#N/A</v>
      </c>
      <c r="S24" s="196"/>
      <c r="T24" s="196"/>
      <c r="U24" s="196"/>
      <c r="V24" s="196"/>
      <c r="W24" s="196"/>
      <c r="X24" s="196"/>
      <c r="Y24" s="196"/>
      <c r="Z24" s="196"/>
      <c r="AA24" s="196"/>
      <c r="AB24" s="197"/>
      <c r="AC24" s="194" t="s">
        <v>1134</v>
      </c>
      <c r="AD24" s="78"/>
      <c r="AE24" s="78"/>
      <c r="AF24" s="78"/>
      <c r="AG24" s="78"/>
      <c r="AH24" s="78"/>
      <c r="AI24" s="82"/>
      <c r="AJ24" s="304"/>
      <c r="AK24" s="305"/>
      <c r="AL24" s="305"/>
      <c r="AM24" s="305"/>
      <c r="AN24" s="305"/>
      <c r="AO24" s="305"/>
      <c r="AP24" s="78"/>
      <c r="AQ24" s="305"/>
      <c r="AR24" s="305"/>
      <c r="AS24" s="305"/>
      <c r="AT24" s="305"/>
      <c r="AU24" s="305"/>
      <c r="AV24" s="305"/>
      <c r="AW24" s="78"/>
      <c r="AX24" s="78"/>
      <c r="AY24" s="78"/>
      <c r="AZ24" s="78"/>
      <c r="BA24" s="78"/>
      <c r="BB24" s="78"/>
      <c r="BC24" s="58"/>
      <c r="BD24" s="251"/>
      <c r="BM24" s="251"/>
      <c r="EW24" s="58"/>
      <c r="EX24" s="107" t="s">
        <v>1078</v>
      </c>
      <c r="EY24" s="102"/>
      <c r="EZ24" s="102"/>
      <c r="FA24" s="102"/>
      <c r="FB24" s="102"/>
      <c r="FC24" s="102"/>
      <c r="FD24" s="102"/>
      <c r="FE24" s="102"/>
      <c r="FF24" s="102"/>
      <c r="FG24" s="102"/>
      <c r="FH24" s="102"/>
      <c r="FI24" s="102"/>
      <c r="FJ24" s="103"/>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8"/>
    </row>
    <row r="25" spans="1:206" x14ac:dyDescent="0.25">
      <c r="A25" s="5"/>
      <c r="B25" s="63">
        <v>17</v>
      </c>
      <c r="C25" s="192" t="s">
        <v>1111</v>
      </c>
      <c r="D25" s="78"/>
      <c r="E25" s="78"/>
      <c r="F25" s="78"/>
      <c r="G25" s="78"/>
      <c r="H25" s="193"/>
      <c r="I25" s="82"/>
      <c r="J25" s="328"/>
      <c r="K25" s="329"/>
      <c r="L25" s="329"/>
      <c r="M25" s="329"/>
      <c r="N25" s="329"/>
      <c r="O25" s="329"/>
      <c r="P25" s="329"/>
      <c r="Q25" s="329"/>
      <c r="R25" s="196" t="e">
        <f>"Standard = "&amp;Reference!I2</f>
        <v>#N/A</v>
      </c>
      <c r="S25" s="196"/>
      <c r="T25" s="196"/>
      <c r="U25" s="196"/>
      <c r="V25" s="196"/>
      <c r="W25" s="196"/>
      <c r="X25" s="196"/>
      <c r="Y25" s="196"/>
      <c r="Z25" s="196"/>
      <c r="AA25" s="196"/>
      <c r="AB25" s="197"/>
      <c r="AC25" s="194" t="s">
        <v>1135</v>
      </c>
      <c r="AD25" s="78"/>
      <c r="AE25" s="78"/>
      <c r="AF25" s="78"/>
      <c r="AG25" s="78"/>
      <c r="AH25" s="78"/>
      <c r="AI25" s="82"/>
      <c r="AJ25" s="304"/>
      <c r="AK25" s="305"/>
      <c r="AL25" s="305"/>
      <c r="AM25" s="305"/>
      <c r="AN25" s="305"/>
      <c r="AO25" s="305"/>
      <c r="AP25" s="198"/>
      <c r="AQ25" s="118" t="s">
        <v>756</v>
      </c>
      <c r="AR25" s="118"/>
      <c r="AS25" s="118"/>
      <c r="AT25" s="118"/>
      <c r="AU25" s="118"/>
      <c r="AV25" s="118"/>
      <c r="AW25" s="118"/>
      <c r="AX25" s="118"/>
      <c r="AY25" s="118"/>
      <c r="AZ25" s="118"/>
      <c r="BA25" s="118"/>
      <c r="BB25" s="118"/>
      <c r="BC25" s="58"/>
      <c r="BD25" s="251"/>
      <c r="BM25" s="251"/>
      <c r="EW25" s="58"/>
      <c r="EX25" s="102"/>
      <c r="EY25" s="102"/>
      <c r="EZ25" s="102"/>
      <c r="FA25" s="102"/>
      <c r="FB25" s="102"/>
      <c r="FC25" s="102"/>
      <c r="FD25" s="102"/>
      <c r="FE25" s="102"/>
      <c r="FF25" s="102"/>
      <c r="FG25" s="102"/>
      <c r="FH25" s="102"/>
      <c r="FI25" s="102"/>
      <c r="FJ25" s="103"/>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8"/>
    </row>
    <row r="26" spans="1:206" x14ac:dyDescent="0.25">
      <c r="A26" s="5"/>
      <c r="B26" s="63">
        <v>18</v>
      </c>
      <c r="C26" s="192" t="s">
        <v>1104</v>
      </c>
      <c r="D26" s="78"/>
      <c r="E26" s="78"/>
      <c r="F26" s="78"/>
      <c r="G26" s="78"/>
      <c r="H26" s="193"/>
      <c r="I26" s="82"/>
      <c r="J26" s="124"/>
      <c r="K26" s="180"/>
      <c r="L26" s="180"/>
      <c r="M26" s="78" t="s">
        <v>1102</v>
      </c>
      <c r="N26" s="78"/>
      <c r="O26" s="124"/>
      <c r="P26" s="180"/>
      <c r="Q26" s="180"/>
      <c r="R26" s="78" t="s">
        <v>1106</v>
      </c>
      <c r="S26" s="78"/>
      <c r="T26" s="78"/>
      <c r="U26" s="199" t="s">
        <v>1824</v>
      </c>
      <c r="V26" s="78"/>
      <c r="W26" s="78"/>
      <c r="X26" s="78"/>
      <c r="Y26" s="78"/>
      <c r="Z26" s="78"/>
      <c r="AA26" s="78"/>
      <c r="AB26" s="82"/>
      <c r="AC26" s="194" t="s">
        <v>1882</v>
      </c>
      <c r="AD26" s="78"/>
      <c r="AE26" s="78"/>
      <c r="AF26" s="78"/>
      <c r="AG26" s="78"/>
      <c r="AH26" s="78"/>
      <c r="AI26" s="82"/>
      <c r="AJ26" s="304"/>
      <c r="AK26" s="305"/>
      <c r="AL26" s="305"/>
      <c r="AM26" s="305"/>
      <c r="AN26" s="305"/>
      <c r="AO26" s="305"/>
      <c r="AP26" s="78"/>
      <c r="AQ26" s="78" t="s">
        <v>1883</v>
      </c>
      <c r="AR26" s="78"/>
      <c r="AS26" s="78"/>
      <c r="AT26" s="78"/>
      <c r="AU26" s="78"/>
      <c r="AV26" s="78"/>
      <c r="AW26" s="78"/>
      <c r="AX26" s="78"/>
      <c r="AY26" s="78"/>
      <c r="AZ26" s="78"/>
      <c r="BA26" s="78"/>
      <c r="BB26" s="82"/>
      <c r="BC26" s="58"/>
      <c r="BD26" s="251"/>
      <c r="BM26" s="251"/>
      <c r="EW26" s="58"/>
      <c r="EX26" s="102"/>
      <c r="EY26" s="102"/>
      <c r="EZ26" s="102"/>
      <c r="FA26" s="102"/>
      <c r="FB26" s="102"/>
      <c r="FC26" s="102"/>
      <c r="FD26" s="102"/>
      <c r="FE26" s="102"/>
      <c r="FF26" s="102"/>
      <c r="FG26" s="102"/>
      <c r="FH26" s="102"/>
      <c r="FI26" s="102"/>
      <c r="FJ26" s="103"/>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8"/>
    </row>
    <row r="27" spans="1:206" ht="15.75" thickBot="1" x14ac:dyDescent="0.3">
      <c r="A27" s="5"/>
      <c r="B27" s="63">
        <v>19</v>
      </c>
      <c r="C27" s="284" t="s">
        <v>1048</v>
      </c>
      <c r="D27" s="193"/>
      <c r="E27" s="193"/>
      <c r="F27" s="193"/>
      <c r="G27" s="193"/>
      <c r="H27" s="193"/>
      <c r="I27" s="285"/>
      <c r="J27" s="124"/>
      <c r="K27" s="180"/>
      <c r="L27" s="180"/>
      <c r="M27" s="78" t="s">
        <v>1107</v>
      </c>
      <c r="N27" s="78"/>
      <c r="O27" s="78"/>
      <c r="P27" s="78"/>
      <c r="Q27" s="78"/>
      <c r="R27" s="78"/>
      <c r="S27" s="78"/>
      <c r="T27" s="78"/>
      <c r="U27" s="78"/>
      <c r="V27" s="78"/>
      <c r="W27" s="78"/>
      <c r="X27" s="78"/>
      <c r="Y27" s="78"/>
      <c r="Z27" s="78"/>
      <c r="AA27" s="78"/>
      <c r="AB27" s="82"/>
      <c r="AC27" s="194" t="s">
        <v>1137</v>
      </c>
      <c r="AD27" s="78"/>
      <c r="AE27" s="78"/>
      <c r="AF27" s="78"/>
      <c r="AG27" s="78"/>
      <c r="AH27" s="78"/>
      <c r="AI27" s="82"/>
      <c r="AJ27" s="304"/>
      <c r="AK27" s="305"/>
      <c r="AL27" s="305"/>
      <c r="AM27" s="305"/>
      <c r="AN27" s="305"/>
      <c r="AO27" s="305"/>
      <c r="AP27" s="305"/>
      <c r="AQ27" s="305"/>
      <c r="AR27" s="305"/>
      <c r="AS27" s="305"/>
      <c r="AT27" s="305"/>
      <c r="AU27" s="305"/>
      <c r="AV27" s="305"/>
      <c r="AW27" s="305"/>
      <c r="AX27" s="305"/>
      <c r="AY27" s="305"/>
      <c r="AZ27" s="305"/>
      <c r="BA27" s="305"/>
      <c r="BB27" s="306"/>
      <c r="BC27" s="58"/>
      <c r="BD27" s="251"/>
      <c r="BM27" s="251"/>
      <c r="EW27" s="58"/>
      <c r="EX27" s="108" t="s">
        <v>824</v>
      </c>
      <c r="EY27" s="100"/>
      <c r="EZ27" s="100"/>
      <c r="FA27" s="100"/>
      <c r="FB27" s="100"/>
      <c r="FC27" s="100"/>
      <c r="FD27" s="100"/>
      <c r="FE27" s="100"/>
      <c r="FF27" s="100"/>
      <c r="FG27" s="100"/>
      <c r="FH27" s="100"/>
      <c r="FI27" s="100"/>
      <c r="FJ27" s="101"/>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8"/>
    </row>
    <row r="28" spans="1:206" x14ac:dyDescent="0.25">
      <c r="A28" s="5"/>
      <c r="B28" s="63">
        <v>20</v>
      </c>
      <c r="C28" s="105"/>
      <c r="D28" s="78"/>
      <c r="E28" s="78"/>
      <c r="F28" s="78"/>
      <c r="G28" s="78"/>
      <c r="H28" s="78"/>
      <c r="I28" s="82"/>
      <c r="J28" s="96"/>
      <c r="K28" s="78"/>
      <c r="L28" s="78"/>
      <c r="M28" s="78"/>
      <c r="N28" s="78"/>
      <c r="O28" s="78"/>
      <c r="P28" s="78"/>
      <c r="Q28" s="78"/>
      <c r="R28" s="78"/>
      <c r="S28" s="78"/>
      <c r="T28" s="78"/>
      <c r="U28" s="78"/>
      <c r="V28" s="78"/>
      <c r="W28" s="78"/>
      <c r="X28" s="78"/>
      <c r="Y28" s="78"/>
      <c r="Z28" s="78"/>
      <c r="AA28" s="78"/>
      <c r="AB28" s="82"/>
      <c r="AC28" s="194" t="s">
        <v>1136</v>
      </c>
      <c r="AD28" s="78"/>
      <c r="AE28" s="78"/>
      <c r="AF28" s="78"/>
      <c r="AG28" s="78"/>
      <c r="AH28" s="78"/>
      <c r="AI28" s="82"/>
      <c r="AJ28" s="304"/>
      <c r="AK28" s="305"/>
      <c r="AL28" s="305"/>
      <c r="AM28" s="305"/>
      <c r="AN28" s="305"/>
      <c r="AO28" s="305"/>
      <c r="AP28" s="305"/>
      <c r="AQ28" s="305"/>
      <c r="AR28" s="305"/>
      <c r="AS28" s="305"/>
      <c r="AT28" s="305"/>
      <c r="AU28" s="305"/>
      <c r="AV28" s="305"/>
      <c r="AW28" s="305"/>
      <c r="AX28" s="305"/>
      <c r="AY28" s="305"/>
      <c r="AZ28" s="305"/>
      <c r="BA28" s="305"/>
      <c r="BB28" s="306"/>
      <c r="BC28" s="58"/>
      <c r="BD28" s="251"/>
      <c r="BM28" s="251"/>
      <c r="EW28" s="58"/>
      <c r="EX28" s="2" t="s">
        <v>0</v>
      </c>
      <c r="EY28" s="2"/>
      <c r="EZ28" s="2" t="s">
        <v>1079</v>
      </c>
      <c r="FA28" s="2" t="s">
        <v>1080</v>
      </c>
      <c r="FB28" s="2"/>
      <c r="FC28" s="2"/>
      <c r="FD28" s="2"/>
      <c r="FE28" s="2"/>
      <c r="FF28" s="2"/>
      <c r="FG28" s="2"/>
      <c r="FH28" s="2"/>
      <c r="FI28" s="2"/>
      <c r="FJ28" s="3"/>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8"/>
    </row>
    <row r="29" spans="1:206" ht="15.75" thickBot="1" x14ac:dyDescent="0.3">
      <c r="A29" s="5"/>
      <c r="B29" s="63">
        <v>21</v>
      </c>
      <c r="C29" s="200"/>
      <c r="D29" s="7"/>
      <c r="E29" s="7"/>
      <c r="F29" s="7"/>
      <c r="G29" s="7"/>
      <c r="H29" s="7"/>
      <c r="I29" s="8"/>
      <c r="J29" s="201"/>
      <c r="K29" s="7"/>
      <c r="L29" s="7"/>
      <c r="M29" s="7"/>
      <c r="N29" s="7"/>
      <c r="O29" s="7"/>
      <c r="P29" s="7"/>
      <c r="Q29" s="7"/>
      <c r="R29" s="7"/>
      <c r="S29" s="7"/>
      <c r="T29" s="7"/>
      <c r="U29" s="7"/>
      <c r="V29" s="7"/>
      <c r="W29" s="7"/>
      <c r="X29" s="7"/>
      <c r="Y29" s="7"/>
      <c r="Z29" s="7"/>
      <c r="AA29" s="7"/>
      <c r="AB29" s="8"/>
      <c r="AC29" s="202" t="s">
        <v>1168</v>
      </c>
      <c r="AD29" s="91"/>
      <c r="AE29" s="91"/>
      <c r="AF29" s="91"/>
      <c r="AG29" s="91"/>
      <c r="AH29" s="91"/>
      <c r="AI29" s="92"/>
      <c r="AJ29" s="129"/>
      <c r="AK29" s="184"/>
      <c r="AL29" s="184"/>
      <c r="AM29" s="184"/>
      <c r="AN29" s="184"/>
      <c r="AO29" s="184"/>
      <c r="AP29" s="184"/>
      <c r="AQ29" s="184"/>
      <c r="AR29" s="184"/>
      <c r="AS29" s="184"/>
      <c r="AT29" s="184"/>
      <c r="AU29" s="184"/>
      <c r="AV29" s="184"/>
      <c r="AW29" s="184"/>
      <c r="AX29" s="184"/>
      <c r="AY29" s="184"/>
      <c r="AZ29" s="184"/>
      <c r="BA29" s="184"/>
      <c r="BB29" s="184"/>
      <c r="BC29" s="58"/>
      <c r="BD29" s="251"/>
      <c r="BM29" s="251"/>
      <c r="EW29" s="58"/>
      <c r="EX29" s="5"/>
      <c r="EY29" s="5"/>
      <c r="EZ29" s="5"/>
      <c r="FA29" s="5"/>
      <c r="FB29" s="5"/>
      <c r="FC29" s="5"/>
      <c r="FD29" s="5"/>
      <c r="FE29" s="5"/>
      <c r="FF29" s="5"/>
      <c r="FG29" s="5"/>
      <c r="FH29" s="5"/>
      <c r="FI29" s="5"/>
      <c r="FJ29" s="6"/>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8"/>
    </row>
    <row r="30" spans="1:206" ht="18" x14ac:dyDescent="0.35">
      <c r="A30" s="5"/>
      <c r="B30" s="63">
        <v>22</v>
      </c>
      <c r="C30" s="72" t="s">
        <v>7</v>
      </c>
      <c r="D30" s="72"/>
      <c r="E30" s="72"/>
      <c r="F30" s="72" t="s">
        <v>1079</v>
      </c>
      <c r="G30" s="72" t="s">
        <v>1082</v>
      </c>
      <c r="H30" s="72"/>
      <c r="I30" s="72"/>
      <c r="J30" s="72"/>
      <c r="K30" s="72"/>
      <c r="L30" s="72"/>
      <c r="M30" s="72"/>
      <c r="N30" s="72"/>
      <c r="O30" s="72" t="s">
        <v>1079</v>
      </c>
      <c r="P30" s="203">
        <f>J21</f>
        <v>0</v>
      </c>
      <c r="Q30" s="74"/>
      <c r="R30" s="74"/>
      <c r="S30" s="72"/>
      <c r="T30" s="72" t="s">
        <v>1047</v>
      </c>
      <c r="U30" s="72"/>
      <c r="V30" s="72"/>
      <c r="W30" s="72"/>
      <c r="X30" s="72"/>
      <c r="Y30" s="72"/>
      <c r="Z30" s="72"/>
      <c r="AA30" s="72"/>
      <c r="AB30" s="76"/>
      <c r="AC30" s="115" t="s">
        <v>35</v>
      </c>
      <c r="AD30" s="72"/>
      <c r="AE30" s="72" t="s">
        <v>1079</v>
      </c>
      <c r="AF30" s="72"/>
      <c r="AG30" s="72" t="s">
        <v>1115</v>
      </c>
      <c r="AH30" s="72"/>
      <c r="AI30" s="72"/>
      <c r="AJ30" s="72"/>
      <c r="AK30" s="72"/>
      <c r="AL30" s="72"/>
      <c r="AM30" s="72"/>
      <c r="AN30" s="72" t="s">
        <v>1079</v>
      </c>
      <c r="AO30" s="204">
        <f>P13</f>
        <v>0</v>
      </c>
      <c r="AP30" s="74"/>
      <c r="AQ30" s="74"/>
      <c r="AR30" s="72" t="s">
        <v>1046</v>
      </c>
      <c r="AS30" s="72"/>
      <c r="AT30" s="72"/>
      <c r="AU30" s="72"/>
      <c r="AV30" s="72"/>
      <c r="AW30" s="72"/>
      <c r="AX30" s="72"/>
      <c r="AY30" s="72"/>
      <c r="AZ30" s="72"/>
      <c r="BA30" s="72"/>
      <c r="BB30" s="72"/>
      <c r="BC30" s="58"/>
      <c r="BD30" s="251"/>
      <c r="BM30" s="251"/>
      <c r="EW30" s="58"/>
      <c r="EX30" s="5" t="s">
        <v>11</v>
      </c>
      <c r="EY30" s="5"/>
      <c r="EZ30" s="5" t="s">
        <v>1079</v>
      </c>
      <c r="FA30" s="5" t="s">
        <v>1081</v>
      </c>
      <c r="FB30" s="5"/>
      <c r="FC30" s="5"/>
      <c r="FD30" s="5"/>
      <c r="FE30" s="5"/>
      <c r="FF30" s="5"/>
      <c r="FG30" s="5"/>
      <c r="FH30" s="5"/>
      <c r="FI30" s="5"/>
      <c r="FJ30" s="6"/>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8"/>
    </row>
    <row r="31" spans="1:206" ht="18" x14ac:dyDescent="0.35">
      <c r="A31" s="5"/>
      <c r="B31" s="63">
        <v>23</v>
      </c>
      <c r="C31" s="78" t="s">
        <v>8</v>
      </c>
      <c r="D31" s="78"/>
      <c r="E31" s="78"/>
      <c r="F31" s="78" t="s">
        <v>1079</v>
      </c>
      <c r="G31" s="78" t="s">
        <v>1083</v>
      </c>
      <c r="H31" s="78"/>
      <c r="I31" s="78"/>
      <c r="J31" s="78"/>
      <c r="K31" s="78"/>
      <c r="L31" s="78"/>
      <c r="M31" s="78"/>
      <c r="N31" s="78"/>
      <c r="O31" s="78" t="s">
        <v>1079</v>
      </c>
      <c r="P31" s="89" t="e">
        <f>Reference!H2</f>
        <v>#N/A</v>
      </c>
      <c r="Q31" s="80"/>
      <c r="R31" s="80"/>
      <c r="S31" s="78"/>
      <c r="T31" s="78" t="s">
        <v>1047</v>
      </c>
      <c r="U31" s="78"/>
      <c r="V31" s="78"/>
      <c r="W31" s="78"/>
      <c r="X31" s="78"/>
      <c r="Y31" s="78"/>
      <c r="Z31" s="78"/>
      <c r="AA31" s="78"/>
      <c r="AB31" s="82"/>
      <c r="AC31" s="96" t="s">
        <v>11</v>
      </c>
      <c r="AD31" s="78"/>
      <c r="AE31" s="78" t="s">
        <v>1079</v>
      </c>
      <c r="AF31" s="78"/>
      <c r="AG31" s="78" t="s">
        <v>1081</v>
      </c>
      <c r="AH31" s="78"/>
      <c r="AI31" s="78"/>
      <c r="AJ31" s="78"/>
      <c r="AK31" s="78"/>
      <c r="AL31" s="78"/>
      <c r="AM31" s="78"/>
      <c r="AN31" s="78" t="s">
        <v>1079</v>
      </c>
      <c r="AO31" s="205" t="e">
        <f>P42</f>
        <v>#N/A</v>
      </c>
      <c r="AP31" s="80"/>
      <c r="AQ31" s="80"/>
      <c r="AR31" s="78" t="s">
        <v>726</v>
      </c>
      <c r="AS31" s="78"/>
      <c r="AT31" s="78"/>
      <c r="AU31" s="78"/>
      <c r="AV31" s="78"/>
      <c r="AW31" s="78"/>
      <c r="AX31" s="78"/>
      <c r="AY31" s="78"/>
      <c r="AZ31" s="78"/>
      <c r="BA31" s="78"/>
      <c r="BB31" s="78"/>
      <c r="BC31" s="58"/>
      <c r="BD31" s="251"/>
      <c r="BM31" s="251"/>
      <c r="EW31" s="58"/>
      <c r="EX31" s="5" t="s">
        <v>7</v>
      </c>
      <c r="EY31" s="5"/>
      <c r="EZ31" s="5" t="s">
        <v>1079</v>
      </c>
      <c r="FA31" s="5" t="s">
        <v>1082</v>
      </c>
      <c r="FB31" s="5"/>
      <c r="FC31" s="5"/>
      <c r="FD31" s="5"/>
      <c r="FE31" s="5"/>
      <c r="FF31" s="5"/>
      <c r="FG31" s="5"/>
      <c r="FH31" s="5"/>
      <c r="FI31" s="5"/>
      <c r="FJ31" s="6"/>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8"/>
    </row>
    <row r="32" spans="1:206" ht="18" x14ac:dyDescent="0.35">
      <c r="A32" s="5"/>
      <c r="B32" s="63">
        <v>24</v>
      </c>
      <c r="C32" s="78" t="s">
        <v>9</v>
      </c>
      <c r="D32" s="78"/>
      <c r="E32" s="78"/>
      <c r="F32" s="78" t="s">
        <v>1079</v>
      </c>
      <c r="G32" s="78" t="s">
        <v>1084</v>
      </c>
      <c r="H32" s="78"/>
      <c r="I32" s="78"/>
      <c r="J32" s="78"/>
      <c r="K32" s="78"/>
      <c r="L32" s="78"/>
      <c r="M32" s="78"/>
      <c r="N32" s="78"/>
      <c r="O32" s="78" t="s">
        <v>1079</v>
      </c>
      <c r="P32" s="89">
        <f>O22</f>
        <v>0</v>
      </c>
      <c r="Q32" s="80"/>
      <c r="R32" s="80"/>
      <c r="S32" s="78"/>
      <c r="T32" s="78" t="s">
        <v>1047</v>
      </c>
      <c r="U32" s="78"/>
      <c r="V32" s="78"/>
      <c r="W32" s="78"/>
      <c r="X32" s="78"/>
      <c r="Y32" s="78"/>
      <c r="Z32" s="78"/>
      <c r="AA32" s="78"/>
      <c r="AB32" s="82"/>
      <c r="AC32" s="96" t="s">
        <v>1981</v>
      </c>
      <c r="AD32" s="78"/>
      <c r="AE32" s="78" t="s">
        <v>1079</v>
      </c>
      <c r="AF32" s="78"/>
      <c r="AG32" s="78" t="s">
        <v>1982</v>
      </c>
      <c r="AH32" s="78"/>
      <c r="AI32" s="78"/>
      <c r="AJ32" s="78"/>
      <c r="AK32" s="78"/>
      <c r="AL32" s="78"/>
      <c r="AM32" s="78"/>
      <c r="AN32" s="78" t="s">
        <v>1079</v>
      </c>
      <c r="AO32" s="205">
        <f>(SIN(RADIANS(J27)))*P13</f>
        <v>0</v>
      </c>
      <c r="AP32" s="80"/>
      <c r="AQ32" s="80"/>
      <c r="AR32" s="78" t="s">
        <v>1046</v>
      </c>
      <c r="AS32" s="78"/>
      <c r="AT32" s="78"/>
      <c r="AU32" s="78"/>
      <c r="AV32" s="78"/>
      <c r="AW32" s="78"/>
      <c r="AX32" s="78"/>
      <c r="AY32" s="78"/>
      <c r="AZ32" s="78"/>
      <c r="BA32" s="78"/>
      <c r="BB32" s="78"/>
      <c r="BC32" s="58"/>
      <c r="BD32" s="251"/>
      <c r="BM32" s="251"/>
      <c r="EW32" s="58"/>
      <c r="EX32" s="5" t="s">
        <v>8</v>
      </c>
      <c r="EY32" s="5"/>
      <c r="EZ32" s="5" t="s">
        <v>1079</v>
      </c>
      <c r="FA32" s="5" t="s">
        <v>1083</v>
      </c>
      <c r="FB32" s="5"/>
      <c r="FC32" s="5"/>
      <c r="FD32" s="5"/>
      <c r="FE32" s="5"/>
      <c r="FF32" s="5"/>
      <c r="FG32" s="5"/>
      <c r="FH32" s="5"/>
      <c r="FI32" s="5"/>
      <c r="FJ32" s="6"/>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8"/>
    </row>
    <row r="33" spans="1:206" x14ac:dyDescent="0.25">
      <c r="A33" s="5"/>
      <c r="B33" s="63">
        <v>25</v>
      </c>
      <c r="C33" s="78" t="s">
        <v>10</v>
      </c>
      <c r="D33" s="78"/>
      <c r="E33" s="78"/>
      <c r="F33" s="78" t="s">
        <v>1079</v>
      </c>
      <c r="G33" s="78" t="s">
        <v>1085</v>
      </c>
      <c r="H33" s="78"/>
      <c r="I33" s="78"/>
      <c r="J33" s="78"/>
      <c r="K33" s="78"/>
      <c r="L33" s="78"/>
      <c r="M33" s="78"/>
      <c r="N33" s="78"/>
      <c r="O33" s="78" t="s">
        <v>1079</v>
      </c>
      <c r="P33" s="205">
        <f>J26</f>
        <v>0</v>
      </c>
      <c r="Q33" s="80"/>
      <c r="R33" s="80"/>
      <c r="S33" s="78"/>
      <c r="T33" s="78" t="s">
        <v>1102</v>
      </c>
      <c r="U33" s="78"/>
      <c r="V33" s="78"/>
      <c r="W33" s="78"/>
      <c r="X33" s="78"/>
      <c r="Y33" s="78"/>
      <c r="Z33" s="78"/>
      <c r="AA33" s="78"/>
      <c r="AB33" s="82"/>
      <c r="AC33" s="96" t="s">
        <v>36</v>
      </c>
      <c r="AD33" s="78"/>
      <c r="AE33" s="78" t="s">
        <v>1079</v>
      </c>
      <c r="AF33" s="78"/>
      <c r="AG33" s="78" t="s">
        <v>1116</v>
      </c>
      <c r="AH33" s="78"/>
      <c r="AI33" s="78"/>
      <c r="AJ33" s="78"/>
      <c r="AK33" s="78"/>
      <c r="AL33" s="78"/>
      <c r="AM33" s="78"/>
      <c r="AN33" s="78" t="s">
        <v>1079</v>
      </c>
      <c r="AO33" s="205" t="e">
        <f>VLOOKUP(J21,Reference!AJ5:AK30,2,FALSE)</f>
        <v>#N/A</v>
      </c>
      <c r="AP33" s="80"/>
      <c r="AQ33" s="80"/>
      <c r="AR33" s="78"/>
      <c r="AS33" s="78"/>
      <c r="AT33" s="78"/>
      <c r="AU33" s="78"/>
      <c r="AV33" s="78"/>
      <c r="AW33" s="78"/>
      <c r="AX33" s="78"/>
      <c r="AY33" s="78"/>
      <c r="AZ33" s="78"/>
      <c r="BA33" s="78"/>
      <c r="BB33" s="78"/>
      <c r="BC33" s="58"/>
      <c r="BD33" s="251"/>
      <c r="BM33" s="251"/>
      <c r="EW33" s="58"/>
      <c r="EX33" s="5" t="s">
        <v>9</v>
      </c>
      <c r="EY33" s="5"/>
      <c r="EZ33" s="5" t="s">
        <v>1079</v>
      </c>
      <c r="FA33" s="5" t="s">
        <v>1084</v>
      </c>
      <c r="FB33" s="5"/>
      <c r="FC33" s="5"/>
      <c r="FD33" s="5"/>
      <c r="FE33" s="5"/>
      <c r="FF33" s="5"/>
      <c r="FG33" s="5"/>
      <c r="FH33" s="5"/>
      <c r="FI33" s="5"/>
      <c r="FJ33" s="6"/>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8"/>
    </row>
    <row r="34" spans="1:206" ht="18" x14ac:dyDescent="0.35">
      <c r="A34" s="5"/>
      <c r="B34" s="63">
        <v>26</v>
      </c>
      <c r="C34" s="78" t="s">
        <v>1086</v>
      </c>
      <c r="D34" s="78"/>
      <c r="E34" s="78"/>
      <c r="F34" s="78" t="s">
        <v>1079</v>
      </c>
      <c r="G34" s="78" t="s">
        <v>1093</v>
      </c>
      <c r="H34" s="78"/>
      <c r="I34" s="78"/>
      <c r="J34" s="78"/>
      <c r="K34" s="78"/>
      <c r="L34" s="78"/>
      <c r="M34" s="78"/>
      <c r="N34" s="78"/>
      <c r="O34" s="78" t="s">
        <v>1079</v>
      </c>
      <c r="P34" s="80" t="str">
        <f>IF(J23="Single Shaftless","1.1",IF(J23="Dual Shaftless","1.1","1.0"))</f>
        <v>1.0</v>
      </c>
      <c r="Q34" s="80"/>
      <c r="R34" s="80"/>
      <c r="S34" s="78"/>
      <c r="T34" s="78"/>
      <c r="U34" s="78"/>
      <c r="V34" s="78"/>
      <c r="W34" s="78"/>
      <c r="X34" s="78"/>
      <c r="Y34" s="78"/>
      <c r="Z34" s="78"/>
      <c r="AA34" s="78"/>
      <c r="AB34" s="82"/>
      <c r="AC34" s="283" t="s">
        <v>37</v>
      </c>
      <c r="AD34" s="193"/>
      <c r="AE34" s="193" t="s">
        <v>1079</v>
      </c>
      <c r="AF34" s="193"/>
      <c r="AG34" s="193" t="s">
        <v>1117</v>
      </c>
      <c r="AH34" s="193"/>
      <c r="AI34" s="193"/>
      <c r="AJ34" s="193"/>
      <c r="AK34" s="193"/>
      <c r="AL34" s="193"/>
      <c r="AM34" s="193"/>
      <c r="AN34" s="193" t="s">
        <v>1079</v>
      </c>
      <c r="AO34" s="114" t="str">
        <f>IF(AA82="","1",VLOOKUP(AA82,Reference!AM5:AN30,2,FALSE))</f>
        <v>1</v>
      </c>
      <c r="AP34" s="114"/>
      <c r="AQ34" s="114"/>
      <c r="AR34" s="193"/>
      <c r="AS34" s="193"/>
      <c r="AT34" s="193"/>
      <c r="AU34" s="193"/>
      <c r="AV34" s="193"/>
      <c r="AW34" s="78"/>
      <c r="AX34" s="78"/>
      <c r="AY34" s="78"/>
      <c r="AZ34" s="78"/>
      <c r="BA34" s="78"/>
      <c r="BB34" s="78"/>
      <c r="BC34" s="58"/>
      <c r="BD34" s="251"/>
      <c r="BM34" s="251"/>
      <c r="EW34" s="58"/>
      <c r="EX34" s="5" t="s">
        <v>10</v>
      </c>
      <c r="EY34" s="5"/>
      <c r="EZ34" s="5" t="s">
        <v>1079</v>
      </c>
      <c r="FA34" s="5" t="s">
        <v>1085</v>
      </c>
      <c r="FB34" s="5"/>
      <c r="FC34" s="5"/>
      <c r="FD34" s="5"/>
      <c r="FE34" s="5"/>
      <c r="FF34" s="5"/>
      <c r="FG34" s="5"/>
      <c r="FH34" s="5"/>
      <c r="FI34" s="5"/>
      <c r="FJ34" s="6"/>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8"/>
    </row>
    <row r="35" spans="1:206" ht="18.75" x14ac:dyDescent="0.35">
      <c r="A35" s="5"/>
      <c r="B35" s="63">
        <v>27</v>
      </c>
      <c r="C35" s="78" t="s">
        <v>1087</v>
      </c>
      <c r="D35" s="78"/>
      <c r="E35" s="78"/>
      <c r="F35" s="78" t="s">
        <v>1079</v>
      </c>
      <c r="G35" s="78" t="s">
        <v>1094</v>
      </c>
      <c r="H35" s="78"/>
      <c r="I35" s="78"/>
      <c r="J35" s="78"/>
      <c r="K35" s="78"/>
      <c r="L35" s="78"/>
      <c r="M35" s="78"/>
      <c r="N35" s="78"/>
      <c r="O35" s="78" t="s">
        <v>1079</v>
      </c>
      <c r="P35" s="205">
        <v>1</v>
      </c>
      <c r="Q35" s="80"/>
      <c r="R35" s="80"/>
      <c r="S35" s="78"/>
      <c r="T35" s="78"/>
      <c r="U35" s="78"/>
      <c r="V35" s="78"/>
      <c r="W35" s="78"/>
      <c r="X35" s="78"/>
      <c r="Y35" s="78"/>
      <c r="Z35" s="78"/>
      <c r="AA35" s="78"/>
      <c r="AB35" s="82"/>
      <c r="AC35" s="96" t="s">
        <v>38</v>
      </c>
      <c r="AD35" s="78"/>
      <c r="AE35" s="78" t="s">
        <v>1079</v>
      </c>
      <c r="AF35" s="78"/>
      <c r="AG35" s="78" t="s">
        <v>1120</v>
      </c>
      <c r="AH35" s="78"/>
      <c r="AI35" s="78"/>
      <c r="AJ35" s="78"/>
      <c r="AK35" s="78"/>
      <c r="AL35" s="78"/>
      <c r="AM35" s="78"/>
      <c r="AN35" s="78" t="s">
        <v>1079</v>
      </c>
      <c r="AO35" s="205" t="e">
        <f>AP11</f>
        <v>#N/A</v>
      </c>
      <c r="AP35" s="80"/>
      <c r="AQ35" s="80"/>
      <c r="AR35" s="78" t="s">
        <v>1101</v>
      </c>
      <c r="AS35" s="78"/>
      <c r="AT35" s="78"/>
      <c r="AU35" s="78"/>
      <c r="AV35" s="78"/>
      <c r="AW35" s="78"/>
      <c r="AX35" s="78"/>
      <c r="AY35" s="78"/>
      <c r="AZ35" s="78"/>
      <c r="BA35" s="78"/>
      <c r="BB35" s="78"/>
      <c r="BC35" s="58"/>
      <c r="BD35" s="251"/>
      <c r="BM35" s="251"/>
      <c r="EW35" s="58"/>
      <c r="EX35" s="5" t="s">
        <v>1086</v>
      </c>
      <c r="EY35" s="5"/>
      <c r="EZ35" s="5" t="s">
        <v>1079</v>
      </c>
      <c r="FA35" s="5" t="s">
        <v>1093</v>
      </c>
      <c r="FB35" s="5"/>
      <c r="FC35" s="5"/>
      <c r="FD35" s="5"/>
      <c r="FE35" s="5"/>
      <c r="FF35" s="5"/>
      <c r="FG35" s="5"/>
      <c r="FH35" s="5"/>
      <c r="FI35" s="5"/>
      <c r="FJ35" s="6"/>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8"/>
    </row>
    <row r="36" spans="1:206" ht="18" x14ac:dyDescent="0.35">
      <c r="A36" s="5"/>
      <c r="B36" s="63">
        <v>28</v>
      </c>
      <c r="C36" s="78" t="s">
        <v>1088</v>
      </c>
      <c r="D36" s="206" t="str">
        <f>IF(J26&lt;16,"CF15_",IF(J26&lt;31,"CF30_","CF45_"))</f>
        <v>CF15_</v>
      </c>
      <c r="E36" s="78"/>
      <c r="F36" s="78" t="s">
        <v>1079</v>
      </c>
      <c r="G36" s="78" t="s">
        <v>1095</v>
      </c>
      <c r="H36" s="78"/>
      <c r="I36" s="78"/>
      <c r="J36" s="78"/>
      <c r="K36" s="78"/>
      <c r="L36" s="78"/>
      <c r="M36" s="78"/>
      <c r="N36" s="78"/>
      <c r="O36" s="78" t="s">
        <v>1079</v>
      </c>
      <c r="P36" s="205" t="e">
        <f>INDEX(Reference!AA6:AC15,MATCH(Design!J23,Reference!Z6:Z15,0),MATCH(Design!D36,Reference!AA5:AC5,0))</f>
        <v>#N/A</v>
      </c>
      <c r="Q36" s="80"/>
      <c r="R36" s="80"/>
      <c r="S36" s="78"/>
      <c r="T36" s="78"/>
      <c r="U36" s="78"/>
      <c r="V36" s="78"/>
      <c r="W36" s="78"/>
      <c r="X36" s="78"/>
      <c r="Y36" s="78"/>
      <c r="Z36" s="78"/>
      <c r="AA36" s="78"/>
      <c r="AB36" s="82"/>
      <c r="AC36" s="96" t="s">
        <v>39</v>
      </c>
      <c r="AD36" s="78"/>
      <c r="AE36" s="78" t="s">
        <v>1079</v>
      </c>
      <c r="AF36" s="78"/>
      <c r="AG36" s="78" t="s">
        <v>69</v>
      </c>
      <c r="AH36" s="78"/>
      <c r="AI36" s="78"/>
      <c r="AJ36" s="78"/>
      <c r="AK36" s="78"/>
      <c r="AL36" s="78"/>
      <c r="AM36" s="78"/>
      <c r="AN36" s="78" t="s">
        <v>1079</v>
      </c>
      <c r="AO36" s="80" t="e">
        <f>VLOOKUP(AP10,Reference!AP5:AQ30,2,FALSE)</f>
        <v>#N/A</v>
      </c>
      <c r="AP36" s="80"/>
      <c r="AQ36" s="80"/>
      <c r="AR36" s="78"/>
      <c r="AS36" s="78"/>
      <c r="AT36" s="78"/>
      <c r="AU36" s="78"/>
      <c r="AV36" s="78"/>
      <c r="AW36" s="78"/>
      <c r="AX36" s="78"/>
      <c r="AY36" s="78"/>
      <c r="AZ36" s="78"/>
      <c r="BA36" s="78"/>
      <c r="BB36" s="78"/>
      <c r="BC36" s="58"/>
      <c r="BD36" s="251"/>
      <c r="BM36" s="251"/>
      <c r="EW36" s="58"/>
      <c r="EX36" s="5" t="s">
        <v>1087</v>
      </c>
      <c r="EY36" s="5"/>
      <c r="EZ36" s="5" t="s">
        <v>1079</v>
      </c>
      <c r="FA36" s="5" t="s">
        <v>1094</v>
      </c>
      <c r="FB36" s="5"/>
      <c r="FC36" s="5"/>
      <c r="FD36" s="5"/>
      <c r="FE36" s="5"/>
      <c r="FF36" s="5"/>
      <c r="FG36" s="5"/>
      <c r="FH36" s="5"/>
      <c r="FI36" s="5"/>
      <c r="FJ36" s="6"/>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8"/>
    </row>
    <row r="37" spans="1:206" ht="18" x14ac:dyDescent="0.35">
      <c r="A37" s="5"/>
      <c r="B37" s="63">
        <v>29</v>
      </c>
      <c r="C37" s="78" t="s">
        <v>1089</v>
      </c>
      <c r="D37" s="206" t="str">
        <f>IF(J23="Paddle 1x",1,IF(J23="Paddle 2x",2,IF(J23="Paddle 3x",3,IF(J23="Paddle 4x",4,"None"))))</f>
        <v>None</v>
      </c>
      <c r="E37" s="78"/>
      <c r="F37" s="78" t="s">
        <v>1079</v>
      </c>
      <c r="G37" s="78" t="s">
        <v>1096</v>
      </c>
      <c r="H37" s="78"/>
      <c r="I37" s="78"/>
      <c r="J37" s="78"/>
      <c r="K37" s="78"/>
      <c r="L37" s="78"/>
      <c r="M37" s="78"/>
      <c r="N37" s="78"/>
      <c r="O37" s="78" t="s">
        <v>1079</v>
      </c>
      <c r="P37" s="205">
        <f>VLOOKUP(D37,Reference!AE6:AF10,2,FALSE)</f>
        <v>1</v>
      </c>
      <c r="Q37" s="80"/>
      <c r="R37" s="80"/>
      <c r="S37" s="78"/>
      <c r="T37" s="78"/>
      <c r="U37" s="78"/>
      <c r="V37" s="78"/>
      <c r="W37" s="78"/>
      <c r="X37" s="78"/>
      <c r="Y37" s="78"/>
      <c r="Z37" s="78"/>
      <c r="AA37" s="78"/>
      <c r="AB37" s="82"/>
      <c r="AC37" s="96" t="s">
        <v>40</v>
      </c>
      <c r="AD37" s="78"/>
      <c r="AE37" s="78" t="s">
        <v>1079</v>
      </c>
      <c r="AF37" s="78"/>
      <c r="AG37" s="78" t="s">
        <v>1118</v>
      </c>
      <c r="AH37" s="78"/>
      <c r="AI37" s="78"/>
      <c r="AJ37" s="78"/>
      <c r="AK37" s="78"/>
      <c r="AL37" s="78"/>
      <c r="AM37" s="78"/>
      <c r="AN37" s="78" t="s">
        <v>1079</v>
      </c>
      <c r="AO37" s="205">
        <v>1</v>
      </c>
      <c r="AP37" s="80"/>
      <c r="AQ37" s="80"/>
      <c r="AR37" s="78"/>
      <c r="AS37" s="78"/>
      <c r="AT37" s="78"/>
      <c r="AU37" s="78"/>
      <c r="AV37" s="78"/>
      <c r="AW37" s="78"/>
      <c r="AX37" s="78"/>
      <c r="AY37" s="78"/>
      <c r="AZ37" s="78"/>
      <c r="BA37" s="78"/>
      <c r="BB37" s="78"/>
      <c r="BC37" s="58"/>
      <c r="BD37" s="251"/>
      <c r="BM37" s="251"/>
      <c r="EW37" s="58"/>
      <c r="EX37" s="5" t="s">
        <v>1088</v>
      </c>
      <c r="EY37" s="5"/>
      <c r="EZ37" s="5" t="s">
        <v>1079</v>
      </c>
      <c r="FA37" s="5" t="s">
        <v>1095</v>
      </c>
      <c r="FB37" s="5"/>
      <c r="FC37" s="5"/>
      <c r="FD37" s="5"/>
      <c r="FE37" s="5"/>
      <c r="FF37" s="5"/>
      <c r="FG37" s="5"/>
      <c r="FH37" s="5"/>
      <c r="FI37" s="5"/>
      <c r="FJ37" s="6"/>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8"/>
    </row>
    <row r="38" spans="1:206" ht="18" x14ac:dyDescent="0.35">
      <c r="A38" s="5"/>
      <c r="B38" s="63">
        <v>30</v>
      </c>
      <c r="C38" s="5" t="s">
        <v>1261</v>
      </c>
      <c r="D38" s="5"/>
      <c r="E38" s="5"/>
      <c r="F38" s="5" t="s">
        <v>1079</v>
      </c>
      <c r="G38" s="5" t="s">
        <v>1259</v>
      </c>
      <c r="H38" s="5"/>
      <c r="I38" s="5"/>
      <c r="J38" s="5"/>
      <c r="K38" s="5"/>
      <c r="L38" s="5"/>
      <c r="M38" s="5"/>
      <c r="N38" s="5"/>
      <c r="O38" s="5" t="s">
        <v>1079</v>
      </c>
      <c r="P38" s="205">
        <f>Reference!BB1</f>
        <v>1</v>
      </c>
      <c r="Q38" s="80"/>
      <c r="R38" s="80"/>
      <c r="S38" s="5"/>
      <c r="T38" s="5"/>
      <c r="U38" s="5"/>
      <c r="V38" s="5"/>
      <c r="W38" s="5"/>
      <c r="X38" s="5"/>
      <c r="Y38" s="5"/>
      <c r="Z38" s="5"/>
      <c r="AA38" s="5"/>
      <c r="AB38" s="5"/>
      <c r="AC38" s="96" t="s">
        <v>41</v>
      </c>
      <c r="AD38" s="78"/>
      <c r="AE38" s="78" t="s">
        <v>1079</v>
      </c>
      <c r="AF38" s="78"/>
      <c r="AG38" s="78" t="s">
        <v>854</v>
      </c>
      <c r="AH38" s="78"/>
      <c r="AI38" s="78"/>
      <c r="AJ38" s="78"/>
      <c r="AK38" s="78"/>
      <c r="AL38" s="78"/>
      <c r="AM38" s="78"/>
      <c r="AN38" s="78" t="s">
        <v>1079</v>
      </c>
      <c r="AO38" s="205">
        <v>1</v>
      </c>
      <c r="AP38" s="80"/>
      <c r="AQ38" s="80"/>
      <c r="AR38" s="78"/>
      <c r="AS38" s="78"/>
      <c r="AT38" s="78"/>
      <c r="AU38" s="78"/>
      <c r="AV38" s="78"/>
      <c r="AW38" s="78"/>
      <c r="AX38" s="78"/>
      <c r="AY38" s="78"/>
      <c r="AZ38" s="78"/>
      <c r="BA38" s="78"/>
      <c r="BB38" s="78"/>
      <c r="BC38" s="58"/>
      <c r="BD38" s="251"/>
      <c r="BM38" s="251"/>
      <c r="EW38" s="58"/>
      <c r="EX38" s="5" t="s">
        <v>1089</v>
      </c>
      <c r="EY38" s="5"/>
      <c r="EZ38" s="5" t="s">
        <v>1079</v>
      </c>
      <c r="FA38" s="5" t="s">
        <v>1096</v>
      </c>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8"/>
    </row>
    <row r="39" spans="1:206" ht="18.75" x14ac:dyDescent="0.35">
      <c r="A39" s="5"/>
      <c r="B39" s="63">
        <v>31</v>
      </c>
      <c r="C39" s="78" t="s">
        <v>1090</v>
      </c>
      <c r="D39" s="78"/>
      <c r="E39" s="78"/>
      <c r="F39" s="78" t="s">
        <v>1079</v>
      </c>
      <c r="G39" s="78" t="s">
        <v>1097</v>
      </c>
      <c r="H39" s="78"/>
      <c r="I39" s="78"/>
      <c r="J39" s="78"/>
      <c r="K39" s="78"/>
      <c r="L39" s="78"/>
      <c r="M39" s="78"/>
      <c r="N39" s="78"/>
      <c r="O39" s="78" t="s">
        <v>1079</v>
      </c>
      <c r="P39" s="307">
        <f>J20</f>
        <v>0</v>
      </c>
      <c r="Q39" s="307"/>
      <c r="R39" s="307"/>
      <c r="S39" s="78"/>
      <c r="T39" s="78" t="s">
        <v>1105</v>
      </c>
      <c r="U39" s="78"/>
      <c r="V39" s="78"/>
      <c r="W39" s="78"/>
      <c r="X39" s="78"/>
      <c r="Y39" s="78"/>
      <c r="Z39" s="78"/>
      <c r="AA39" s="78"/>
      <c r="AB39" s="82"/>
      <c r="AC39" s="96" t="s">
        <v>44</v>
      </c>
      <c r="AD39" s="207" t="e">
        <f>AO42+AO43</f>
        <v>#N/A</v>
      </c>
      <c r="AE39" s="78" t="s">
        <v>1079</v>
      </c>
      <c r="AF39" s="78"/>
      <c r="AG39" s="78" t="s">
        <v>1119</v>
      </c>
      <c r="AH39" s="78"/>
      <c r="AI39" s="78"/>
      <c r="AJ39" s="78"/>
      <c r="AK39" s="78"/>
      <c r="AL39" s="78"/>
      <c r="AM39" s="78"/>
      <c r="AN39" s="78" t="s">
        <v>1079</v>
      </c>
      <c r="AO39" s="89" t="e">
        <f>IF(AD39&lt;5.2,(LN(AD39)*-0.6115+2.024),1)</f>
        <v>#N/A</v>
      </c>
      <c r="AP39" s="80"/>
      <c r="AQ39" s="80"/>
      <c r="AR39" s="78"/>
      <c r="AS39" s="78"/>
      <c r="AT39" s="78"/>
      <c r="AU39" s="78"/>
      <c r="AV39" s="78"/>
      <c r="AW39" s="78"/>
      <c r="AX39" s="78"/>
      <c r="AY39" s="78"/>
      <c r="AZ39" s="78"/>
      <c r="BA39" s="78"/>
      <c r="BB39" s="78"/>
      <c r="BC39" s="58"/>
      <c r="BD39" s="251"/>
      <c r="BM39" s="251"/>
      <c r="EW39" s="58"/>
      <c r="EX39" s="5" t="s">
        <v>1090</v>
      </c>
      <c r="EY39" s="5"/>
      <c r="EZ39" s="5" t="s">
        <v>1079</v>
      </c>
      <c r="FA39" s="5" t="s">
        <v>1097</v>
      </c>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8"/>
    </row>
    <row r="40" spans="1:206" ht="18.75" x14ac:dyDescent="0.35">
      <c r="A40" s="5"/>
      <c r="B40" s="63">
        <v>32</v>
      </c>
      <c r="C40" s="78" t="s">
        <v>1091</v>
      </c>
      <c r="D40" s="78"/>
      <c r="E40" s="78"/>
      <c r="F40" s="78" t="s">
        <v>1079</v>
      </c>
      <c r="G40" s="78" t="s">
        <v>1098</v>
      </c>
      <c r="H40" s="78"/>
      <c r="I40" s="78"/>
      <c r="J40" s="78"/>
      <c r="K40" s="78"/>
      <c r="L40" s="78"/>
      <c r="M40" s="78"/>
      <c r="N40" s="78"/>
      <c r="O40" s="78" t="s">
        <v>1079</v>
      </c>
      <c r="P40" s="307" t="e">
        <f>P39*P35*P36*P37</f>
        <v>#N/A</v>
      </c>
      <c r="Q40" s="307"/>
      <c r="R40" s="307"/>
      <c r="S40" s="78"/>
      <c r="T40" s="78" t="s">
        <v>1105</v>
      </c>
      <c r="U40" s="78"/>
      <c r="V40" s="78"/>
      <c r="W40" s="78"/>
      <c r="X40" s="78"/>
      <c r="Y40" s="78"/>
      <c r="Z40" s="78"/>
      <c r="AA40" s="78"/>
      <c r="AB40" s="82"/>
      <c r="AC40" s="111" t="s">
        <v>869</v>
      </c>
      <c r="AD40" s="208" t="e">
        <f>AO42+AV43</f>
        <v>#N/A</v>
      </c>
      <c r="AE40" s="110" t="s">
        <v>1079</v>
      </c>
      <c r="AF40" s="110"/>
      <c r="AG40" s="110" t="s">
        <v>1121</v>
      </c>
      <c r="AH40" s="110"/>
      <c r="AI40" s="110"/>
      <c r="AJ40" s="110"/>
      <c r="AK40" s="110"/>
      <c r="AL40" s="110"/>
      <c r="AM40" s="110"/>
      <c r="AN40" s="110" t="s">
        <v>1079</v>
      </c>
      <c r="AO40" s="209" t="e">
        <f>IF(AD40&lt;5.2,(LN(AD40)*-0.6115+2.024),1)</f>
        <v>#N/A</v>
      </c>
      <c r="AP40" s="210"/>
      <c r="AQ40" s="210"/>
      <c r="AR40" s="110"/>
      <c r="AS40" s="110"/>
      <c r="AT40" s="110"/>
      <c r="AU40" s="110"/>
      <c r="AV40" s="110"/>
      <c r="AW40" s="110"/>
      <c r="AX40" s="110"/>
      <c r="AY40" s="110"/>
      <c r="AZ40" s="110"/>
      <c r="BA40" s="110"/>
      <c r="BB40" s="110"/>
      <c r="BC40" s="58"/>
      <c r="BD40" s="251"/>
      <c r="BM40" s="251"/>
      <c r="EW40" s="58"/>
      <c r="EX40" s="5" t="s">
        <v>1091</v>
      </c>
      <c r="EY40" s="5"/>
      <c r="EZ40" s="5" t="s">
        <v>1079</v>
      </c>
      <c r="FA40" s="5" t="s">
        <v>1098</v>
      </c>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8"/>
    </row>
    <row r="41" spans="1:206" ht="18.75" x14ac:dyDescent="0.35">
      <c r="A41" s="5"/>
      <c r="B41" s="63">
        <v>33</v>
      </c>
      <c r="C41" s="78" t="s">
        <v>1092</v>
      </c>
      <c r="D41" s="78"/>
      <c r="E41" s="78"/>
      <c r="F41" s="78" t="s">
        <v>1079</v>
      </c>
      <c r="G41" s="78" t="s">
        <v>1099</v>
      </c>
      <c r="H41" s="78"/>
      <c r="I41" s="78"/>
      <c r="J41" s="78"/>
      <c r="K41" s="78"/>
      <c r="L41" s="78"/>
      <c r="M41" s="78"/>
      <c r="N41" s="78"/>
      <c r="O41" s="78" t="s">
        <v>1079</v>
      </c>
      <c r="P41" s="308" t="e">
        <f>(0.7854*(P30^2-P31^2)*(P33/100)*P32*60*P34*P38)/1728</f>
        <v>#N/A</v>
      </c>
      <c r="Q41" s="308"/>
      <c r="R41" s="308"/>
      <c r="S41" s="78"/>
      <c r="T41" s="78" t="s">
        <v>1108</v>
      </c>
      <c r="U41" s="78"/>
      <c r="V41" s="78"/>
      <c r="W41" s="78"/>
      <c r="X41" s="211"/>
      <c r="Y41" s="211"/>
      <c r="Z41" s="211"/>
      <c r="AA41" s="78"/>
      <c r="AB41" s="82"/>
      <c r="AC41" s="96" t="s">
        <v>43</v>
      </c>
      <c r="AD41" s="78"/>
      <c r="AE41" s="78" t="s">
        <v>1079</v>
      </c>
      <c r="AF41" s="78"/>
      <c r="AG41" s="78" t="s">
        <v>60</v>
      </c>
      <c r="AH41" s="78"/>
      <c r="AI41" s="78"/>
      <c r="AJ41" s="78"/>
      <c r="AK41" s="78"/>
      <c r="AL41" s="78"/>
      <c r="AM41" s="78"/>
      <c r="AN41" s="78" t="s">
        <v>1079</v>
      </c>
      <c r="AO41" s="255" t="e">
        <f>Reference!EP1</f>
        <v>#N/A</v>
      </c>
      <c r="AP41" s="178"/>
      <c r="AQ41" s="178"/>
      <c r="AR41" s="78"/>
      <c r="AS41" s="78"/>
      <c r="AT41" s="78"/>
      <c r="AU41" s="78"/>
      <c r="AV41" s="78"/>
      <c r="AW41" s="78"/>
      <c r="AX41" s="78"/>
      <c r="AY41" s="78"/>
      <c r="AZ41" s="78"/>
      <c r="BA41" s="78"/>
      <c r="BB41" s="78"/>
      <c r="BC41" s="58"/>
      <c r="BD41" s="251"/>
      <c r="BM41" s="251"/>
      <c r="EW41" s="58"/>
      <c r="EX41" s="5" t="s">
        <v>1092</v>
      </c>
      <c r="EY41" s="5"/>
      <c r="EZ41" s="5" t="s">
        <v>1079</v>
      </c>
      <c r="FA41" s="5" t="s">
        <v>1099</v>
      </c>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8"/>
    </row>
    <row r="42" spans="1:206" x14ac:dyDescent="0.25">
      <c r="A42" s="5"/>
      <c r="B42" s="63">
        <v>34</v>
      </c>
      <c r="C42" s="105" t="s">
        <v>11</v>
      </c>
      <c r="D42" s="105"/>
      <c r="E42" s="105"/>
      <c r="F42" s="105" t="s">
        <v>1079</v>
      </c>
      <c r="G42" s="105" t="s">
        <v>1081</v>
      </c>
      <c r="H42" s="105"/>
      <c r="I42" s="105"/>
      <c r="J42" s="105"/>
      <c r="K42" s="105"/>
      <c r="L42" s="105"/>
      <c r="M42" s="105"/>
      <c r="N42" s="105"/>
      <c r="O42" s="105" t="s">
        <v>1079</v>
      </c>
      <c r="P42" s="309" t="e">
        <f>P40/P41</f>
        <v>#N/A</v>
      </c>
      <c r="Q42" s="309"/>
      <c r="R42" s="309"/>
      <c r="S42" s="105"/>
      <c r="T42" s="105" t="s">
        <v>726</v>
      </c>
      <c r="U42" s="105"/>
      <c r="V42" s="212"/>
      <c r="W42" s="105"/>
      <c r="X42" s="105"/>
      <c r="Y42" s="105"/>
      <c r="Z42" s="105"/>
      <c r="AA42" s="105"/>
      <c r="AB42" s="213"/>
      <c r="AC42" s="96" t="s">
        <v>33</v>
      </c>
      <c r="AD42" s="78"/>
      <c r="AE42" s="78" t="s">
        <v>1079</v>
      </c>
      <c r="AF42" s="78"/>
      <c r="AG42" s="78" t="s">
        <v>1122</v>
      </c>
      <c r="AH42" s="78"/>
      <c r="AI42" s="78"/>
      <c r="AJ42" s="78"/>
      <c r="AK42" s="78"/>
      <c r="AL42" s="78"/>
      <c r="AM42" s="78"/>
      <c r="AN42" s="78" t="s">
        <v>1079</v>
      </c>
      <c r="AO42" s="89" t="e">
        <f>(P13*P42*AO33*AO34)/(1000000)</f>
        <v>#N/A</v>
      </c>
      <c r="AP42" s="80"/>
      <c r="AQ42" s="80"/>
      <c r="AR42" s="78" t="s">
        <v>756</v>
      </c>
      <c r="AS42" s="78"/>
      <c r="AT42" s="78"/>
      <c r="AU42" s="78"/>
      <c r="AV42" s="78"/>
      <c r="AW42" s="78"/>
      <c r="AX42" s="78"/>
      <c r="AY42" s="78"/>
      <c r="AZ42" s="78"/>
      <c r="BA42" s="78"/>
      <c r="BB42" s="82"/>
      <c r="BC42" s="58"/>
      <c r="BD42" s="251"/>
      <c r="BM42" s="251"/>
      <c r="EW42" s="58"/>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8"/>
    </row>
    <row r="43" spans="1:206" ht="17.25" x14ac:dyDescent="0.25">
      <c r="A43" s="5"/>
      <c r="B43" s="63"/>
      <c r="C43" s="105" t="s">
        <v>0</v>
      </c>
      <c r="D43" s="105"/>
      <c r="E43" s="105"/>
      <c r="F43" s="105" t="s">
        <v>1079</v>
      </c>
      <c r="G43" s="105" t="s">
        <v>1080</v>
      </c>
      <c r="H43" s="105"/>
      <c r="I43" s="105"/>
      <c r="J43" s="105"/>
      <c r="K43" s="105"/>
      <c r="L43" s="105"/>
      <c r="M43" s="105"/>
      <c r="N43" s="105"/>
      <c r="O43" s="105" t="s">
        <v>1079</v>
      </c>
      <c r="P43" s="309" t="e">
        <f>P42*P41</f>
        <v>#N/A</v>
      </c>
      <c r="Q43" s="309"/>
      <c r="R43" s="309"/>
      <c r="S43" s="105"/>
      <c r="T43" s="105" t="s">
        <v>1127</v>
      </c>
      <c r="U43" s="105"/>
      <c r="V43" s="105"/>
      <c r="W43" s="327" t="e">
        <f>P43*$AP$11</f>
        <v>#N/A</v>
      </c>
      <c r="X43" s="327"/>
      <c r="Y43" s="327"/>
      <c r="Z43" s="105" t="s">
        <v>4</v>
      </c>
      <c r="AA43" s="105"/>
      <c r="AB43" s="213"/>
      <c r="AC43" s="96" t="s">
        <v>34</v>
      </c>
      <c r="AD43" s="78"/>
      <c r="AE43" s="78" t="s">
        <v>1079</v>
      </c>
      <c r="AF43" s="78"/>
      <c r="AG43" s="78" t="s">
        <v>1123</v>
      </c>
      <c r="AH43" s="78"/>
      <c r="AI43" s="78"/>
      <c r="AJ43" s="78"/>
      <c r="AK43" s="78"/>
      <c r="AL43" s="78"/>
      <c r="AM43" s="78"/>
      <c r="AN43" s="78" t="s">
        <v>1079</v>
      </c>
      <c r="AO43" s="89" t="e">
        <f>(P40*P13*AP11*AO36*AO37*AO38)/1000000</f>
        <v>#N/A</v>
      </c>
      <c r="AP43" s="80"/>
      <c r="AQ43" s="80"/>
      <c r="AR43" s="78" t="s">
        <v>1125</v>
      </c>
      <c r="AS43" s="78"/>
      <c r="AT43" s="78"/>
      <c r="AU43" s="78"/>
      <c r="AV43" s="89" t="e">
        <f>(P44*P13*AP11*AO36*AO37*AO38)/1000000</f>
        <v>#N/A</v>
      </c>
      <c r="AW43" s="80"/>
      <c r="AX43" s="80"/>
      <c r="AY43" s="78" t="s">
        <v>1126</v>
      </c>
      <c r="AZ43" s="78"/>
      <c r="BA43" s="78"/>
      <c r="BB43" s="82"/>
      <c r="BC43" s="58"/>
      <c r="BD43" s="251"/>
      <c r="BM43" s="251"/>
      <c r="EW43" s="58"/>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8"/>
    </row>
    <row r="44" spans="1:206" ht="18.75" x14ac:dyDescent="0.35">
      <c r="A44" s="5"/>
      <c r="B44" s="63"/>
      <c r="C44" s="105" t="s">
        <v>1128</v>
      </c>
      <c r="D44" s="105"/>
      <c r="E44" s="105"/>
      <c r="F44" s="105" t="s">
        <v>1079</v>
      </c>
      <c r="G44" s="105" t="s">
        <v>1112</v>
      </c>
      <c r="H44" s="105"/>
      <c r="I44" s="105"/>
      <c r="J44" s="105"/>
      <c r="K44" s="105"/>
      <c r="L44" s="105"/>
      <c r="M44" s="105"/>
      <c r="N44" s="105"/>
      <c r="O44" s="105" t="s">
        <v>1079</v>
      </c>
      <c r="P44" s="309" t="e">
        <f>P43*(O26/J26)</f>
        <v>#N/A</v>
      </c>
      <c r="Q44" s="309"/>
      <c r="R44" s="309"/>
      <c r="S44" s="105"/>
      <c r="T44" s="105" t="s">
        <v>1127</v>
      </c>
      <c r="U44" s="105"/>
      <c r="V44" s="105"/>
      <c r="W44" s="327" t="e">
        <f>P44*$AP$11</f>
        <v>#N/A</v>
      </c>
      <c r="X44" s="327"/>
      <c r="Y44" s="327"/>
      <c r="Z44" s="105" t="s">
        <v>4</v>
      </c>
      <c r="AA44" s="105"/>
      <c r="AB44" s="213"/>
      <c r="AC44" s="283" t="s">
        <v>1983</v>
      </c>
      <c r="AD44" s="193"/>
      <c r="AE44" s="193" t="s">
        <v>1079</v>
      </c>
      <c r="AF44" s="193"/>
      <c r="AG44" s="193" t="s">
        <v>1984</v>
      </c>
      <c r="AH44" s="193"/>
      <c r="AI44" s="193"/>
      <c r="AJ44" s="193"/>
      <c r="AK44" s="193"/>
      <c r="AL44" s="193"/>
      <c r="AM44" s="193"/>
      <c r="AN44" s="193" t="s">
        <v>1079</v>
      </c>
      <c r="AO44" s="286" t="e">
        <f>1.7*(((W43/60)*AO32)/33000)</f>
        <v>#N/A</v>
      </c>
      <c r="AP44" s="114"/>
      <c r="AQ44" s="114"/>
      <c r="AR44" s="193" t="s">
        <v>756</v>
      </c>
      <c r="AS44" s="193" t="s">
        <v>1985</v>
      </c>
      <c r="AT44" s="193"/>
      <c r="AU44" s="193"/>
      <c r="AV44" s="286" t="e">
        <f>1.7*(((W44/60)*AO32)/33000)</f>
        <v>#N/A</v>
      </c>
      <c r="AW44" s="114"/>
      <c r="AX44" s="114"/>
      <c r="AY44" s="193" t="s">
        <v>1126</v>
      </c>
      <c r="AZ44" s="193"/>
      <c r="BA44" s="193"/>
      <c r="BB44" s="285"/>
      <c r="BC44" s="58"/>
      <c r="BD44" s="251"/>
      <c r="BM44" s="251"/>
      <c r="EW44" s="58"/>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8"/>
    </row>
    <row r="45" spans="1:206" x14ac:dyDescent="0.25">
      <c r="A45" s="5"/>
      <c r="B45" s="63">
        <v>35</v>
      </c>
      <c r="C45" s="96"/>
      <c r="D45" s="78"/>
      <c r="E45" s="78"/>
      <c r="F45" s="78"/>
      <c r="G45" s="78"/>
      <c r="H45" s="78"/>
      <c r="I45" s="78"/>
      <c r="J45" s="78"/>
      <c r="K45" s="78"/>
      <c r="L45" s="78"/>
      <c r="M45" s="78"/>
      <c r="N45" s="78"/>
      <c r="O45" s="78"/>
      <c r="P45" s="78"/>
      <c r="Q45" s="78"/>
      <c r="R45" s="78"/>
      <c r="S45" s="78"/>
      <c r="T45" s="78"/>
      <c r="U45" s="78"/>
      <c r="V45" s="78"/>
      <c r="W45" s="78"/>
      <c r="X45" s="78"/>
      <c r="Y45" s="78"/>
      <c r="Z45" s="78"/>
      <c r="AA45" s="78"/>
      <c r="AB45" s="82"/>
      <c r="AC45" s="287" t="s">
        <v>42</v>
      </c>
      <c r="AD45" s="288"/>
      <c r="AE45" s="288" t="s">
        <v>1079</v>
      </c>
      <c r="AF45" s="288"/>
      <c r="AG45" s="288" t="s">
        <v>1124</v>
      </c>
      <c r="AH45" s="288"/>
      <c r="AI45" s="288"/>
      <c r="AJ45" s="288"/>
      <c r="AK45" s="288"/>
      <c r="AL45" s="288"/>
      <c r="AM45" s="288"/>
      <c r="AN45" s="288" t="s">
        <v>1079</v>
      </c>
      <c r="AO45" s="289" t="e">
        <f>((AO42+AO43+AO44)*AO39)/AO41</f>
        <v>#N/A</v>
      </c>
      <c r="AP45" s="223"/>
      <c r="AQ45" s="223"/>
      <c r="AR45" s="288" t="s">
        <v>756</v>
      </c>
      <c r="AS45" s="288"/>
      <c r="AT45" s="288"/>
      <c r="AU45" s="288"/>
      <c r="AV45" s="193"/>
      <c r="AW45" s="193"/>
      <c r="AX45" s="193"/>
      <c r="AY45" s="193"/>
      <c r="AZ45" s="288"/>
      <c r="BA45" s="288"/>
      <c r="BB45" s="290"/>
      <c r="BC45" s="58"/>
      <c r="BD45" s="251"/>
      <c r="BM45" s="251"/>
      <c r="EW45" s="58"/>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8"/>
    </row>
    <row r="46" spans="1:206" x14ac:dyDescent="0.25">
      <c r="A46" s="5"/>
      <c r="B46" s="63">
        <v>36</v>
      </c>
      <c r="C46" s="96"/>
      <c r="D46" s="78"/>
      <c r="E46" s="78"/>
      <c r="F46" s="78"/>
      <c r="G46" s="78"/>
      <c r="H46" s="78"/>
      <c r="I46" s="78"/>
      <c r="J46" s="78"/>
      <c r="K46" s="78"/>
      <c r="L46" s="78"/>
      <c r="M46" s="78"/>
      <c r="N46" s="78"/>
      <c r="O46" s="78"/>
      <c r="P46" s="78"/>
      <c r="Q46" s="78"/>
      <c r="R46" s="78"/>
      <c r="S46" s="78"/>
      <c r="T46" s="78"/>
      <c r="U46" s="78"/>
      <c r="V46" s="78"/>
      <c r="W46" s="78"/>
      <c r="X46" s="78"/>
      <c r="Y46" s="78"/>
      <c r="Z46" s="78"/>
      <c r="AA46" s="78"/>
      <c r="AB46" s="82"/>
      <c r="AC46" s="287" t="s">
        <v>1129</v>
      </c>
      <c r="AD46" s="288"/>
      <c r="AE46" s="288" t="s">
        <v>1079</v>
      </c>
      <c r="AF46" s="288"/>
      <c r="AG46" s="288" t="s">
        <v>1130</v>
      </c>
      <c r="AH46" s="288"/>
      <c r="AI46" s="288"/>
      <c r="AJ46" s="288"/>
      <c r="AK46" s="288"/>
      <c r="AL46" s="288"/>
      <c r="AM46" s="288"/>
      <c r="AN46" s="288" t="s">
        <v>1079</v>
      </c>
      <c r="AO46" s="289" t="e">
        <f>((AO42+AV43+AV44)*AO40)/AO41</f>
        <v>#N/A</v>
      </c>
      <c r="AP46" s="223"/>
      <c r="AQ46" s="223"/>
      <c r="AR46" s="288" t="s">
        <v>756</v>
      </c>
      <c r="AS46" s="291"/>
      <c r="AT46" s="193"/>
      <c r="AU46" s="193"/>
      <c r="AV46" s="193"/>
      <c r="AW46" s="193"/>
      <c r="AX46" s="193"/>
      <c r="AY46" s="193"/>
      <c r="AZ46" s="193"/>
      <c r="BA46" s="193"/>
      <c r="BB46" s="285"/>
      <c r="BC46" s="58"/>
      <c r="BD46" s="251"/>
      <c r="BM46" s="251"/>
      <c r="EW46" s="58"/>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8"/>
    </row>
    <row r="47" spans="1:206" ht="15.75" thickBot="1" x14ac:dyDescent="0.3">
      <c r="A47" s="5"/>
      <c r="B47" s="63">
        <v>37</v>
      </c>
      <c r="C47" s="97"/>
      <c r="D47" s="91"/>
      <c r="E47" s="91"/>
      <c r="F47" s="91"/>
      <c r="G47" s="91"/>
      <c r="H47" s="91"/>
      <c r="I47" s="91"/>
      <c r="J47" s="91"/>
      <c r="K47" s="91"/>
      <c r="L47" s="91"/>
      <c r="M47" s="91"/>
      <c r="N47" s="91"/>
      <c r="O47" s="91"/>
      <c r="P47" s="91"/>
      <c r="Q47" s="91"/>
      <c r="R47" s="91"/>
      <c r="S47" s="91"/>
      <c r="T47" s="91"/>
      <c r="U47" s="91"/>
      <c r="V47" s="91"/>
      <c r="W47" s="91"/>
      <c r="X47" s="91"/>
      <c r="Y47" s="91"/>
      <c r="Z47" s="91"/>
      <c r="AA47" s="91"/>
      <c r="AB47" s="92"/>
      <c r="AC47" s="280" t="s">
        <v>1986</v>
      </c>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2"/>
      <c r="BC47" s="58"/>
      <c r="BD47" s="251"/>
      <c r="BM47" s="251"/>
      <c r="EW47" s="58"/>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8"/>
    </row>
    <row r="48" spans="1:206" ht="15.75" thickBot="1" x14ac:dyDescent="0.3">
      <c r="A48" s="5"/>
      <c r="B48" s="63">
        <v>38</v>
      </c>
      <c r="C48" s="343" t="s">
        <v>1171</v>
      </c>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5"/>
      <c r="BC48" s="58"/>
      <c r="BD48" s="251"/>
      <c r="BM48" s="251"/>
      <c r="EW48" s="58"/>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8"/>
    </row>
    <row r="49" spans="1:206" x14ac:dyDescent="0.25">
      <c r="A49" s="5"/>
      <c r="B49" s="63">
        <v>39</v>
      </c>
      <c r="C49" s="104" t="s">
        <v>1166</v>
      </c>
      <c r="D49" s="72"/>
      <c r="E49" s="72"/>
      <c r="F49" s="72"/>
      <c r="G49" s="72"/>
      <c r="H49" s="72"/>
      <c r="I49" s="72"/>
      <c r="J49" s="347" t="s">
        <v>990</v>
      </c>
      <c r="K49" s="334"/>
      <c r="L49" s="334"/>
      <c r="M49" s="334"/>
      <c r="N49" s="334"/>
      <c r="O49" s="334"/>
      <c r="P49" s="334"/>
      <c r="Q49" s="334"/>
      <c r="R49" s="214" t="str">
        <f>"Standard = "&amp;Reference!Q2</f>
        <v>Standard = Cross-Bolt Coupling</v>
      </c>
      <c r="S49" s="72"/>
      <c r="T49" s="72"/>
      <c r="U49" s="72"/>
      <c r="V49" s="72"/>
      <c r="W49" s="72"/>
      <c r="X49" s="72"/>
      <c r="Y49" s="72"/>
      <c r="Z49" s="72"/>
      <c r="AA49" s="72"/>
      <c r="AB49" s="76"/>
      <c r="AC49" s="104"/>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6"/>
      <c r="BC49" s="6"/>
      <c r="BD49" s="251"/>
      <c r="BM49" s="251"/>
      <c r="EW49" s="58"/>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8"/>
    </row>
    <row r="50" spans="1:206" x14ac:dyDescent="0.25">
      <c r="A50" s="5"/>
      <c r="B50" s="63">
        <v>40</v>
      </c>
      <c r="C50" s="105" t="s">
        <v>1160</v>
      </c>
      <c r="D50" s="78"/>
      <c r="E50" s="78"/>
      <c r="F50" s="78"/>
      <c r="G50" s="78"/>
      <c r="H50" s="78"/>
      <c r="I50" s="78"/>
      <c r="J50" s="315">
        <v>2.4380000000000002</v>
      </c>
      <c r="K50" s="316"/>
      <c r="L50" s="316"/>
      <c r="M50" s="316"/>
      <c r="N50" s="316"/>
      <c r="O50" s="118" t="s">
        <v>1043</v>
      </c>
      <c r="P50" s="118" t="str">
        <f>TEXT(J50,"# #/##")</f>
        <v>2 7/16</v>
      </c>
      <c r="Q50" s="193"/>
      <c r="R50" s="118" t="s">
        <v>1044</v>
      </c>
      <c r="S50" s="118" t="s">
        <v>1047</v>
      </c>
      <c r="T50" s="193"/>
      <c r="U50" s="215" t="e">
        <f>"Standard = "&amp;Reference!J2&amp;""""</f>
        <v>#N/A</v>
      </c>
      <c r="V50" s="118"/>
      <c r="W50" s="118"/>
      <c r="X50" s="193"/>
      <c r="Y50" s="118"/>
      <c r="Z50" s="118"/>
      <c r="AA50" s="216" t="str">
        <f>Reference!DR1</f>
        <v>-</v>
      </c>
      <c r="AB50" s="217"/>
      <c r="AC50" s="96"/>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82"/>
      <c r="BC50" s="6"/>
      <c r="BD50" s="251"/>
      <c r="BM50" s="251"/>
      <c r="EW50" s="58"/>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8"/>
    </row>
    <row r="51" spans="1:206" x14ac:dyDescent="0.25">
      <c r="A51" s="5"/>
      <c r="B51" s="63">
        <v>41</v>
      </c>
      <c r="C51" s="105" t="s">
        <v>1161</v>
      </c>
      <c r="D51" s="78"/>
      <c r="E51" s="78"/>
      <c r="F51" s="78"/>
      <c r="G51" s="78"/>
      <c r="H51" s="78"/>
      <c r="I51" s="78"/>
      <c r="J51" s="312" t="s">
        <v>814</v>
      </c>
      <c r="K51" s="305"/>
      <c r="L51" s="305"/>
      <c r="M51" s="305"/>
      <c r="N51" s="305"/>
      <c r="O51" s="305"/>
      <c r="P51" s="78"/>
      <c r="Q51" s="78"/>
      <c r="R51" s="78"/>
      <c r="S51" s="78"/>
      <c r="T51" s="78"/>
      <c r="U51" s="199" t="s">
        <v>1825</v>
      </c>
      <c r="V51" s="78"/>
      <c r="W51" s="78"/>
      <c r="X51" s="78"/>
      <c r="Y51" s="78"/>
      <c r="Z51" s="78"/>
      <c r="AA51" s="78"/>
      <c r="AB51" s="82"/>
      <c r="AC51" s="96"/>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82"/>
      <c r="BC51" s="6"/>
      <c r="BD51" s="251"/>
      <c r="BM51" s="251"/>
      <c r="EW51" s="58"/>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8"/>
    </row>
    <row r="52" spans="1:206" ht="15" customHeight="1" x14ac:dyDescent="0.25">
      <c r="A52" s="5"/>
      <c r="B52" s="63">
        <v>42</v>
      </c>
      <c r="C52" s="105" t="s">
        <v>1167</v>
      </c>
      <c r="D52" s="78"/>
      <c r="E52" s="78"/>
      <c r="F52" s="78"/>
      <c r="G52" s="78"/>
      <c r="H52" s="78"/>
      <c r="I52" s="78"/>
      <c r="J52" s="317" t="str">
        <f>J24</f>
        <v>None</v>
      </c>
      <c r="K52" s="307"/>
      <c r="L52" s="307"/>
      <c r="M52" s="307"/>
      <c r="N52" s="307"/>
      <c r="O52" s="307"/>
      <c r="P52" s="78"/>
      <c r="Q52" s="78"/>
      <c r="R52" s="78"/>
      <c r="S52" s="78"/>
      <c r="T52" s="78"/>
      <c r="U52" s="199" t="e">
        <f>"Standard = "&amp;Reference!J3</f>
        <v>#N/A</v>
      </c>
      <c r="V52" s="78"/>
      <c r="W52" s="78"/>
      <c r="X52" s="78"/>
      <c r="Y52" s="78"/>
      <c r="Z52" s="78"/>
      <c r="AA52" s="78"/>
      <c r="AB52" s="82"/>
      <c r="AC52" s="96"/>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82"/>
      <c r="BC52" s="6"/>
      <c r="BD52" s="251"/>
      <c r="BM52" s="251"/>
      <c r="EW52" s="58"/>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8"/>
    </row>
    <row r="53" spans="1:206" x14ac:dyDescent="0.25">
      <c r="A53" s="5"/>
      <c r="B53" s="63">
        <v>43</v>
      </c>
      <c r="C53" s="105" t="s">
        <v>1162</v>
      </c>
      <c r="D53" s="78"/>
      <c r="E53" s="78"/>
      <c r="F53" s="78"/>
      <c r="G53" s="78"/>
      <c r="H53" s="78"/>
      <c r="I53" s="78"/>
      <c r="J53" s="312" t="s">
        <v>32</v>
      </c>
      <c r="K53" s="305"/>
      <c r="L53" s="305"/>
      <c r="M53" s="305"/>
      <c r="N53" s="305"/>
      <c r="O53" s="305"/>
      <c r="P53" s="78"/>
      <c r="Q53" s="78"/>
      <c r="R53" s="78"/>
      <c r="S53" s="78"/>
      <c r="T53" s="78"/>
      <c r="U53" s="199" t="s">
        <v>1826</v>
      </c>
      <c r="V53" s="78"/>
      <c r="W53" s="78"/>
      <c r="X53" s="78"/>
      <c r="Y53" s="78"/>
      <c r="Z53" s="78"/>
      <c r="AA53" s="78"/>
      <c r="AB53" s="82"/>
      <c r="AC53" s="96"/>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82"/>
      <c r="BC53" s="6"/>
      <c r="BD53" s="251"/>
      <c r="BM53" s="251"/>
      <c r="EW53" s="58"/>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8"/>
    </row>
    <row r="54" spans="1:206" ht="15" customHeight="1" x14ac:dyDescent="0.25">
      <c r="A54" s="5"/>
      <c r="B54" s="63">
        <v>44</v>
      </c>
      <c r="C54" s="105" t="s">
        <v>1163</v>
      </c>
      <c r="D54" s="78"/>
      <c r="E54" s="78"/>
      <c r="F54" s="78"/>
      <c r="G54" s="78"/>
      <c r="H54" s="78"/>
      <c r="I54" s="78"/>
      <c r="J54" s="310" t="s">
        <v>32</v>
      </c>
      <c r="K54" s="311"/>
      <c r="L54" s="311"/>
      <c r="M54" s="311"/>
      <c r="N54" s="311"/>
      <c r="O54" s="311"/>
      <c r="P54" s="118" t="s">
        <v>1047</v>
      </c>
      <c r="Q54" s="218"/>
      <c r="R54" s="218"/>
      <c r="S54" s="218"/>
      <c r="T54" s="218"/>
      <c r="U54" s="219" t="str">
        <f>"Standard = "&amp;TEXT(Reference!BG1,"# #/##")&amp;""""</f>
        <v>Standard = 5/8"</v>
      </c>
      <c r="V54" s="218"/>
      <c r="W54" s="218"/>
      <c r="X54" s="78"/>
      <c r="Y54" s="118"/>
      <c r="Z54" s="118"/>
      <c r="AA54" s="118"/>
      <c r="AB54" s="217"/>
      <c r="AC54" s="96"/>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82"/>
      <c r="BC54" s="6"/>
      <c r="BD54" s="251"/>
      <c r="BM54" s="251"/>
      <c r="EW54" s="58"/>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8"/>
    </row>
    <row r="55" spans="1:206" x14ac:dyDescent="0.25">
      <c r="A55" s="5"/>
      <c r="B55" s="63">
        <v>45</v>
      </c>
      <c r="C55" s="105" t="s">
        <v>1164</v>
      </c>
      <c r="D55" s="78"/>
      <c r="E55" s="78"/>
      <c r="F55" s="78"/>
      <c r="G55" s="78"/>
      <c r="H55" s="78"/>
      <c r="I55" s="78"/>
      <c r="J55" s="312" t="s">
        <v>32</v>
      </c>
      <c r="K55" s="305"/>
      <c r="L55" s="305"/>
      <c r="M55" s="305"/>
      <c r="N55" s="305"/>
      <c r="O55" s="305"/>
      <c r="P55" s="78"/>
      <c r="Q55" s="78"/>
      <c r="R55" s="199" t="s">
        <v>1827</v>
      </c>
      <c r="S55" s="78"/>
      <c r="T55" s="78"/>
      <c r="U55" s="193"/>
      <c r="V55" s="78"/>
      <c r="W55" s="78"/>
      <c r="X55" s="78"/>
      <c r="Y55" s="78"/>
      <c r="Z55" s="78"/>
      <c r="AA55" s="78"/>
      <c r="AB55" s="82"/>
      <c r="AC55" s="96"/>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82"/>
      <c r="BC55" s="6"/>
      <c r="BD55" s="251"/>
      <c r="BM55" s="251"/>
      <c r="EW55" s="58"/>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8"/>
    </row>
    <row r="56" spans="1:206" x14ac:dyDescent="0.25">
      <c r="A56" s="5"/>
      <c r="B56" s="63">
        <v>46</v>
      </c>
      <c r="C56" s="105" t="s">
        <v>1165</v>
      </c>
      <c r="D56" s="78"/>
      <c r="E56" s="78"/>
      <c r="F56" s="78"/>
      <c r="G56" s="78"/>
      <c r="H56" s="78"/>
      <c r="I56" s="269"/>
      <c r="J56" s="305">
        <v>0</v>
      </c>
      <c r="K56" s="305"/>
      <c r="L56" s="305"/>
      <c r="M56" s="305"/>
      <c r="N56" s="305"/>
      <c r="O56" s="305"/>
      <c r="P56" s="78"/>
      <c r="Q56" s="78"/>
      <c r="R56" s="78"/>
      <c r="S56" s="78"/>
      <c r="T56" s="78"/>
      <c r="U56" s="78"/>
      <c r="V56" s="78"/>
      <c r="W56" s="78"/>
      <c r="X56" s="78"/>
      <c r="Y56" s="78"/>
      <c r="Z56" s="78"/>
      <c r="AA56" s="78"/>
      <c r="AB56" s="82"/>
      <c r="AC56" s="96"/>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82"/>
      <c r="BC56" s="6"/>
      <c r="BD56" s="251"/>
      <c r="BM56" s="251"/>
      <c r="EW56" s="58"/>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8"/>
    </row>
    <row r="57" spans="1:206" ht="15.75" thickBot="1" x14ac:dyDescent="0.3">
      <c r="A57" s="5"/>
      <c r="B57" s="63">
        <v>47</v>
      </c>
      <c r="C57" s="106" t="s">
        <v>1938</v>
      </c>
      <c r="D57" s="91"/>
      <c r="E57" s="91"/>
      <c r="F57" s="91"/>
      <c r="G57" s="91"/>
      <c r="H57" s="91"/>
      <c r="I57" s="91"/>
      <c r="J57" s="313" t="s">
        <v>32</v>
      </c>
      <c r="K57" s="314"/>
      <c r="L57" s="314"/>
      <c r="M57" s="314"/>
      <c r="N57" s="314"/>
      <c r="O57" s="314"/>
      <c r="P57" s="91" t="s">
        <v>1047</v>
      </c>
      <c r="Q57" s="91"/>
      <c r="R57" s="267" t="s">
        <v>1939</v>
      </c>
      <c r="S57" s="267"/>
      <c r="T57" s="267"/>
      <c r="U57" s="267"/>
      <c r="V57" s="267"/>
      <c r="W57" s="267"/>
      <c r="X57" s="267"/>
      <c r="Y57" s="267"/>
      <c r="Z57" s="267"/>
      <c r="AA57" s="267"/>
      <c r="AB57" s="268"/>
      <c r="AC57" s="97"/>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2"/>
      <c r="BC57" s="6"/>
      <c r="BD57" s="251"/>
      <c r="BM57" s="251"/>
      <c r="EW57" s="58"/>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8"/>
    </row>
    <row r="58" spans="1:206" x14ac:dyDescent="0.25">
      <c r="A58" s="5"/>
      <c r="B58" s="63">
        <v>48</v>
      </c>
      <c r="C58" s="68" t="s">
        <v>11</v>
      </c>
      <c r="D58" s="68"/>
      <c r="E58" s="68" t="s">
        <v>1079</v>
      </c>
      <c r="F58" s="68" t="s">
        <v>1156</v>
      </c>
      <c r="G58" s="68"/>
      <c r="H58" s="68"/>
      <c r="I58" s="68"/>
      <c r="J58" s="68"/>
      <c r="K58" s="68"/>
      <c r="L58" s="68"/>
      <c r="M58" s="68"/>
      <c r="N58" s="68"/>
      <c r="O58" s="68"/>
      <c r="P58" s="68"/>
      <c r="Q58" s="68"/>
      <c r="R58" s="68"/>
      <c r="S58" s="68" t="s">
        <v>1079</v>
      </c>
      <c r="T58" s="220">
        <f>AJ21</f>
        <v>0</v>
      </c>
      <c r="U58" s="69"/>
      <c r="V58" s="69"/>
      <c r="W58" s="69"/>
      <c r="X58" s="265"/>
      <c r="Y58" s="266" t="s">
        <v>726</v>
      </c>
      <c r="Z58" s="69"/>
      <c r="AA58" s="69"/>
      <c r="AB58" s="70"/>
      <c r="AC58" s="221" t="s">
        <v>1140</v>
      </c>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58"/>
      <c r="BD58" s="251"/>
      <c r="BM58" s="251"/>
      <c r="EW58" s="58"/>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8"/>
    </row>
    <row r="59" spans="1:206" x14ac:dyDescent="0.25">
      <c r="A59" s="5"/>
      <c r="B59" s="63">
        <v>49</v>
      </c>
      <c r="C59" s="78" t="s">
        <v>34</v>
      </c>
      <c r="D59" s="78"/>
      <c r="E59" s="78" t="s">
        <v>1079</v>
      </c>
      <c r="F59" s="78" t="s">
        <v>1152</v>
      </c>
      <c r="G59" s="78"/>
      <c r="H59" s="78"/>
      <c r="I59" s="78"/>
      <c r="J59" s="78"/>
      <c r="K59" s="78"/>
      <c r="L59" s="78"/>
      <c r="M59" s="78"/>
      <c r="N59" s="78"/>
      <c r="O59" s="78"/>
      <c r="P59" s="78"/>
      <c r="Q59" s="78"/>
      <c r="R59" s="78"/>
      <c r="S59" s="78" t="s">
        <v>1079</v>
      </c>
      <c r="T59" s="205">
        <f>AJ25</f>
        <v>0</v>
      </c>
      <c r="U59" s="80"/>
      <c r="V59" s="80"/>
      <c r="W59" s="80"/>
      <c r="X59" s="193"/>
      <c r="Y59" s="118" t="s">
        <v>756</v>
      </c>
      <c r="Z59" s="80"/>
      <c r="AA59" s="80"/>
      <c r="AB59" s="82"/>
      <c r="AC59" s="105" t="s">
        <v>1068</v>
      </c>
      <c r="AD59" s="78"/>
      <c r="AE59" s="78"/>
      <c r="AF59" s="78"/>
      <c r="AG59" s="78"/>
      <c r="AH59" s="78"/>
      <c r="AI59" s="78"/>
      <c r="AJ59" s="78"/>
      <c r="AK59" s="105" t="s">
        <v>1139</v>
      </c>
      <c r="AL59" s="78"/>
      <c r="AM59" s="78"/>
      <c r="AN59" s="78"/>
      <c r="AO59" s="78"/>
      <c r="AP59" s="78"/>
      <c r="AQ59" s="78"/>
      <c r="AR59" s="222" t="s">
        <v>1181</v>
      </c>
      <c r="AS59" s="80"/>
      <c r="AT59" s="80"/>
      <c r="AU59" s="80"/>
      <c r="AV59" s="80"/>
      <c r="AW59" s="80"/>
      <c r="AX59" s="222" t="s">
        <v>1182</v>
      </c>
      <c r="AY59" s="80"/>
      <c r="AZ59" s="80"/>
      <c r="BA59" s="80"/>
      <c r="BB59" s="80"/>
      <c r="BC59" s="58"/>
      <c r="BD59" s="251"/>
      <c r="BM59" s="251"/>
      <c r="EW59" s="58"/>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8"/>
    </row>
    <row r="60" spans="1:206" ht="18" x14ac:dyDescent="0.35">
      <c r="A60" s="5"/>
      <c r="B60" s="63">
        <v>50</v>
      </c>
      <c r="C60" s="78" t="s">
        <v>1169</v>
      </c>
      <c r="D60" s="78"/>
      <c r="E60" s="78" t="s">
        <v>1079</v>
      </c>
      <c r="F60" s="78" t="s">
        <v>1153</v>
      </c>
      <c r="G60" s="78"/>
      <c r="H60" s="78"/>
      <c r="I60" s="78"/>
      <c r="J60" s="78"/>
      <c r="K60" s="78"/>
      <c r="L60" s="78"/>
      <c r="M60" s="78"/>
      <c r="N60" s="78"/>
      <c r="O60" s="78"/>
      <c r="P60" s="78"/>
      <c r="Q60" s="78"/>
      <c r="R60" s="78"/>
      <c r="S60" s="78" t="s">
        <v>1079</v>
      </c>
      <c r="T60" s="255">
        <v>2.5</v>
      </c>
      <c r="U60" s="178"/>
      <c r="V60" s="178"/>
      <c r="W60" s="178"/>
      <c r="X60" s="256"/>
      <c r="Y60" s="118"/>
      <c r="Z60" s="78"/>
      <c r="AA60" s="78"/>
      <c r="AB60" s="82"/>
      <c r="AC60" s="78" t="s">
        <v>1141</v>
      </c>
      <c r="AD60" s="193"/>
      <c r="AE60" s="193"/>
      <c r="AF60" s="193"/>
      <c r="AG60" s="193"/>
      <c r="AH60" s="193"/>
      <c r="AI60" s="292" t="e">
        <f>AR60/AK60</f>
        <v>#DIV/0!</v>
      </c>
      <c r="AJ60" s="292" t="e">
        <f>IF(AI60=MAX($AI$60:$AI$63),"Y","N")</f>
        <v>#DIV/0!</v>
      </c>
      <c r="AK60" s="270">
        <f>VLOOKUP(J51,Reference!BM5:BO14,3,FALSE)</f>
        <v>21000</v>
      </c>
      <c r="AL60" s="114"/>
      <c r="AM60" s="114"/>
      <c r="AN60" s="114"/>
      <c r="AO60" s="114" t="s">
        <v>1143</v>
      </c>
      <c r="AP60" s="114"/>
      <c r="AQ60" s="193"/>
      <c r="AR60" s="270" t="e">
        <f>T62/T73</f>
        <v>#DIV/0!</v>
      </c>
      <c r="AS60" s="114"/>
      <c r="AT60" s="114"/>
      <c r="AU60" s="114"/>
      <c r="AV60" s="114" t="s">
        <v>1143</v>
      </c>
      <c r="AW60" s="114"/>
      <c r="AX60" s="223" t="e">
        <f>IF(AR60&lt;AK60,"OK","FAIL")</f>
        <v>#DIV/0!</v>
      </c>
      <c r="AY60" s="114"/>
      <c r="AZ60" s="114"/>
      <c r="BA60" s="114"/>
      <c r="BB60" s="114"/>
      <c r="BC60" s="58"/>
      <c r="BD60" s="251"/>
      <c r="BM60" s="251"/>
      <c r="EW60" s="58"/>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8"/>
    </row>
    <row r="61" spans="1:206" ht="18" x14ac:dyDescent="0.35">
      <c r="A61" s="5"/>
      <c r="B61" s="63">
        <v>51</v>
      </c>
      <c r="C61" s="78" t="s">
        <v>1170</v>
      </c>
      <c r="D61" s="78"/>
      <c r="E61" s="78" t="s">
        <v>1079</v>
      </c>
      <c r="F61" s="78" t="s">
        <v>1904</v>
      </c>
      <c r="G61" s="78"/>
      <c r="H61" s="78"/>
      <c r="I61" s="78"/>
      <c r="J61" s="78"/>
      <c r="K61" s="78"/>
      <c r="L61" s="78"/>
      <c r="M61" s="78"/>
      <c r="N61" s="78"/>
      <c r="O61" s="78"/>
      <c r="P61" s="78"/>
      <c r="Q61" s="78"/>
      <c r="R61" s="78"/>
      <c r="S61" s="78" t="s">
        <v>1079</v>
      </c>
      <c r="T61" s="224" t="e">
        <f>(63025*T59)/AJ21</f>
        <v>#DIV/0!</v>
      </c>
      <c r="U61" s="80"/>
      <c r="V61" s="80"/>
      <c r="W61" s="80"/>
      <c r="X61" s="193"/>
      <c r="Y61" s="118" t="s">
        <v>1178</v>
      </c>
      <c r="Z61" s="80"/>
      <c r="AA61" s="80"/>
      <c r="AB61" s="82"/>
      <c r="AC61" s="78" t="s">
        <v>5</v>
      </c>
      <c r="AD61" s="78"/>
      <c r="AE61" s="78"/>
      <c r="AF61" s="78"/>
      <c r="AG61" s="78"/>
      <c r="AH61" s="78"/>
      <c r="AI61" s="206" t="e">
        <f t="shared" ref="AI61:AI63" si="0">AR61/AK61</f>
        <v>#VALUE!</v>
      </c>
      <c r="AJ61" s="206" t="e">
        <f t="shared" ref="AJ61:AJ63" si="1">IF(AI61=MAX($AI$60:$AI$63),"Y","N")</f>
        <v>#VALUE!</v>
      </c>
      <c r="AK61" s="205" t="str">
        <f>IF(J49="Flange","--",6700)</f>
        <v>--</v>
      </c>
      <c r="AL61" s="80"/>
      <c r="AM61" s="80"/>
      <c r="AN61" s="80"/>
      <c r="AO61" s="80" t="s">
        <v>1143</v>
      </c>
      <c r="AP61" s="80"/>
      <c r="AQ61" s="78"/>
      <c r="AR61" s="205" t="str">
        <f>IF(J49="Flange","--",T62/T71)</f>
        <v>--</v>
      </c>
      <c r="AS61" s="80"/>
      <c r="AT61" s="80"/>
      <c r="AU61" s="80"/>
      <c r="AV61" s="80" t="s">
        <v>1143</v>
      </c>
      <c r="AW61" s="114"/>
      <c r="AX61" s="223" t="str">
        <f>IF(AK61="--","--",IF(AR61&lt;AK61,"OK","FAIL"))</f>
        <v>--</v>
      </c>
      <c r="AY61" s="114"/>
      <c r="AZ61" s="114"/>
      <c r="BA61" s="114"/>
      <c r="BB61" s="114"/>
      <c r="BC61" s="58"/>
      <c r="BD61" s="251"/>
      <c r="BM61" s="251"/>
      <c r="EW61" s="58"/>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8"/>
    </row>
    <row r="62" spans="1:206" ht="18" x14ac:dyDescent="0.35">
      <c r="A62" s="5"/>
      <c r="B62" s="63">
        <v>52</v>
      </c>
      <c r="C62" s="78" t="s">
        <v>1155</v>
      </c>
      <c r="D62" s="78"/>
      <c r="E62" s="78" t="s">
        <v>1079</v>
      </c>
      <c r="F62" s="78" t="s">
        <v>1154</v>
      </c>
      <c r="G62" s="78"/>
      <c r="H62" s="78"/>
      <c r="I62" s="78"/>
      <c r="J62" s="78"/>
      <c r="K62" s="78"/>
      <c r="L62" s="78"/>
      <c r="M62" s="78"/>
      <c r="N62" s="78"/>
      <c r="O62" s="78"/>
      <c r="P62" s="78"/>
      <c r="Q62" s="78"/>
      <c r="R62" s="78"/>
      <c r="S62" s="78" t="s">
        <v>1079</v>
      </c>
      <c r="T62" s="224" t="e">
        <f>(63025*(T60*T59))/AJ21</f>
        <v>#DIV/0!</v>
      </c>
      <c r="U62" s="80"/>
      <c r="V62" s="80"/>
      <c r="W62" s="80"/>
      <c r="X62" s="193"/>
      <c r="Y62" s="118" t="s">
        <v>1178</v>
      </c>
      <c r="Z62" s="80"/>
      <c r="AA62" s="80"/>
      <c r="AB62" s="82"/>
      <c r="AC62" s="78" t="s">
        <v>1142</v>
      </c>
      <c r="AD62" s="78"/>
      <c r="AE62" s="78"/>
      <c r="AF62" s="78"/>
      <c r="AG62" s="78"/>
      <c r="AH62" s="78"/>
      <c r="AI62" s="206" t="e">
        <f t="shared" si="0"/>
        <v>#VALUE!</v>
      </c>
      <c r="AJ62" s="206" t="e">
        <f t="shared" si="1"/>
        <v>#VALUE!</v>
      </c>
      <c r="AK62" s="270" t="str">
        <f>IF(J49="Flange","--",VLOOKUP(J55,Reference!BI5:BK14,3,FALSE))</f>
        <v>--</v>
      </c>
      <c r="AL62" s="80"/>
      <c r="AM62" s="80"/>
      <c r="AN62" s="80"/>
      <c r="AO62" s="80" t="s">
        <v>1143</v>
      </c>
      <c r="AP62" s="80"/>
      <c r="AQ62" s="78"/>
      <c r="AR62" s="205" t="str">
        <f>IF(J49="Flange","--",(T62/((J50/2)*J56*2*T68)))</f>
        <v>--</v>
      </c>
      <c r="AS62" s="80"/>
      <c r="AT62" s="80"/>
      <c r="AU62" s="80"/>
      <c r="AV62" s="80" t="s">
        <v>1143</v>
      </c>
      <c r="AW62" s="114"/>
      <c r="AX62" s="223" t="str">
        <f>IF(AK62="--","--",IF(AR62&lt;AK62,"OK","FAIL"))</f>
        <v>--</v>
      </c>
      <c r="AY62" s="114"/>
      <c r="AZ62" s="114"/>
      <c r="BA62" s="114"/>
      <c r="BB62" s="114"/>
      <c r="BC62" s="58"/>
      <c r="BD62" s="251"/>
      <c r="BM62" s="251"/>
      <c r="EW62" s="58"/>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8"/>
    </row>
    <row r="63" spans="1:206" ht="18" x14ac:dyDescent="0.35">
      <c r="A63" s="5"/>
      <c r="B63" s="63">
        <v>53</v>
      </c>
      <c r="C63" s="78" t="s">
        <v>1144</v>
      </c>
      <c r="D63" s="78"/>
      <c r="E63" s="78" t="s">
        <v>1079</v>
      </c>
      <c r="F63" s="78" t="s">
        <v>1147</v>
      </c>
      <c r="G63" s="78"/>
      <c r="H63" s="78"/>
      <c r="I63" s="78"/>
      <c r="J63" s="78"/>
      <c r="K63" s="78"/>
      <c r="L63" s="78"/>
      <c r="M63" s="78"/>
      <c r="N63" s="78"/>
      <c r="O63" s="78"/>
      <c r="P63" s="78"/>
      <c r="Q63" s="78"/>
      <c r="R63" s="78"/>
      <c r="S63" s="78" t="s">
        <v>1079</v>
      </c>
      <c r="T63" s="80">
        <f>J56</f>
        <v>0</v>
      </c>
      <c r="U63" s="80"/>
      <c r="V63" s="80"/>
      <c r="W63" s="80"/>
      <c r="X63" s="193"/>
      <c r="Y63" s="118"/>
      <c r="Z63" s="78"/>
      <c r="AA63" s="78"/>
      <c r="AB63" s="82"/>
      <c r="AC63" s="78" t="s">
        <v>1905</v>
      </c>
      <c r="AD63" s="78"/>
      <c r="AE63" s="78"/>
      <c r="AF63" s="78"/>
      <c r="AG63" s="78"/>
      <c r="AH63" s="78"/>
      <c r="AI63" s="206" t="e">
        <f t="shared" si="0"/>
        <v>#VALUE!</v>
      </c>
      <c r="AJ63" s="206" t="e">
        <f t="shared" si="1"/>
        <v>#VALUE!</v>
      </c>
      <c r="AK63" s="205" t="str">
        <f>IF(J49="Flange","--",6000)</f>
        <v>--</v>
      </c>
      <c r="AL63" s="80"/>
      <c r="AM63" s="80"/>
      <c r="AN63" s="80"/>
      <c r="AO63" s="80" t="s">
        <v>1143</v>
      </c>
      <c r="AP63" s="80"/>
      <c r="AQ63" s="78"/>
      <c r="AR63" s="205" t="str">
        <f>IF(J49="Flange","--",(T62/(J56*T70*T74)))</f>
        <v>--</v>
      </c>
      <c r="AS63" s="80"/>
      <c r="AT63" s="80"/>
      <c r="AU63" s="80"/>
      <c r="AV63" s="80" t="s">
        <v>1143</v>
      </c>
      <c r="AW63" s="114"/>
      <c r="AX63" s="223" t="str">
        <f>IF(AK63="--","--",IF(AR63&lt;AK63,"OK","FAIL"))</f>
        <v>--</v>
      </c>
      <c r="AY63" s="114"/>
      <c r="AZ63" s="114"/>
      <c r="BA63" s="114"/>
      <c r="BB63" s="114"/>
      <c r="BC63" s="58"/>
      <c r="BD63" s="251"/>
      <c r="BM63" s="251"/>
      <c r="EW63" s="58"/>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8"/>
    </row>
    <row r="64" spans="1:206" ht="18" x14ac:dyDescent="0.35">
      <c r="A64" s="5"/>
      <c r="B64" s="63">
        <v>54</v>
      </c>
      <c r="C64" s="78" t="s">
        <v>1148</v>
      </c>
      <c r="D64" s="78"/>
      <c r="E64" s="78" t="s">
        <v>1079</v>
      </c>
      <c r="F64" s="78" t="s">
        <v>1149</v>
      </c>
      <c r="G64" s="78"/>
      <c r="H64" s="78"/>
      <c r="I64" s="78"/>
      <c r="J64" s="78"/>
      <c r="K64" s="78"/>
      <c r="L64" s="78"/>
      <c r="M64" s="78"/>
      <c r="N64" s="78"/>
      <c r="O64" s="78"/>
      <c r="P64" s="78"/>
      <c r="Q64" s="78"/>
      <c r="R64" s="78"/>
      <c r="S64" s="78" t="s">
        <v>1079</v>
      </c>
      <c r="T64" s="225" t="str">
        <f>IF(J49="Flange","0",J54)</f>
        <v>0</v>
      </c>
      <c r="U64" s="80"/>
      <c r="V64" s="80"/>
      <c r="W64" s="80"/>
      <c r="X64" s="193"/>
      <c r="Y64" s="118" t="s">
        <v>1047</v>
      </c>
      <c r="Z64" s="80"/>
      <c r="AA64" s="80"/>
      <c r="AB64" s="81"/>
      <c r="AC64" s="78"/>
      <c r="AD64" s="212" t="e">
        <f>IF(AJ62="N","THE COUPLING BOLT IS NOT THE WEAKEST LINK","")</f>
        <v>#VALUE!</v>
      </c>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58"/>
      <c r="BD64" s="251"/>
      <c r="BM64" s="251"/>
      <c r="EW64" s="58"/>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8"/>
    </row>
    <row r="65" spans="1:206" ht="18" x14ac:dyDescent="0.35">
      <c r="A65" s="5"/>
      <c r="B65" s="63">
        <v>55</v>
      </c>
      <c r="C65" s="78" t="s">
        <v>1146</v>
      </c>
      <c r="D65" s="78"/>
      <c r="E65" s="78" t="s">
        <v>1079</v>
      </c>
      <c r="F65" s="78" t="s">
        <v>1151</v>
      </c>
      <c r="G65" s="78"/>
      <c r="H65" s="78"/>
      <c r="I65" s="78"/>
      <c r="J65" s="78"/>
      <c r="K65" s="78"/>
      <c r="L65" s="78"/>
      <c r="M65" s="78"/>
      <c r="N65" s="78"/>
      <c r="O65" s="78"/>
      <c r="P65" s="78"/>
      <c r="Q65" s="78"/>
      <c r="R65" s="78"/>
      <c r="S65" s="78" t="s">
        <v>1079</v>
      </c>
      <c r="T65" s="226">
        <f>J50</f>
        <v>2.4380000000000002</v>
      </c>
      <c r="U65" s="80"/>
      <c r="V65" s="80"/>
      <c r="W65" s="80"/>
      <c r="X65" s="193"/>
      <c r="Y65" s="118" t="s">
        <v>1047</v>
      </c>
      <c r="Z65" s="80"/>
      <c r="AA65" s="80"/>
      <c r="AB65" s="81"/>
      <c r="AC65" s="78"/>
      <c r="AD65" s="78" t="s">
        <v>1906</v>
      </c>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58"/>
      <c r="BD65" s="251"/>
      <c r="BM65" s="251"/>
      <c r="EW65" s="58"/>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8"/>
    </row>
    <row r="66" spans="1:206" ht="18" x14ac:dyDescent="0.35">
      <c r="A66" s="5"/>
      <c r="B66" s="63">
        <v>56</v>
      </c>
      <c r="C66" s="78" t="s">
        <v>8</v>
      </c>
      <c r="D66" s="78"/>
      <c r="E66" s="78" t="s">
        <v>1079</v>
      </c>
      <c r="F66" s="78" t="s">
        <v>1157</v>
      </c>
      <c r="G66" s="78"/>
      <c r="H66" s="78"/>
      <c r="I66" s="78"/>
      <c r="J66" s="78"/>
      <c r="K66" s="78"/>
      <c r="L66" s="78"/>
      <c r="M66" s="78"/>
      <c r="N66" s="78"/>
      <c r="O66" s="78"/>
      <c r="P66" s="78"/>
      <c r="Q66" s="78"/>
      <c r="R66" s="78"/>
      <c r="S66" s="78" t="s">
        <v>1079</v>
      </c>
      <c r="T66" s="80" t="e">
        <f>Reference!S2</f>
        <v>#N/A</v>
      </c>
      <c r="U66" s="80"/>
      <c r="V66" s="80"/>
      <c r="W66" s="80"/>
      <c r="X66" s="193"/>
      <c r="Y66" s="118" t="s">
        <v>1047</v>
      </c>
      <c r="Z66" s="80"/>
      <c r="AA66" s="80"/>
      <c r="AB66" s="81"/>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58"/>
      <c r="BD66" s="251"/>
      <c r="BM66" s="251"/>
      <c r="EW66" s="58"/>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8"/>
    </row>
    <row r="67" spans="1:206" ht="18" x14ac:dyDescent="0.35">
      <c r="A67" s="5"/>
      <c r="B67" s="63">
        <v>57</v>
      </c>
      <c r="C67" s="78" t="s">
        <v>1159</v>
      </c>
      <c r="D67" s="78"/>
      <c r="E67" s="78" t="s">
        <v>1079</v>
      </c>
      <c r="F67" s="78" t="s">
        <v>1158</v>
      </c>
      <c r="G67" s="78"/>
      <c r="H67" s="78"/>
      <c r="I67" s="78"/>
      <c r="J67" s="78"/>
      <c r="K67" s="78"/>
      <c r="L67" s="78"/>
      <c r="M67" s="78"/>
      <c r="N67" s="78"/>
      <c r="O67" s="78"/>
      <c r="P67" s="78"/>
      <c r="Q67" s="78"/>
      <c r="R67" s="78"/>
      <c r="S67" s="78" t="s">
        <v>1079</v>
      </c>
      <c r="T67" s="80" t="e">
        <f>Reference!G2</f>
        <v>#N/A</v>
      </c>
      <c r="U67" s="80"/>
      <c r="V67" s="80"/>
      <c r="W67" s="80"/>
      <c r="X67" s="193"/>
      <c r="Y67" s="118" t="s">
        <v>1047</v>
      </c>
      <c r="Z67" s="80"/>
      <c r="AA67" s="80"/>
      <c r="AB67" s="81"/>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58"/>
      <c r="BD67" s="251"/>
      <c r="BM67" s="251"/>
      <c r="EW67" s="58"/>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8"/>
    </row>
    <row r="68" spans="1:206" ht="18.75" x14ac:dyDescent="0.35">
      <c r="A68" s="5"/>
      <c r="B68" s="63">
        <v>58</v>
      </c>
      <c r="C68" s="78" t="s">
        <v>1145</v>
      </c>
      <c r="D68" s="78"/>
      <c r="E68" s="78" t="s">
        <v>1079</v>
      </c>
      <c r="F68" s="78" t="s">
        <v>1150</v>
      </c>
      <c r="G68" s="78"/>
      <c r="H68" s="78"/>
      <c r="I68" s="78"/>
      <c r="J68" s="78"/>
      <c r="K68" s="78"/>
      <c r="L68" s="78"/>
      <c r="M68" s="78"/>
      <c r="N68" s="78"/>
      <c r="O68" s="78"/>
      <c r="P68" s="78"/>
      <c r="Q68" s="78"/>
      <c r="R68" s="78"/>
      <c r="S68" s="78" t="s">
        <v>1079</v>
      </c>
      <c r="T68" s="89" t="str">
        <f>IF(J49="Flange","0",(PI()*(J54/2)^2))</f>
        <v>0</v>
      </c>
      <c r="U68" s="89"/>
      <c r="V68" s="89"/>
      <c r="W68" s="89"/>
      <c r="X68" s="193"/>
      <c r="Y68" s="118" t="s">
        <v>1179</v>
      </c>
      <c r="Z68" s="80"/>
      <c r="AA68" s="80"/>
      <c r="AB68" s="81"/>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58"/>
      <c r="BD68" s="251"/>
      <c r="BM68" s="251"/>
      <c r="EW68" s="58"/>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8"/>
    </row>
    <row r="69" spans="1:206" ht="18" x14ac:dyDescent="0.35">
      <c r="A69" s="5"/>
      <c r="B69" s="63">
        <v>59</v>
      </c>
      <c r="C69" s="78" t="s">
        <v>1172</v>
      </c>
      <c r="D69" s="78"/>
      <c r="E69" s="78" t="s">
        <v>1079</v>
      </c>
      <c r="F69" s="78" t="s">
        <v>1173</v>
      </c>
      <c r="G69" s="78"/>
      <c r="H69" s="78"/>
      <c r="I69" s="78"/>
      <c r="J69" s="78"/>
      <c r="K69" s="78"/>
      <c r="L69" s="78"/>
      <c r="M69" s="78"/>
      <c r="N69" s="78"/>
      <c r="O69" s="78"/>
      <c r="P69" s="78"/>
      <c r="Q69" s="78"/>
      <c r="R69" s="78"/>
      <c r="S69" s="78" t="s">
        <v>1079</v>
      </c>
      <c r="T69" s="226">
        <f>J50</f>
        <v>2.4380000000000002</v>
      </c>
      <c r="U69" s="80"/>
      <c r="V69" s="80"/>
      <c r="W69" s="80"/>
      <c r="X69" s="193"/>
      <c r="Y69" s="118" t="s">
        <v>1047</v>
      </c>
      <c r="Z69" s="80"/>
      <c r="AA69" s="80"/>
      <c r="AB69" s="81"/>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58"/>
      <c r="BD69" s="251"/>
      <c r="BM69" s="251"/>
      <c r="EW69" s="58"/>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8"/>
    </row>
    <row r="70" spans="1:206" ht="17.25" x14ac:dyDescent="0.25">
      <c r="A70" s="5"/>
      <c r="B70" s="63">
        <v>60</v>
      </c>
      <c r="C70" s="78" t="s">
        <v>919</v>
      </c>
      <c r="D70" s="78"/>
      <c r="E70" s="78" t="s">
        <v>1079</v>
      </c>
      <c r="F70" s="78" t="s">
        <v>1174</v>
      </c>
      <c r="G70" s="78"/>
      <c r="H70" s="78"/>
      <c r="I70" s="78"/>
      <c r="J70" s="78"/>
      <c r="K70" s="78"/>
      <c r="L70" s="78"/>
      <c r="M70" s="78"/>
      <c r="N70" s="78"/>
      <c r="O70" s="78"/>
      <c r="P70" s="78"/>
      <c r="Q70" s="78"/>
      <c r="R70" s="78"/>
      <c r="S70" s="78" t="s">
        <v>1079</v>
      </c>
      <c r="T70" s="89" t="str">
        <f>IF(J49="Flange","0",((T66-T69)*J54))</f>
        <v>0</v>
      </c>
      <c r="U70" s="89"/>
      <c r="V70" s="89"/>
      <c r="W70" s="89"/>
      <c r="X70" s="193"/>
      <c r="Y70" s="118" t="s">
        <v>1179</v>
      </c>
      <c r="Z70" s="80"/>
      <c r="AA70" s="80"/>
      <c r="AB70" s="81"/>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58"/>
      <c r="BD70" s="251"/>
      <c r="BM70" s="251"/>
      <c r="EW70" s="58"/>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8"/>
    </row>
    <row r="71" spans="1:206" ht="17.25" x14ac:dyDescent="0.25">
      <c r="A71" s="5"/>
      <c r="B71" s="63">
        <v>61</v>
      </c>
      <c r="C71" s="78" t="s">
        <v>920</v>
      </c>
      <c r="D71" s="78"/>
      <c r="E71" s="78" t="s">
        <v>1079</v>
      </c>
      <c r="F71" s="78" t="s">
        <v>1175</v>
      </c>
      <c r="G71" s="78"/>
      <c r="H71" s="78"/>
      <c r="I71" s="78"/>
      <c r="J71" s="78"/>
      <c r="K71" s="78"/>
      <c r="L71" s="78"/>
      <c r="M71" s="78"/>
      <c r="N71" s="78"/>
      <c r="O71" s="78"/>
      <c r="P71" s="78"/>
      <c r="Q71" s="78"/>
      <c r="R71" s="78"/>
      <c r="S71" s="78" t="s">
        <v>1079</v>
      </c>
      <c r="T71" s="89" t="e">
        <f>(PI()*(T66^4-T67^4))/(16*T66)</f>
        <v>#N/A</v>
      </c>
      <c r="U71" s="89"/>
      <c r="V71" s="89"/>
      <c r="W71" s="89"/>
      <c r="X71" s="193"/>
      <c r="Y71" s="118" t="s">
        <v>1180</v>
      </c>
      <c r="Z71" s="80"/>
      <c r="AA71" s="80"/>
      <c r="AB71" s="81"/>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58"/>
      <c r="BD71" s="251"/>
      <c r="BM71" s="251"/>
      <c r="EW71" s="58"/>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8"/>
    </row>
    <row r="72" spans="1:206" x14ac:dyDescent="0.25">
      <c r="A72" s="5"/>
      <c r="B72" s="63">
        <v>62</v>
      </c>
      <c r="C72" s="78" t="s">
        <v>926</v>
      </c>
      <c r="D72" s="78"/>
      <c r="E72" s="78" t="s">
        <v>1079</v>
      </c>
      <c r="F72" s="78" t="s">
        <v>1176</v>
      </c>
      <c r="G72" s="78"/>
      <c r="H72" s="78"/>
      <c r="I72" s="78"/>
      <c r="J72" s="78"/>
      <c r="K72" s="78"/>
      <c r="L72" s="78"/>
      <c r="M72" s="78"/>
      <c r="N72" s="78"/>
      <c r="O72" s="78"/>
      <c r="P72" s="78"/>
      <c r="Q72" s="78"/>
      <c r="R72" s="78"/>
      <c r="S72" s="78" t="s">
        <v>1079</v>
      </c>
      <c r="T72" s="89" t="str">
        <f>IF(J49="Flange","0",(J54+(1/32)))</f>
        <v>0</v>
      </c>
      <c r="U72" s="89"/>
      <c r="V72" s="89"/>
      <c r="W72" s="89"/>
      <c r="X72" s="193"/>
      <c r="Y72" s="118" t="s">
        <v>1047</v>
      </c>
      <c r="Z72" s="80"/>
      <c r="AA72" s="80"/>
      <c r="AB72" s="81"/>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58"/>
      <c r="BD72" s="251"/>
      <c r="BM72" s="251"/>
      <c r="EW72" s="58"/>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8"/>
    </row>
    <row r="73" spans="1:206" ht="17.25" x14ac:dyDescent="0.25">
      <c r="A73" s="5"/>
      <c r="B73" s="63">
        <v>63</v>
      </c>
      <c r="C73" s="78" t="s">
        <v>925</v>
      </c>
      <c r="D73" s="78"/>
      <c r="E73" s="78" t="s">
        <v>1079</v>
      </c>
      <c r="F73" s="78" t="s">
        <v>1177</v>
      </c>
      <c r="G73" s="78"/>
      <c r="H73" s="78"/>
      <c r="I73" s="78"/>
      <c r="J73" s="78"/>
      <c r="K73" s="78"/>
      <c r="L73" s="78"/>
      <c r="M73" s="78"/>
      <c r="N73" s="78"/>
      <c r="O73" s="78"/>
      <c r="P73" s="78"/>
      <c r="Q73" s="78"/>
      <c r="R73" s="78"/>
      <c r="S73" s="78" t="s">
        <v>1079</v>
      </c>
      <c r="T73" s="89">
        <f>((PI()*((J50^3)/16)-(((T72*J50^2)/6)+(T72^3/6))))</f>
        <v>2.8453191962032149</v>
      </c>
      <c r="U73" s="89"/>
      <c r="V73" s="89"/>
      <c r="W73" s="89"/>
      <c r="X73" s="193"/>
      <c r="Y73" s="118" t="s">
        <v>1180</v>
      </c>
      <c r="Z73" s="80"/>
      <c r="AA73" s="80"/>
      <c r="AB73" s="81"/>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58"/>
      <c r="BD73" s="251"/>
      <c r="BM73" s="251"/>
      <c r="EW73" s="58"/>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8"/>
    </row>
    <row r="74" spans="1:206" x14ac:dyDescent="0.25">
      <c r="A74" s="5"/>
      <c r="B74" s="63">
        <v>64</v>
      </c>
      <c r="C74" s="78" t="s">
        <v>917</v>
      </c>
      <c r="D74" s="78"/>
      <c r="E74" s="78" t="s">
        <v>1079</v>
      </c>
      <c r="F74" s="78" t="s">
        <v>918</v>
      </c>
      <c r="G74" s="78"/>
      <c r="H74" s="78"/>
      <c r="I74" s="78"/>
      <c r="J74" s="78"/>
      <c r="K74" s="78"/>
      <c r="L74" s="78"/>
      <c r="M74" s="78"/>
      <c r="N74" s="78"/>
      <c r="O74" s="78"/>
      <c r="P74" s="78"/>
      <c r="Q74" s="78"/>
      <c r="R74" s="78"/>
      <c r="S74" s="78" t="s">
        <v>1079</v>
      </c>
      <c r="T74" s="89" t="e">
        <f>(J50/2)+((T66-J50)/4)</f>
        <v>#N/A</v>
      </c>
      <c r="U74" s="89"/>
      <c r="V74" s="89"/>
      <c r="W74" s="89"/>
      <c r="X74" s="193"/>
      <c r="Y74" s="118" t="s">
        <v>1047</v>
      </c>
      <c r="Z74" s="80"/>
      <c r="AA74" s="80"/>
      <c r="AB74" s="81"/>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58"/>
      <c r="BD74" s="251"/>
      <c r="BM74" s="251"/>
      <c r="EW74" s="58"/>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8"/>
    </row>
    <row r="75" spans="1:206" ht="15.75" thickBot="1" x14ac:dyDescent="0.3">
      <c r="A75" s="5"/>
      <c r="B75" s="63">
        <v>65</v>
      </c>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82"/>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58"/>
      <c r="BD75" s="251"/>
      <c r="BM75" s="251"/>
      <c r="EW75" s="58"/>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8"/>
    </row>
    <row r="76" spans="1:206" ht="15.75" thickBot="1" x14ac:dyDescent="0.3">
      <c r="A76" s="5"/>
      <c r="B76" s="63">
        <v>66</v>
      </c>
      <c r="C76" s="61" t="s">
        <v>1183</v>
      </c>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109"/>
      <c r="AR76" s="109"/>
      <c r="AS76" s="109"/>
      <c r="AT76" s="109"/>
      <c r="AU76" s="109"/>
      <c r="AV76" s="109"/>
      <c r="AW76" s="109"/>
      <c r="AX76" s="109"/>
      <c r="AY76" s="109"/>
      <c r="AZ76" s="109"/>
      <c r="BA76" s="109"/>
      <c r="BB76" s="109"/>
      <c r="BC76" s="58"/>
      <c r="BD76" s="251"/>
      <c r="BM76" s="251"/>
      <c r="EW76" s="58"/>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8"/>
    </row>
    <row r="77" spans="1:206" ht="15.75" thickBot="1" x14ac:dyDescent="0.3">
      <c r="A77" s="5"/>
      <c r="B77" s="63">
        <v>67</v>
      </c>
      <c r="C77" s="88" t="s">
        <v>1068</v>
      </c>
      <c r="D77" s="85"/>
      <c r="E77" s="85"/>
      <c r="F77" s="85"/>
      <c r="G77" s="85"/>
      <c r="H77" s="85"/>
      <c r="I77" s="85"/>
      <c r="J77" s="86"/>
      <c r="K77" s="227" t="s">
        <v>1067</v>
      </c>
      <c r="L77" s="190"/>
      <c r="M77" s="190"/>
      <c r="N77" s="190"/>
      <c r="O77" s="190"/>
      <c r="P77" s="190"/>
      <c r="Q77" s="190"/>
      <c r="R77" s="228"/>
      <c r="S77" s="227" t="s">
        <v>3</v>
      </c>
      <c r="T77" s="190"/>
      <c r="U77" s="190"/>
      <c r="V77" s="190"/>
      <c r="W77" s="190"/>
      <c r="X77" s="190"/>
      <c r="Y77" s="190"/>
      <c r="Z77" s="228"/>
      <c r="AA77" s="227" t="s">
        <v>979</v>
      </c>
      <c r="AB77" s="190"/>
      <c r="AC77" s="190"/>
      <c r="AD77" s="190"/>
      <c r="AE77" s="190"/>
      <c r="AF77" s="190"/>
      <c r="AG77" s="190"/>
      <c r="AH77" s="228"/>
      <c r="AI77" s="227" t="s">
        <v>1000</v>
      </c>
      <c r="AJ77" s="190"/>
      <c r="AK77" s="190"/>
      <c r="AL77" s="190"/>
      <c r="AM77" s="190"/>
      <c r="AN77" s="190"/>
      <c r="AO77" s="190"/>
      <c r="AP77" s="190"/>
      <c r="AQ77" s="229" t="s">
        <v>1072</v>
      </c>
      <c r="AR77" s="230"/>
      <c r="AS77" s="230"/>
      <c r="AT77" s="230"/>
      <c r="AU77" s="230"/>
      <c r="AV77" s="230"/>
      <c r="AW77" s="230"/>
      <c r="AX77" s="230"/>
      <c r="AY77" s="231"/>
      <c r="AZ77" s="230"/>
      <c r="BA77" s="230"/>
      <c r="BB77" s="232"/>
      <c r="BC77" s="6"/>
      <c r="BD77" s="251"/>
      <c r="BM77" s="251"/>
      <c r="EW77" s="58"/>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8"/>
    </row>
    <row r="78" spans="1:206" x14ac:dyDescent="0.25">
      <c r="A78" s="5"/>
      <c r="B78" s="63">
        <v>68</v>
      </c>
      <c r="C78" s="233" t="s">
        <v>1184</v>
      </c>
      <c r="D78" s="5"/>
      <c r="E78" s="5"/>
      <c r="F78" s="5"/>
      <c r="G78" s="5"/>
      <c r="H78" s="5"/>
      <c r="I78" s="5"/>
      <c r="J78" s="5"/>
      <c r="K78" s="73"/>
      <c r="L78" s="74"/>
      <c r="M78" s="74"/>
      <c r="N78" s="74"/>
      <c r="O78" s="74"/>
      <c r="P78" s="74"/>
      <c r="Q78" s="74"/>
      <c r="R78" s="75"/>
      <c r="S78" s="73">
        <f>J25</f>
        <v>0</v>
      </c>
      <c r="T78" s="74"/>
      <c r="U78" s="74"/>
      <c r="V78" s="74"/>
      <c r="W78" s="74"/>
      <c r="X78" s="74"/>
      <c r="Y78" s="74"/>
      <c r="Z78" s="75"/>
      <c r="AA78" s="335"/>
      <c r="AB78" s="334"/>
      <c r="AC78" s="334"/>
      <c r="AD78" s="334"/>
      <c r="AE78" s="334"/>
      <c r="AF78" s="334"/>
      <c r="AG78" s="334"/>
      <c r="AH78" s="346"/>
      <c r="AI78" s="321" t="s">
        <v>1264</v>
      </c>
      <c r="AJ78" s="322"/>
      <c r="AK78" s="322"/>
      <c r="AL78" s="322"/>
      <c r="AM78" s="322"/>
      <c r="AN78" s="322"/>
      <c r="AO78" s="322"/>
      <c r="AP78" s="323"/>
      <c r="AQ78" s="247" t="s">
        <v>987</v>
      </c>
      <c r="AR78" s="123"/>
      <c r="AS78" s="123"/>
      <c r="AT78" s="123"/>
      <c r="AU78" s="123"/>
      <c r="AV78" s="123"/>
      <c r="AW78" s="123"/>
      <c r="AX78" s="123"/>
      <c r="AY78" s="156"/>
      <c r="AZ78" s="123"/>
      <c r="BA78" s="123"/>
      <c r="BB78" s="248"/>
      <c r="BC78" s="6"/>
      <c r="BD78" s="251"/>
      <c r="BM78" s="251"/>
      <c r="EW78" s="58"/>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8"/>
    </row>
    <row r="79" spans="1:206" x14ac:dyDescent="0.25">
      <c r="A79" s="5"/>
      <c r="B79" s="63">
        <v>69</v>
      </c>
      <c r="C79" s="105" t="s">
        <v>1063</v>
      </c>
      <c r="D79" s="78"/>
      <c r="E79" s="78"/>
      <c r="F79" s="78"/>
      <c r="G79" s="78"/>
      <c r="H79" s="78"/>
      <c r="I79" s="78"/>
      <c r="J79" s="78"/>
      <c r="K79" s="304"/>
      <c r="L79" s="305"/>
      <c r="M79" s="305"/>
      <c r="N79" s="305"/>
      <c r="O79" s="305"/>
      <c r="P79" s="305"/>
      <c r="Q79" s="305"/>
      <c r="R79" s="306"/>
      <c r="S79" s="234" t="str">
        <f>IF(K79="None","None",$J$50&amp;"""")</f>
        <v>2.438"</v>
      </c>
      <c r="T79" s="80"/>
      <c r="U79" s="80"/>
      <c r="V79" s="80"/>
      <c r="W79" s="80"/>
      <c r="X79" s="80"/>
      <c r="Y79" s="80"/>
      <c r="Z79" s="81"/>
      <c r="AA79" s="304"/>
      <c r="AB79" s="305"/>
      <c r="AC79" s="305"/>
      <c r="AD79" s="305"/>
      <c r="AE79" s="305"/>
      <c r="AF79" s="305"/>
      <c r="AG79" s="305"/>
      <c r="AH79" s="306"/>
      <c r="AI79" s="318" t="s">
        <v>987</v>
      </c>
      <c r="AJ79" s="319"/>
      <c r="AK79" s="319"/>
      <c r="AL79" s="319"/>
      <c r="AM79" s="319"/>
      <c r="AN79" s="319"/>
      <c r="AO79" s="319"/>
      <c r="AP79" s="320"/>
      <c r="AQ79" s="249"/>
      <c r="AR79" s="127"/>
      <c r="AS79" s="127"/>
      <c r="AT79" s="127"/>
      <c r="AU79" s="127"/>
      <c r="AV79" s="127"/>
      <c r="AW79" s="127"/>
      <c r="AX79" s="127"/>
      <c r="AY79" s="127"/>
      <c r="AZ79" s="127"/>
      <c r="BA79" s="127"/>
      <c r="BB79" s="143"/>
      <c r="BC79" s="6"/>
      <c r="BD79" s="251"/>
      <c r="BM79" s="251"/>
      <c r="EW79" s="58"/>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8"/>
    </row>
    <row r="80" spans="1:206" x14ac:dyDescent="0.25">
      <c r="A80" s="5"/>
      <c r="B80" s="63">
        <v>70</v>
      </c>
      <c r="C80" s="105" t="s">
        <v>1064</v>
      </c>
      <c r="D80" s="78"/>
      <c r="E80" s="78"/>
      <c r="F80" s="78"/>
      <c r="G80" s="78"/>
      <c r="H80" s="78"/>
      <c r="I80" s="78"/>
      <c r="J80" s="78"/>
      <c r="K80" s="304"/>
      <c r="L80" s="305"/>
      <c r="M80" s="305"/>
      <c r="N80" s="305"/>
      <c r="O80" s="305"/>
      <c r="P80" s="305"/>
      <c r="Q80" s="305"/>
      <c r="R80" s="306"/>
      <c r="S80" s="234" t="str">
        <f>IF(Reference!$P$2="Y","None",$J$50&amp;"""")</f>
        <v>2.438"</v>
      </c>
      <c r="T80" s="80"/>
      <c r="U80" s="80"/>
      <c r="V80" s="80"/>
      <c r="W80" s="80"/>
      <c r="X80" s="80"/>
      <c r="Y80" s="80"/>
      <c r="Z80" s="81"/>
      <c r="AA80" s="304"/>
      <c r="AB80" s="305"/>
      <c r="AC80" s="305"/>
      <c r="AD80" s="305"/>
      <c r="AE80" s="305"/>
      <c r="AF80" s="305"/>
      <c r="AG80" s="305"/>
      <c r="AH80" s="306"/>
      <c r="AI80" s="318" t="s">
        <v>987</v>
      </c>
      <c r="AJ80" s="319"/>
      <c r="AK80" s="319"/>
      <c r="AL80" s="319"/>
      <c r="AM80" s="319"/>
      <c r="AN80" s="319"/>
      <c r="AO80" s="319"/>
      <c r="AP80" s="320"/>
      <c r="AQ80" s="249"/>
      <c r="AR80" s="127"/>
      <c r="AS80" s="127"/>
      <c r="AT80" s="127"/>
      <c r="AU80" s="127"/>
      <c r="AV80" s="127"/>
      <c r="AW80" s="127"/>
      <c r="AX80" s="127"/>
      <c r="AY80" s="127"/>
      <c r="AZ80" s="127"/>
      <c r="BA80" s="127"/>
      <c r="BB80" s="143"/>
      <c r="BC80" s="6"/>
      <c r="BD80" s="251"/>
      <c r="BM80" s="251"/>
      <c r="EW80" s="58"/>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8"/>
    </row>
    <row r="81" spans="1:206" x14ac:dyDescent="0.25">
      <c r="A81" s="5"/>
      <c r="B81" s="63">
        <v>71</v>
      </c>
      <c r="C81" s="105" t="s">
        <v>1065</v>
      </c>
      <c r="D81" s="78"/>
      <c r="E81" s="78"/>
      <c r="F81" s="78"/>
      <c r="G81" s="78"/>
      <c r="H81" s="78"/>
      <c r="I81" s="78"/>
      <c r="J81" s="82"/>
      <c r="K81" s="304"/>
      <c r="L81" s="305"/>
      <c r="M81" s="305"/>
      <c r="N81" s="305"/>
      <c r="O81" s="305"/>
      <c r="P81" s="305"/>
      <c r="Q81" s="305"/>
      <c r="R81" s="306"/>
      <c r="S81" s="79" t="str">
        <f>IF(Reference!$P$2="Y","None",$J$50&amp;"""")</f>
        <v>2.438"</v>
      </c>
      <c r="T81" s="80"/>
      <c r="U81" s="80"/>
      <c r="V81" s="80"/>
      <c r="W81" s="80"/>
      <c r="X81" s="80"/>
      <c r="Y81" s="80"/>
      <c r="Z81" s="81"/>
      <c r="AA81" s="304"/>
      <c r="AB81" s="305"/>
      <c r="AC81" s="305"/>
      <c r="AD81" s="305"/>
      <c r="AE81" s="305"/>
      <c r="AF81" s="305"/>
      <c r="AG81" s="305"/>
      <c r="AH81" s="306"/>
      <c r="AI81" s="318" t="s">
        <v>987</v>
      </c>
      <c r="AJ81" s="305"/>
      <c r="AK81" s="305"/>
      <c r="AL81" s="305"/>
      <c r="AM81" s="305"/>
      <c r="AN81" s="305"/>
      <c r="AO81" s="305"/>
      <c r="AP81" s="306"/>
      <c r="AQ81" s="132"/>
      <c r="AR81" s="127"/>
      <c r="AS81" s="127"/>
      <c r="AT81" s="127"/>
      <c r="AU81" s="127"/>
      <c r="AV81" s="127"/>
      <c r="AW81" s="127"/>
      <c r="AX81" s="127"/>
      <c r="AY81" s="155"/>
      <c r="AZ81" s="127"/>
      <c r="BA81" s="127"/>
      <c r="BB81" s="143"/>
      <c r="BC81" s="6"/>
      <c r="BD81" s="251"/>
      <c r="BM81" s="251"/>
      <c r="EW81" s="58"/>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8"/>
    </row>
    <row r="82" spans="1:206" x14ac:dyDescent="0.25">
      <c r="A82" s="5"/>
      <c r="B82" s="63">
        <v>72</v>
      </c>
      <c r="C82" s="288" t="s">
        <v>1990</v>
      </c>
      <c r="D82" s="193"/>
      <c r="E82" s="193"/>
      <c r="F82" s="193"/>
      <c r="G82" s="193"/>
      <c r="H82" s="193"/>
      <c r="I82" s="193"/>
      <c r="J82" s="285"/>
      <c r="K82" s="304"/>
      <c r="L82" s="305"/>
      <c r="M82" s="305"/>
      <c r="N82" s="305"/>
      <c r="O82" s="305"/>
      <c r="P82" s="305"/>
      <c r="Q82" s="305"/>
      <c r="R82" s="306"/>
      <c r="S82" s="235" t="str">
        <f>IF(K82="None","None",$J$50&amp;"""")</f>
        <v>2.438"</v>
      </c>
      <c r="T82" s="80"/>
      <c r="U82" s="80"/>
      <c r="V82" s="80"/>
      <c r="W82" s="80"/>
      <c r="X82" s="80"/>
      <c r="Y82" s="80"/>
      <c r="Z82" s="81"/>
      <c r="AA82" s="304"/>
      <c r="AB82" s="305"/>
      <c r="AC82" s="305"/>
      <c r="AD82" s="305"/>
      <c r="AE82" s="305"/>
      <c r="AF82" s="305"/>
      <c r="AG82" s="305"/>
      <c r="AH82" s="306"/>
      <c r="AI82" s="318" t="s">
        <v>987</v>
      </c>
      <c r="AJ82" s="305"/>
      <c r="AK82" s="305"/>
      <c r="AL82" s="305"/>
      <c r="AM82" s="305"/>
      <c r="AN82" s="305"/>
      <c r="AO82" s="305"/>
      <c r="AP82" s="306"/>
      <c r="AQ82" s="132"/>
      <c r="AR82" s="127"/>
      <c r="AS82" s="127"/>
      <c r="AT82" s="127"/>
      <c r="AU82" s="127"/>
      <c r="AV82" s="127"/>
      <c r="AW82" s="127"/>
      <c r="AX82" s="127"/>
      <c r="AY82" s="155"/>
      <c r="AZ82" s="127"/>
      <c r="BA82" s="127"/>
      <c r="BB82" s="143"/>
      <c r="BC82" s="6"/>
      <c r="BD82" s="251"/>
      <c r="BM82" s="251"/>
      <c r="EW82" s="58"/>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8"/>
    </row>
    <row r="83" spans="1:206" x14ac:dyDescent="0.25">
      <c r="A83" s="5"/>
      <c r="B83" s="63">
        <v>73</v>
      </c>
      <c r="C83" s="105" t="s">
        <v>1066</v>
      </c>
      <c r="D83" s="78"/>
      <c r="E83" s="78"/>
      <c r="F83" s="78"/>
      <c r="G83" s="78"/>
      <c r="H83" s="78"/>
      <c r="I83" s="78"/>
      <c r="J83" s="82"/>
      <c r="K83" s="304"/>
      <c r="L83" s="305"/>
      <c r="M83" s="305"/>
      <c r="N83" s="305"/>
      <c r="O83" s="305"/>
      <c r="P83" s="305"/>
      <c r="Q83" s="305"/>
      <c r="R83" s="306"/>
      <c r="S83" s="79" t="str">
        <f>IF(Reference!$P$2="Y","None",$J$50&amp;"""")</f>
        <v>2.438"</v>
      </c>
      <c r="T83" s="80"/>
      <c r="U83" s="80"/>
      <c r="V83" s="80"/>
      <c r="W83" s="80"/>
      <c r="X83" s="80"/>
      <c r="Y83" s="80"/>
      <c r="Z83" s="81"/>
      <c r="AA83" s="304"/>
      <c r="AB83" s="305"/>
      <c r="AC83" s="305"/>
      <c r="AD83" s="305"/>
      <c r="AE83" s="305"/>
      <c r="AF83" s="305"/>
      <c r="AG83" s="305"/>
      <c r="AH83" s="306"/>
      <c r="AI83" s="318" t="s">
        <v>987</v>
      </c>
      <c r="AJ83" s="305"/>
      <c r="AK83" s="305"/>
      <c r="AL83" s="305"/>
      <c r="AM83" s="305"/>
      <c r="AN83" s="305"/>
      <c r="AO83" s="305"/>
      <c r="AP83" s="306"/>
      <c r="AQ83" s="132"/>
      <c r="AR83" s="127"/>
      <c r="AS83" s="127"/>
      <c r="AT83" s="127"/>
      <c r="AU83" s="127"/>
      <c r="AV83" s="127"/>
      <c r="AW83" s="127"/>
      <c r="AX83" s="127"/>
      <c r="AY83" s="155"/>
      <c r="AZ83" s="127"/>
      <c r="BA83" s="127"/>
      <c r="BB83" s="143"/>
      <c r="BC83" s="6"/>
      <c r="BD83" s="251"/>
      <c r="BM83" s="251"/>
      <c r="EW83" s="58"/>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8"/>
    </row>
    <row r="84" spans="1:206" x14ac:dyDescent="0.25">
      <c r="A84" s="5"/>
      <c r="B84" s="63">
        <v>74</v>
      </c>
      <c r="C84" s="105" t="s">
        <v>959</v>
      </c>
      <c r="D84" s="78"/>
      <c r="E84" s="78"/>
      <c r="F84" s="78"/>
      <c r="G84" s="78"/>
      <c r="H84" s="78"/>
      <c r="I84" s="78"/>
      <c r="J84" s="82"/>
      <c r="K84" s="304"/>
      <c r="L84" s="305"/>
      <c r="M84" s="305"/>
      <c r="N84" s="305"/>
      <c r="O84" s="305"/>
      <c r="P84" s="305"/>
      <c r="Q84" s="305"/>
      <c r="R84" s="306"/>
      <c r="S84" s="304" t="s">
        <v>783</v>
      </c>
      <c r="T84" s="305"/>
      <c r="U84" s="305"/>
      <c r="V84" s="226">
        <f>VLOOKUP(S84,Reference!$BX$5:$BY$14,2,FALSE)</f>
        <v>0.13500000000000001</v>
      </c>
      <c r="W84" s="80"/>
      <c r="X84" s="80"/>
      <c r="Y84" s="80" t="s">
        <v>1047</v>
      </c>
      <c r="Z84" s="81"/>
      <c r="AA84" s="304"/>
      <c r="AB84" s="305"/>
      <c r="AC84" s="305"/>
      <c r="AD84" s="305"/>
      <c r="AE84" s="305"/>
      <c r="AF84" s="305"/>
      <c r="AG84" s="305"/>
      <c r="AH84" s="306"/>
      <c r="AI84" s="318" t="s">
        <v>987</v>
      </c>
      <c r="AJ84" s="305"/>
      <c r="AK84" s="305"/>
      <c r="AL84" s="305"/>
      <c r="AM84" s="305"/>
      <c r="AN84" s="305"/>
      <c r="AO84" s="305"/>
      <c r="AP84" s="306"/>
      <c r="AQ84" s="130"/>
      <c r="AR84" s="127"/>
      <c r="AS84" s="127"/>
      <c r="AT84" s="127"/>
      <c r="AU84" s="127"/>
      <c r="AV84" s="127"/>
      <c r="AW84" s="127"/>
      <c r="AX84" s="127"/>
      <c r="AY84" s="127"/>
      <c r="AZ84" s="127"/>
      <c r="BA84" s="127"/>
      <c r="BB84" s="143"/>
      <c r="BC84" s="6"/>
      <c r="BD84" s="251"/>
      <c r="BM84" s="251"/>
      <c r="EW84" s="58"/>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8"/>
    </row>
    <row r="85" spans="1:206" x14ac:dyDescent="0.25">
      <c r="A85" s="5"/>
      <c r="B85" s="63">
        <v>75</v>
      </c>
      <c r="C85" s="105" t="s">
        <v>960</v>
      </c>
      <c r="D85" s="78"/>
      <c r="E85" s="78"/>
      <c r="F85" s="78"/>
      <c r="G85" s="78"/>
      <c r="H85" s="78"/>
      <c r="I85" s="78"/>
      <c r="J85" s="82"/>
      <c r="K85" s="304"/>
      <c r="L85" s="305"/>
      <c r="M85" s="305"/>
      <c r="N85" s="305"/>
      <c r="O85" s="305"/>
      <c r="P85" s="305"/>
      <c r="Q85" s="305"/>
      <c r="R85" s="306"/>
      <c r="S85" s="304" t="s">
        <v>782</v>
      </c>
      <c r="T85" s="305"/>
      <c r="U85" s="305"/>
      <c r="V85" s="226">
        <f>VLOOKUP(S85,Reference!$BX$5:$BY$14,2,FALSE)</f>
        <v>0.105</v>
      </c>
      <c r="W85" s="80"/>
      <c r="X85" s="80"/>
      <c r="Y85" s="80" t="s">
        <v>1047</v>
      </c>
      <c r="Z85" s="81"/>
      <c r="AA85" s="304"/>
      <c r="AB85" s="305"/>
      <c r="AC85" s="305"/>
      <c r="AD85" s="305"/>
      <c r="AE85" s="305"/>
      <c r="AF85" s="305"/>
      <c r="AG85" s="305"/>
      <c r="AH85" s="306"/>
      <c r="AI85" s="318" t="s">
        <v>987</v>
      </c>
      <c r="AJ85" s="305"/>
      <c r="AK85" s="305"/>
      <c r="AL85" s="305"/>
      <c r="AM85" s="305"/>
      <c r="AN85" s="305"/>
      <c r="AO85" s="305"/>
      <c r="AP85" s="306"/>
      <c r="AQ85" s="130"/>
      <c r="AR85" s="127"/>
      <c r="AS85" s="127"/>
      <c r="AT85" s="127"/>
      <c r="AU85" s="127"/>
      <c r="AV85" s="127"/>
      <c r="AW85" s="127"/>
      <c r="AX85" s="127"/>
      <c r="AY85" s="127"/>
      <c r="AZ85" s="127"/>
      <c r="BA85" s="127"/>
      <c r="BB85" s="143"/>
      <c r="BC85" s="6"/>
      <c r="BD85" s="251"/>
      <c r="BM85" s="251"/>
      <c r="EW85" s="58"/>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8"/>
    </row>
    <row r="86" spans="1:206" x14ac:dyDescent="0.25">
      <c r="A86" s="5"/>
      <c r="B86" s="63">
        <v>76</v>
      </c>
      <c r="C86" s="105" t="s">
        <v>1069</v>
      </c>
      <c r="D86" s="78"/>
      <c r="E86" s="78"/>
      <c r="F86" s="78"/>
      <c r="G86" s="78"/>
      <c r="H86" s="78"/>
      <c r="I86" s="78"/>
      <c r="J86" s="82"/>
      <c r="K86" s="304"/>
      <c r="L86" s="305"/>
      <c r="M86" s="305"/>
      <c r="N86" s="305"/>
      <c r="O86" s="305"/>
      <c r="P86" s="305"/>
      <c r="Q86" s="305"/>
      <c r="R86" s="306"/>
      <c r="S86" s="145" t="e">
        <f>Reference!EC2</f>
        <v>#N/A</v>
      </c>
      <c r="T86" s="80"/>
      <c r="U86" s="80"/>
      <c r="V86" s="80"/>
      <c r="W86" s="80"/>
      <c r="X86" s="80"/>
      <c r="Y86" s="80"/>
      <c r="Z86" s="81"/>
      <c r="AA86" s="324" t="str">
        <f>IF(ISBLANK(AA84),"--",AA84)</f>
        <v>--</v>
      </c>
      <c r="AB86" s="325"/>
      <c r="AC86" s="325"/>
      <c r="AD86" s="325"/>
      <c r="AE86" s="325"/>
      <c r="AF86" s="325"/>
      <c r="AG86" s="325"/>
      <c r="AH86" s="326"/>
      <c r="AI86" s="304">
        <v>1</v>
      </c>
      <c r="AJ86" s="305"/>
      <c r="AK86" s="305"/>
      <c r="AL86" s="305"/>
      <c r="AM86" s="305"/>
      <c r="AN86" s="305"/>
      <c r="AO86" s="305"/>
      <c r="AP86" s="306"/>
      <c r="AQ86" s="130"/>
      <c r="AR86" s="127"/>
      <c r="AS86" s="127"/>
      <c r="AT86" s="127"/>
      <c r="AU86" s="127"/>
      <c r="AV86" s="127"/>
      <c r="AW86" s="127"/>
      <c r="AX86" s="127"/>
      <c r="AY86" s="127"/>
      <c r="AZ86" s="127"/>
      <c r="BA86" s="127"/>
      <c r="BB86" s="143"/>
      <c r="BC86" s="6"/>
      <c r="BD86" s="251"/>
      <c r="BM86" s="251"/>
      <c r="EW86" s="58"/>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8"/>
    </row>
    <row r="87" spans="1:206" x14ac:dyDescent="0.25">
      <c r="A87" s="5"/>
      <c r="B87" s="63">
        <v>77</v>
      </c>
      <c r="C87" s="105" t="s">
        <v>1070</v>
      </c>
      <c r="D87" s="78"/>
      <c r="E87" s="78"/>
      <c r="F87" s="78"/>
      <c r="G87" s="78"/>
      <c r="H87" s="78"/>
      <c r="I87" s="78"/>
      <c r="J87" s="82"/>
      <c r="K87" s="304"/>
      <c r="L87" s="305"/>
      <c r="M87" s="305"/>
      <c r="N87" s="305"/>
      <c r="O87" s="305"/>
      <c r="P87" s="305"/>
      <c r="Q87" s="305"/>
      <c r="R87" s="306"/>
      <c r="S87" s="145" t="e">
        <f>Reference!EF2</f>
        <v>#N/A</v>
      </c>
      <c r="T87" s="80"/>
      <c r="U87" s="80"/>
      <c r="V87" s="80"/>
      <c r="W87" s="80"/>
      <c r="X87" s="80"/>
      <c r="Y87" s="80"/>
      <c r="Z87" s="81"/>
      <c r="AA87" s="324" t="str">
        <f>IF(ISBLANK(AA84),"--",AA84)</f>
        <v>--</v>
      </c>
      <c r="AB87" s="325"/>
      <c r="AC87" s="325"/>
      <c r="AD87" s="325"/>
      <c r="AE87" s="325"/>
      <c r="AF87" s="325"/>
      <c r="AG87" s="325"/>
      <c r="AH87" s="326"/>
      <c r="AI87" s="304">
        <v>1</v>
      </c>
      <c r="AJ87" s="305"/>
      <c r="AK87" s="305"/>
      <c r="AL87" s="305"/>
      <c r="AM87" s="305"/>
      <c r="AN87" s="305"/>
      <c r="AO87" s="305"/>
      <c r="AP87" s="306"/>
      <c r="AQ87" s="130"/>
      <c r="AR87" s="127"/>
      <c r="AS87" s="127"/>
      <c r="AT87" s="127"/>
      <c r="AU87" s="127"/>
      <c r="AV87" s="127"/>
      <c r="AW87" s="127"/>
      <c r="AX87" s="127"/>
      <c r="AY87" s="127"/>
      <c r="AZ87" s="127"/>
      <c r="BA87" s="127"/>
      <c r="BB87" s="143"/>
      <c r="BC87" s="6"/>
      <c r="BD87" s="251"/>
      <c r="BM87" s="251"/>
      <c r="EW87" s="58"/>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8"/>
    </row>
    <row r="88" spans="1:206" x14ac:dyDescent="0.25">
      <c r="A88" s="5"/>
      <c r="B88" s="63">
        <v>78</v>
      </c>
      <c r="C88" s="105" t="s">
        <v>1001</v>
      </c>
      <c r="D88" s="78"/>
      <c r="E88" s="78"/>
      <c r="F88" s="78"/>
      <c r="G88" s="78"/>
      <c r="H88" s="78"/>
      <c r="I88" s="78"/>
      <c r="J88" s="82"/>
      <c r="K88" s="304"/>
      <c r="L88" s="305"/>
      <c r="M88" s="305"/>
      <c r="N88" s="305"/>
      <c r="O88" s="305"/>
      <c r="P88" s="305"/>
      <c r="Q88" s="305"/>
      <c r="R88" s="306"/>
      <c r="S88" s="87" t="s">
        <v>987</v>
      </c>
      <c r="T88" s="80"/>
      <c r="U88" s="80"/>
      <c r="V88" s="80"/>
      <c r="W88" s="80"/>
      <c r="X88" s="80"/>
      <c r="Y88" s="80"/>
      <c r="Z88" s="81"/>
      <c r="AA88" s="324" t="s">
        <v>987</v>
      </c>
      <c r="AB88" s="325"/>
      <c r="AC88" s="325"/>
      <c r="AD88" s="325"/>
      <c r="AE88" s="325"/>
      <c r="AF88" s="325"/>
      <c r="AG88" s="325"/>
      <c r="AH88" s="326"/>
      <c r="AI88" s="318" t="s">
        <v>987</v>
      </c>
      <c r="AJ88" s="319"/>
      <c r="AK88" s="319"/>
      <c r="AL88" s="319"/>
      <c r="AM88" s="319"/>
      <c r="AN88" s="319"/>
      <c r="AO88" s="319"/>
      <c r="AP88" s="320"/>
      <c r="AQ88" s="249"/>
      <c r="AR88" s="155"/>
      <c r="AS88" s="155"/>
      <c r="AT88" s="155"/>
      <c r="AU88" s="155"/>
      <c r="AV88" s="155"/>
      <c r="AW88" s="155"/>
      <c r="AX88" s="155"/>
      <c r="AY88" s="155"/>
      <c r="AZ88" s="127"/>
      <c r="BA88" s="127"/>
      <c r="BB88" s="143"/>
      <c r="BC88" s="6"/>
      <c r="BD88" s="251"/>
      <c r="BM88" s="251"/>
      <c r="EW88" s="58"/>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8"/>
    </row>
    <row r="89" spans="1:206" x14ac:dyDescent="0.25">
      <c r="A89" s="5"/>
      <c r="B89" s="63">
        <v>79</v>
      </c>
      <c r="C89" s="105" t="s">
        <v>1015</v>
      </c>
      <c r="D89" s="78"/>
      <c r="E89" s="78"/>
      <c r="F89" s="78"/>
      <c r="G89" s="78"/>
      <c r="H89" s="78"/>
      <c r="I89" s="78"/>
      <c r="J89" s="82"/>
      <c r="K89" s="304"/>
      <c r="L89" s="305"/>
      <c r="M89" s="305"/>
      <c r="N89" s="305"/>
      <c r="O89" s="305"/>
      <c r="P89" s="305"/>
      <c r="Q89" s="305"/>
      <c r="R89" s="306"/>
      <c r="S89" s="304" t="s">
        <v>1258</v>
      </c>
      <c r="T89" s="305"/>
      <c r="U89" s="305"/>
      <c r="V89" s="305"/>
      <c r="W89" s="305"/>
      <c r="X89" s="305"/>
      <c r="Y89" s="305"/>
      <c r="Z89" s="306"/>
      <c r="AA89" s="304"/>
      <c r="AB89" s="305"/>
      <c r="AC89" s="305"/>
      <c r="AD89" s="305"/>
      <c r="AE89" s="305"/>
      <c r="AF89" s="305"/>
      <c r="AG89" s="305"/>
      <c r="AH89" s="306"/>
      <c r="AI89" s="318" t="s">
        <v>987</v>
      </c>
      <c r="AJ89" s="319"/>
      <c r="AK89" s="319"/>
      <c r="AL89" s="319"/>
      <c r="AM89" s="319"/>
      <c r="AN89" s="319"/>
      <c r="AO89" s="319"/>
      <c r="AP89" s="320"/>
      <c r="AQ89" s="130"/>
      <c r="AR89" s="127"/>
      <c r="AS89" s="127"/>
      <c r="AT89" s="127"/>
      <c r="AU89" s="127"/>
      <c r="AV89" s="127"/>
      <c r="AW89" s="127"/>
      <c r="AX89" s="127"/>
      <c r="AY89" s="155"/>
      <c r="AZ89" s="127"/>
      <c r="BA89" s="127"/>
      <c r="BB89" s="143"/>
      <c r="BC89" s="6"/>
      <c r="BD89" s="251"/>
      <c r="BM89" s="251"/>
      <c r="EW89" s="58"/>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8"/>
    </row>
    <row r="90" spans="1:206" x14ac:dyDescent="0.25">
      <c r="A90" s="5"/>
      <c r="B90" s="63">
        <v>80</v>
      </c>
      <c r="C90" s="105" t="s">
        <v>1837</v>
      </c>
      <c r="D90" s="78"/>
      <c r="E90" s="78"/>
      <c r="F90" s="78"/>
      <c r="G90" s="78"/>
      <c r="H90" s="78"/>
      <c r="I90" s="78"/>
      <c r="J90" s="82"/>
      <c r="K90" s="304"/>
      <c r="L90" s="305"/>
      <c r="M90" s="305"/>
      <c r="N90" s="305"/>
      <c r="O90" s="305"/>
      <c r="P90" s="305"/>
      <c r="Q90" s="305"/>
      <c r="R90" s="306"/>
      <c r="S90" s="130"/>
      <c r="T90" s="180"/>
      <c r="U90" s="180"/>
      <c r="V90" s="180"/>
      <c r="W90" s="180"/>
      <c r="X90" s="180"/>
      <c r="Y90" s="180"/>
      <c r="Z90" s="181"/>
      <c r="AA90" s="130"/>
      <c r="AB90" s="127"/>
      <c r="AC90" s="127"/>
      <c r="AD90" s="127"/>
      <c r="AE90" s="127"/>
      <c r="AF90" s="127"/>
      <c r="AG90" s="127"/>
      <c r="AH90" s="143"/>
      <c r="AI90" s="130"/>
      <c r="AJ90" s="127"/>
      <c r="AK90" s="127"/>
      <c r="AL90" s="127"/>
      <c r="AM90" s="127"/>
      <c r="AN90" s="127"/>
      <c r="AO90" s="127"/>
      <c r="AP90" s="143"/>
      <c r="AQ90" s="130"/>
      <c r="AR90" s="127"/>
      <c r="AS90" s="127"/>
      <c r="AT90" s="127"/>
      <c r="AU90" s="127"/>
      <c r="AV90" s="127"/>
      <c r="AW90" s="127"/>
      <c r="AX90" s="127"/>
      <c r="AY90" s="127"/>
      <c r="AZ90" s="127"/>
      <c r="BA90" s="127"/>
      <c r="BB90" s="143"/>
      <c r="BC90" s="6"/>
      <c r="BD90" s="251"/>
      <c r="BM90" s="251"/>
      <c r="EW90" s="58"/>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8"/>
    </row>
    <row r="91" spans="1:206" x14ac:dyDescent="0.25">
      <c r="A91" s="5"/>
      <c r="B91" s="63">
        <v>81</v>
      </c>
      <c r="C91" s="105" t="s">
        <v>1942</v>
      </c>
      <c r="D91" s="78"/>
      <c r="E91" s="78"/>
      <c r="F91" s="78"/>
      <c r="G91" s="78"/>
      <c r="H91" s="78"/>
      <c r="I91" s="78"/>
      <c r="J91" s="82"/>
      <c r="K91" s="304"/>
      <c r="L91" s="305"/>
      <c r="M91" s="305"/>
      <c r="N91" s="305"/>
      <c r="O91" s="305"/>
      <c r="P91" s="305"/>
      <c r="Q91" s="305"/>
      <c r="R91" s="306"/>
      <c r="S91" s="249" t="s">
        <v>987</v>
      </c>
      <c r="T91" s="180"/>
      <c r="U91" s="180"/>
      <c r="V91" s="180"/>
      <c r="W91" s="180"/>
      <c r="X91" s="180"/>
      <c r="Y91" s="180"/>
      <c r="Z91" s="181"/>
      <c r="AA91" s="304"/>
      <c r="AB91" s="305"/>
      <c r="AC91" s="305"/>
      <c r="AD91" s="305"/>
      <c r="AE91" s="305"/>
      <c r="AF91" s="305"/>
      <c r="AG91" s="305"/>
      <c r="AH91" s="306"/>
      <c r="AI91" s="130"/>
      <c r="AJ91" s="127"/>
      <c r="AK91" s="127"/>
      <c r="AL91" s="127"/>
      <c r="AM91" s="127"/>
      <c r="AN91" s="127"/>
      <c r="AO91" s="127"/>
      <c r="AP91" s="143"/>
      <c r="AQ91" s="130"/>
      <c r="AR91" s="127"/>
      <c r="AS91" s="127"/>
      <c r="AT91" s="127"/>
      <c r="AU91" s="127"/>
      <c r="AV91" s="127"/>
      <c r="AW91" s="127"/>
      <c r="AX91" s="127"/>
      <c r="AY91" s="127"/>
      <c r="AZ91" s="127"/>
      <c r="BA91" s="127"/>
      <c r="BB91" s="143"/>
      <c r="BC91" s="6"/>
      <c r="BD91" s="251"/>
      <c r="BM91" s="251"/>
      <c r="EW91" s="58"/>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8"/>
    </row>
    <row r="92" spans="1:206" x14ac:dyDescent="0.25">
      <c r="A92" s="5"/>
      <c r="B92" s="63">
        <v>82</v>
      </c>
      <c r="C92" s="105" t="s">
        <v>1943</v>
      </c>
      <c r="D92" s="78"/>
      <c r="E92" s="78"/>
      <c r="F92" s="78"/>
      <c r="G92" s="78"/>
      <c r="H92" s="78"/>
      <c r="I92" s="78"/>
      <c r="J92" s="82"/>
      <c r="K92" s="304"/>
      <c r="L92" s="305"/>
      <c r="M92" s="305"/>
      <c r="N92" s="305"/>
      <c r="O92" s="305"/>
      <c r="P92" s="305"/>
      <c r="Q92" s="305"/>
      <c r="R92" s="306"/>
      <c r="S92" s="249" t="s">
        <v>987</v>
      </c>
      <c r="T92" s="180"/>
      <c r="U92" s="180"/>
      <c r="V92" s="180"/>
      <c r="W92" s="180"/>
      <c r="X92" s="180"/>
      <c r="Y92" s="180"/>
      <c r="Z92" s="181"/>
      <c r="AA92" s="304"/>
      <c r="AB92" s="305"/>
      <c r="AC92" s="305"/>
      <c r="AD92" s="305"/>
      <c r="AE92" s="305"/>
      <c r="AF92" s="305"/>
      <c r="AG92" s="305"/>
      <c r="AH92" s="306"/>
      <c r="AI92" s="130"/>
      <c r="AJ92" s="127"/>
      <c r="AK92" s="127"/>
      <c r="AL92" s="127"/>
      <c r="AM92" s="127"/>
      <c r="AN92" s="127"/>
      <c r="AO92" s="127"/>
      <c r="AP92" s="143"/>
      <c r="AQ92" s="130"/>
      <c r="AR92" s="127"/>
      <c r="AS92" s="127"/>
      <c r="AT92" s="127"/>
      <c r="AU92" s="127"/>
      <c r="AV92" s="127"/>
      <c r="AW92" s="127"/>
      <c r="AX92" s="127"/>
      <c r="AY92" s="127"/>
      <c r="AZ92" s="127"/>
      <c r="BA92" s="127"/>
      <c r="BB92" s="143"/>
      <c r="BC92" s="6"/>
      <c r="BD92" s="251"/>
      <c r="BM92" s="251"/>
      <c r="EW92" s="58"/>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8"/>
    </row>
    <row r="93" spans="1:206" x14ac:dyDescent="0.25">
      <c r="A93" s="5"/>
      <c r="B93" s="63">
        <v>83</v>
      </c>
      <c r="C93" s="105" t="s">
        <v>1838</v>
      </c>
      <c r="D93" s="78"/>
      <c r="E93" s="78"/>
      <c r="F93" s="78"/>
      <c r="G93" s="78"/>
      <c r="H93" s="78"/>
      <c r="I93" s="78"/>
      <c r="J93" s="82"/>
      <c r="K93" s="130"/>
      <c r="L93" s="127"/>
      <c r="M93" s="127"/>
      <c r="N93" s="127"/>
      <c r="O93" s="127"/>
      <c r="P93" s="127"/>
      <c r="Q93" s="127"/>
      <c r="R93" s="143"/>
      <c r="S93" s="130"/>
      <c r="T93" s="180"/>
      <c r="U93" s="180"/>
      <c r="V93" s="180"/>
      <c r="W93" s="180"/>
      <c r="X93" s="180"/>
      <c r="Y93" s="180"/>
      <c r="Z93" s="181"/>
      <c r="AA93" s="130"/>
      <c r="AB93" s="180"/>
      <c r="AC93" s="180"/>
      <c r="AD93" s="180"/>
      <c r="AE93" s="180"/>
      <c r="AF93" s="180"/>
      <c r="AG93" s="180"/>
      <c r="AH93" s="181"/>
      <c r="AI93" s="130"/>
      <c r="AJ93" s="180"/>
      <c r="AK93" s="180"/>
      <c r="AL93" s="180"/>
      <c r="AM93" s="180"/>
      <c r="AN93" s="180"/>
      <c r="AO93" s="180"/>
      <c r="AP93" s="181"/>
      <c r="AQ93" s="130"/>
      <c r="AR93" s="180"/>
      <c r="AS93" s="180"/>
      <c r="AT93" s="180"/>
      <c r="AU93" s="180"/>
      <c r="AV93" s="180"/>
      <c r="AW93" s="180"/>
      <c r="AX93" s="180"/>
      <c r="AY93" s="180"/>
      <c r="AZ93" s="180"/>
      <c r="BA93" s="180"/>
      <c r="BB93" s="181"/>
      <c r="BC93" s="6"/>
      <c r="BD93" s="251"/>
      <c r="BM93" s="251"/>
      <c r="EW93" s="58"/>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8"/>
    </row>
    <row r="94" spans="1:206" ht="15.75" thickBot="1" x14ac:dyDescent="0.3">
      <c r="A94" s="5"/>
      <c r="B94" s="63">
        <v>84</v>
      </c>
      <c r="C94" s="106" t="s">
        <v>1185</v>
      </c>
      <c r="D94" s="91"/>
      <c r="E94" s="91"/>
      <c r="F94" s="91"/>
      <c r="G94" s="91"/>
      <c r="H94" s="91"/>
      <c r="I94" s="91"/>
      <c r="J94" s="92"/>
      <c r="K94" s="271"/>
      <c r="L94" s="272"/>
      <c r="M94" s="272"/>
      <c r="N94" s="272"/>
      <c r="O94" s="272"/>
      <c r="P94" s="272"/>
      <c r="Q94" s="272"/>
      <c r="R94" s="273"/>
      <c r="S94" s="271"/>
      <c r="T94" s="274"/>
      <c r="U94" s="274"/>
      <c r="V94" s="274"/>
      <c r="W94" s="274"/>
      <c r="X94" s="274"/>
      <c r="Y94" s="274"/>
      <c r="Z94" s="275"/>
      <c r="AA94" s="271"/>
      <c r="AB94" s="274"/>
      <c r="AC94" s="274"/>
      <c r="AD94" s="274"/>
      <c r="AE94" s="274"/>
      <c r="AF94" s="274"/>
      <c r="AG94" s="274"/>
      <c r="AH94" s="275"/>
      <c r="AI94" s="271"/>
      <c r="AJ94" s="274"/>
      <c r="AK94" s="274"/>
      <c r="AL94" s="274"/>
      <c r="AM94" s="274"/>
      <c r="AN94" s="274"/>
      <c r="AO94" s="274"/>
      <c r="AP94" s="275"/>
      <c r="AQ94" s="271"/>
      <c r="AR94" s="274"/>
      <c r="AS94" s="274"/>
      <c r="AT94" s="274"/>
      <c r="AU94" s="274"/>
      <c r="AV94" s="274"/>
      <c r="AW94" s="274"/>
      <c r="AX94" s="274"/>
      <c r="AY94" s="274"/>
      <c r="AZ94" s="274"/>
      <c r="BA94" s="274"/>
      <c r="BB94" s="275"/>
      <c r="BC94" s="6"/>
      <c r="BD94" s="251"/>
      <c r="BM94" s="251"/>
      <c r="EW94" s="58"/>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8"/>
    </row>
    <row r="95" spans="1:206" ht="15.75" thickBot="1" x14ac:dyDescent="0.3">
      <c r="A95" s="5"/>
      <c r="B95" s="63">
        <v>85</v>
      </c>
      <c r="C95" s="117" t="s">
        <v>58</v>
      </c>
      <c r="D95" s="109"/>
      <c r="E95" s="109"/>
      <c r="F95" s="109"/>
      <c r="G95" s="109"/>
      <c r="H95" s="109"/>
      <c r="I95" s="109"/>
      <c r="J95" s="109"/>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58"/>
      <c r="BD95" s="251"/>
      <c r="BM95" s="251"/>
      <c r="EW95" s="58"/>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8"/>
    </row>
    <row r="96" spans="1:206" ht="18" x14ac:dyDescent="0.35">
      <c r="A96" s="5"/>
      <c r="B96" s="63">
        <v>86</v>
      </c>
      <c r="C96" s="72" t="s">
        <v>1196</v>
      </c>
      <c r="D96" s="72"/>
      <c r="E96" s="72" t="s">
        <v>1079</v>
      </c>
      <c r="F96" s="72" t="s">
        <v>1197</v>
      </c>
      <c r="G96" s="72"/>
      <c r="H96" s="72"/>
      <c r="I96" s="72"/>
      <c r="J96" s="72"/>
      <c r="K96" s="72"/>
      <c r="L96" s="72"/>
      <c r="M96" s="72"/>
      <c r="N96" s="72"/>
      <c r="O96" s="72"/>
      <c r="P96" s="72"/>
      <c r="Q96" s="72"/>
      <c r="R96" s="72"/>
      <c r="S96" s="72" t="s">
        <v>1079</v>
      </c>
      <c r="T96" s="74" t="str">
        <f>IF(K82="None",0,AI82)</f>
        <v>--</v>
      </c>
      <c r="U96" s="74"/>
      <c r="V96" s="74"/>
      <c r="W96" s="74"/>
      <c r="X96" s="72"/>
      <c r="Y96" s="72"/>
      <c r="Z96" s="72"/>
      <c r="AA96" s="72"/>
      <c r="AB96" s="76"/>
      <c r="AC96" s="72" t="s">
        <v>2023</v>
      </c>
      <c r="AD96" s="72"/>
      <c r="AE96" s="72" t="s">
        <v>1079</v>
      </c>
      <c r="AF96" s="72" t="s">
        <v>2024</v>
      </c>
      <c r="AG96" s="72"/>
      <c r="AH96" s="72"/>
      <c r="AI96" s="72"/>
      <c r="AJ96" s="72"/>
      <c r="AK96" s="72"/>
      <c r="AL96" s="72"/>
      <c r="AM96" s="72"/>
      <c r="AN96" s="72"/>
      <c r="AO96" s="72"/>
      <c r="AP96" s="72"/>
      <c r="AQ96" s="72"/>
      <c r="AR96" s="72" t="s">
        <v>1079</v>
      </c>
      <c r="AS96" s="342" t="e">
        <f>'Screw Thrust Calculator'!B17</f>
        <v>#DIV/0!</v>
      </c>
      <c r="AT96" s="342"/>
      <c r="AU96" s="342"/>
      <c r="AV96" s="342"/>
      <c r="AW96" s="342"/>
      <c r="AX96" s="72"/>
      <c r="AY96" s="72" t="s">
        <v>1213</v>
      </c>
      <c r="AZ96" s="72"/>
      <c r="BA96" s="72"/>
      <c r="BB96" s="72"/>
      <c r="BC96" s="58"/>
      <c r="BD96" s="251"/>
      <c r="BM96" s="251"/>
      <c r="EW96" s="58"/>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8"/>
    </row>
    <row r="97" spans="1:206" ht="18.75" thickBot="1" x14ac:dyDescent="0.4">
      <c r="A97" s="5"/>
      <c r="B97" s="63">
        <v>87</v>
      </c>
      <c r="C97" s="78" t="s">
        <v>1226</v>
      </c>
      <c r="D97" s="78"/>
      <c r="E97" s="78" t="s">
        <v>1079</v>
      </c>
      <c r="F97" s="78" t="s">
        <v>1187</v>
      </c>
      <c r="G97" s="78"/>
      <c r="H97" s="78"/>
      <c r="I97" s="78"/>
      <c r="J97" s="78"/>
      <c r="K97" s="78"/>
      <c r="L97" s="78"/>
      <c r="M97" s="78"/>
      <c r="N97" s="78"/>
      <c r="O97" s="78"/>
      <c r="P97" s="78"/>
      <c r="Q97" s="78"/>
      <c r="R97" s="78"/>
      <c r="S97" s="78" t="s">
        <v>1079</v>
      </c>
      <c r="T97" s="205" t="str">
        <f>IF(T96="--","--",(P13*12)/(T96+1))</f>
        <v>--</v>
      </c>
      <c r="U97" s="80"/>
      <c r="V97" s="80"/>
      <c r="W97" s="80"/>
      <c r="X97" s="118" t="s">
        <v>1047</v>
      </c>
      <c r="Y97" s="78"/>
      <c r="Z97" s="78"/>
      <c r="AA97" s="78"/>
      <c r="AB97" s="82"/>
      <c r="AC97" s="78"/>
      <c r="AD97" s="303" t="s">
        <v>2022</v>
      </c>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58"/>
      <c r="BD97" s="251"/>
      <c r="BM97" s="251"/>
      <c r="EW97" s="59"/>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9"/>
    </row>
    <row r="98" spans="1:206" ht="18" x14ac:dyDescent="0.35">
      <c r="A98" s="5"/>
      <c r="B98" s="63">
        <v>88</v>
      </c>
      <c r="C98" s="78" t="s">
        <v>1227</v>
      </c>
      <c r="D98" s="78"/>
      <c r="E98" s="78" t="s">
        <v>1079</v>
      </c>
      <c r="F98" s="78" t="s">
        <v>1186</v>
      </c>
      <c r="G98" s="78"/>
      <c r="H98" s="78"/>
      <c r="I98" s="78"/>
      <c r="J98" s="78"/>
      <c r="K98" s="78"/>
      <c r="L98" s="78"/>
      <c r="M98" s="78"/>
      <c r="N98" s="78"/>
      <c r="O98" s="78"/>
      <c r="P98" s="78"/>
      <c r="Q98" s="78"/>
      <c r="R98" s="78"/>
      <c r="S98" s="78" t="s">
        <v>1079</v>
      </c>
      <c r="T98" s="205" t="e">
        <f>P13*Reference!K2</f>
        <v>#N/A</v>
      </c>
      <c r="U98" s="80"/>
      <c r="V98" s="80"/>
      <c r="W98" s="80"/>
      <c r="X98" s="118" t="s">
        <v>1190</v>
      </c>
      <c r="Y98" s="78"/>
      <c r="Z98" s="78"/>
      <c r="AA98" s="78"/>
      <c r="AB98" s="82"/>
      <c r="AC98" s="78"/>
      <c r="AD98" s="303"/>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58"/>
      <c r="BD98" s="251"/>
      <c r="BM98" s="251"/>
    </row>
    <row r="99" spans="1:206" ht="18" x14ac:dyDescent="0.35">
      <c r="A99" s="5"/>
      <c r="B99" s="63">
        <v>89</v>
      </c>
      <c r="C99" s="78" t="s">
        <v>1217</v>
      </c>
      <c r="D99" s="78"/>
      <c r="E99" s="78" t="s">
        <v>1079</v>
      </c>
      <c r="F99" s="78" t="s">
        <v>1188</v>
      </c>
      <c r="G99" s="78"/>
      <c r="H99" s="78"/>
      <c r="I99" s="78"/>
      <c r="J99" s="78"/>
      <c r="K99" s="78"/>
      <c r="L99" s="78"/>
      <c r="M99" s="78"/>
      <c r="N99" s="78"/>
      <c r="O99" s="78"/>
      <c r="P99" s="78"/>
      <c r="Q99" s="78"/>
      <c r="R99" s="78"/>
      <c r="S99" s="78" t="s">
        <v>1079</v>
      </c>
      <c r="T99" s="80" t="e">
        <f>Reference!DX2</f>
        <v>#N/A</v>
      </c>
      <c r="U99" s="80"/>
      <c r="V99" s="80"/>
      <c r="W99" s="80"/>
      <c r="X99" s="118" t="s">
        <v>1143</v>
      </c>
      <c r="Y99" s="78"/>
      <c r="Z99" s="78"/>
      <c r="AA99" s="78"/>
      <c r="AB99" s="82"/>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58"/>
      <c r="BD99" s="251"/>
      <c r="BM99" s="251"/>
    </row>
    <row r="100" spans="1:206" ht="18.75" x14ac:dyDescent="0.35">
      <c r="A100" s="5"/>
      <c r="B100" s="63">
        <v>90</v>
      </c>
      <c r="C100" s="78" t="s">
        <v>1228</v>
      </c>
      <c r="D100" s="78"/>
      <c r="E100" s="78" t="s">
        <v>1079</v>
      </c>
      <c r="F100" s="78" t="s">
        <v>1189</v>
      </c>
      <c r="G100" s="78"/>
      <c r="H100" s="78"/>
      <c r="I100" s="78"/>
      <c r="J100" s="78"/>
      <c r="K100" s="78"/>
      <c r="L100" s="78"/>
      <c r="M100" s="78"/>
      <c r="N100" s="78"/>
      <c r="O100" s="78"/>
      <c r="P100" s="78"/>
      <c r="Q100" s="78"/>
      <c r="R100" s="78"/>
      <c r="S100" s="78" t="s">
        <v>1079</v>
      </c>
      <c r="T100" s="226" t="e">
        <f>PI()*(T66^4-T67^4)/64</f>
        <v>#N/A</v>
      </c>
      <c r="U100" s="80"/>
      <c r="V100" s="80"/>
      <c r="W100" s="80"/>
      <c r="X100" s="118" t="s">
        <v>1191</v>
      </c>
      <c r="Y100" s="78"/>
      <c r="Z100" s="78"/>
      <c r="AA100" s="78"/>
      <c r="AB100" s="82"/>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58"/>
      <c r="BD100" s="251"/>
      <c r="BM100" s="251"/>
    </row>
    <row r="101" spans="1:206" ht="18" x14ac:dyDescent="0.35">
      <c r="A101" s="5"/>
      <c r="B101" s="63">
        <v>91</v>
      </c>
      <c r="C101" s="78" t="s">
        <v>1229</v>
      </c>
      <c r="D101" s="78"/>
      <c r="E101" s="78" t="s">
        <v>1079</v>
      </c>
      <c r="F101" s="78" t="s">
        <v>1193</v>
      </c>
      <c r="G101" s="78"/>
      <c r="H101" s="78"/>
      <c r="I101" s="78"/>
      <c r="J101" s="78"/>
      <c r="K101" s="78"/>
      <c r="L101" s="78"/>
      <c r="M101" s="78"/>
      <c r="N101" s="78"/>
      <c r="O101" s="78"/>
      <c r="P101" s="78"/>
      <c r="Q101" s="78"/>
      <c r="R101" s="78"/>
      <c r="S101" s="78" t="s">
        <v>1079</v>
      </c>
      <c r="T101" s="205">
        <f>AW16</f>
        <v>0</v>
      </c>
      <c r="U101" s="80"/>
      <c r="V101" s="80"/>
      <c r="W101" s="80"/>
      <c r="X101" s="118" t="s">
        <v>1057</v>
      </c>
      <c r="Y101" s="78"/>
      <c r="Z101" s="78"/>
      <c r="AA101" s="78"/>
      <c r="AB101" s="82"/>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58"/>
      <c r="BD101" s="251"/>
      <c r="BM101" s="251"/>
    </row>
    <row r="102" spans="1:206" ht="18" x14ac:dyDescent="0.35">
      <c r="A102" s="5"/>
      <c r="B102" s="63">
        <v>92</v>
      </c>
      <c r="C102" s="78" t="s">
        <v>1230</v>
      </c>
      <c r="D102" s="78"/>
      <c r="E102" s="78" t="s">
        <v>1079</v>
      </c>
      <c r="F102" s="78" t="s">
        <v>1194</v>
      </c>
      <c r="G102" s="78"/>
      <c r="H102" s="78"/>
      <c r="I102" s="78"/>
      <c r="J102" s="78"/>
      <c r="K102" s="78"/>
      <c r="L102" s="78"/>
      <c r="M102" s="78"/>
      <c r="N102" s="78"/>
      <c r="O102" s="78"/>
      <c r="P102" s="78"/>
      <c r="Q102" s="78"/>
      <c r="R102" s="78"/>
      <c r="S102" s="78" t="s">
        <v>1079</v>
      </c>
      <c r="T102" s="205">
        <f>AP16</f>
        <v>0</v>
      </c>
      <c r="U102" s="80"/>
      <c r="V102" s="80"/>
      <c r="W102" s="80"/>
      <c r="X102" s="118" t="s">
        <v>1057</v>
      </c>
      <c r="Y102" s="78"/>
      <c r="Z102" s="78"/>
      <c r="AA102" s="78"/>
      <c r="AB102" s="82"/>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58"/>
      <c r="BD102" s="251"/>
      <c r="BM102" s="251"/>
    </row>
    <row r="103" spans="1:206" ht="18" x14ac:dyDescent="0.35">
      <c r="A103" s="5"/>
      <c r="B103" s="63">
        <v>93</v>
      </c>
      <c r="C103" s="78" t="s">
        <v>1231</v>
      </c>
      <c r="D103" s="78"/>
      <c r="E103" s="78" t="s">
        <v>1079</v>
      </c>
      <c r="F103" s="78" t="s">
        <v>1195</v>
      </c>
      <c r="G103" s="78"/>
      <c r="H103" s="78"/>
      <c r="I103" s="78"/>
      <c r="J103" s="78"/>
      <c r="K103" s="78"/>
      <c r="L103" s="78"/>
      <c r="M103" s="78"/>
      <c r="N103" s="78"/>
      <c r="O103" s="78"/>
      <c r="P103" s="78"/>
      <c r="Q103" s="78"/>
      <c r="R103" s="78"/>
      <c r="S103" s="78" t="s">
        <v>1079</v>
      </c>
      <c r="T103" s="80">
        <f>T101-T102</f>
        <v>0</v>
      </c>
      <c r="U103" s="80"/>
      <c r="V103" s="80"/>
      <c r="W103" s="80"/>
      <c r="X103" s="118" t="s">
        <v>1200</v>
      </c>
      <c r="Y103" s="78"/>
      <c r="Z103" s="78"/>
      <c r="AA103" s="78"/>
      <c r="AB103" s="82"/>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58"/>
      <c r="BD103" s="251"/>
      <c r="BM103" s="251"/>
    </row>
    <row r="104" spans="1:206" x14ac:dyDescent="0.25">
      <c r="A104" s="5"/>
      <c r="B104" s="63">
        <v>94</v>
      </c>
      <c r="C104" s="78" t="s">
        <v>930</v>
      </c>
      <c r="D104" s="78"/>
      <c r="E104" s="78" t="s">
        <v>1079</v>
      </c>
      <c r="F104" s="78" t="s">
        <v>929</v>
      </c>
      <c r="G104" s="78"/>
      <c r="H104" s="78"/>
      <c r="I104" s="78"/>
      <c r="J104" s="78"/>
      <c r="K104" s="78"/>
      <c r="L104" s="78"/>
      <c r="M104" s="78"/>
      <c r="N104" s="78"/>
      <c r="O104" s="78"/>
      <c r="P104" s="78"/>
      <c r="Q104" s="78"/>
      <c r="R104" s="78"/>
      <c r="S104" s="78" t="s">
        <v>1079</v>
      </c>
      <c r="T104" s="237" t="str">
        <f>IF(J53="None","",VLOOKUP(J53,Reference!BU4:BV14,2,FALSE))</f>
        <v/>
      </c>
      <c r="U104" s="80"/>
      <c r="V104" s="80"/>
      <c r="W104" s="80"/>
      <c r="X104" s="238" t="s">
        <v>1209</v>
      </c>
      <c r="Y104" s="78"/>
      <c r="Z104" s="78"/>
      <c r="AA104" s="78"/>
      <c r="AB104" s="82"/>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58"/>
      <c r="BD104" s="251"/>
      <c r="BM104" s="251"/>
    </row>
    <row r="105" spans="1:206" x14ac:dyDescent="0.25">
      <c r="A105" s="5"/>
      <c r="B105" s="63">
        <v>95</v>
      </c>
      <c r="C105" s="78" t="s">
        <v>931</v>
      </c>
      <c r="D105" s="78"/>
      <c r="E105" s="78" t="s">
        <v>1079</v>
      </c>
      <c r="F105" s="78" t="s">
        <v>928</v>
      </c>
      <c r="G105" s="78"/>
      <c r="H105" s="78"/>
      <c r="I105" s="78"/>
      <c r="J105" s="78"/>
      <c r="K105" s="78"/>
      <c r="L105" s="78"/>
      <c r="M105" s="78"/>
      <c r="N105" s="78"/>
      <c r="O105" s="78"/>
      <c r="P105" s="78"/>
      <c r="Q105" s="78"/>
      <c r="R105" s="78"/>
      <c r="S105" s="78" t="s">
        <v>1079</v>
      </c>
      <c r="T105" s="237" t="e">
        <f>VLOOKUP(AA84,Reference!BU4:BV14,2,FALSE)</f>
        <v>#N/A</v>
      </c>
      <c r="U105" s="80"/>
      <c r="V105" s="80"/>
      <c r="W105" s="80"/>
      <c r="X105" s="238" t="s">
        <v>1209</v>
      </c>
      <c r="Y105" s="78"/>
      <c r="Z105" s="78"/>
      <c r="AA105" s="78"/>
      <c r="AB105" s="82"/>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58"/>
      <c r="BD105" s="251"/>
      <c r="BM105" s="251"/>
    </row>
    <row r="106" spans="1:206" x14ac:dyDescent="0.25">
      <c r="A106" s="5"/>
      <c r="B106" s="63">
        <v>96</v>
      </c>
      <c r="C106" s="78" t="s">
        <v>934</v>
      </c>
      <c r="D106" s="78"/>
      <c r="E106" s="78" t="s">
        <v>1079</v>
      </c>
      <c r="F106" s="239" t="s">
        <v>935</v>
      </c>
      <c r="G106" s="239"/>
      <c r="H106" s="239"/>
      <c r="I106" s="239"/>
      <c r="J106" s="239"/>
      <c r="K106" s="239"/>
      <c r="L106" s="239"/>
      <c r="M106" s="239"/>
      <c r="N106" s="239"/>
      <c r="O106" s="239"/>
      <c r="P106" s="239"/>
      <c r="Q106" s="239"/>
      <c r="R106" s="239"/>
      <c r="S106" s="239" t="s">
        <v>1079</v>
      </c>
      <c r="T106" s="198" t="str">
        <f>IF(J27&gt;0,".05","0")</f>
        <v>0</v>
      </c>
      <c r="U106" s="198"/>
      <c r="V106" s="198"/>
      <c r="W106" s="198"/>
      <c r="X106" s="240"/>
      <c r="Y106" s="239"/>
      <c r="Z106" s="239"/>
      <c r="AA106" s="239"/>
      <c r="AB106" s="241"/>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58"/>
      <c r="BD106" s="251"/>
      <c r="BM106" s="251"/>
    </row>
    <row r="107" spans="1:206" ht="18" x14ac:dyDescent="0.35">
      <c r="A107" s="5"/>
      <c r="B107" s="63">
        <v>97</v>
      </c>
      <c r="C107" s="78" t="s">
        <v>1232</v>
      </c>
      <c r="D107" s="78"/>
      <c r="E107" s="78" t="s">
        <v>1079</v>
      </c>
      <c r="F107" s="78" t="s">
        <v>968</v>
      </c>
      <c r="G107" s="78"/>
      <c r="H107" s="78"/>
      <c r="I107" s="78"/>
      <c r="J107" s="78"/>
      <c r="K107" s="78"/>
      <c r="L107" s="78"/>
      <c r="M107" s="78"/>
      <c r="N107" s="78"/>
      <c r="O107" s="78"/>
      <c r="P107" s="78"/>
      <c r="Q107" s="78"/>
      <c r="R107" s="78"/>
      <c r="S107" s="78" t="s">
        <v>1079</v>
      </c>
      <c r="T107" s="80" t="e">
        <f>Reference!I3</f>
        <v>#N/A</v>
      </c>
      <c r="U107" s="80"/>
      <c r="V107" s="80"/>
      <c r="W107" s="80"/>
      <c r="X107" s="118" t="s">
        <v>1047</v>
      </c>
      <c r="Y107" s="78"/>
      <c r="Z107" s="78"/>
      <c r="AA107" s="78"/>
      <c r="AB107" s="82"/>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58"/>
      <c r="BD107" s="251"/>
      <c r="BM107" s="251"/>
    </row>
    <row r="108" spans="1:206" x14ac:dyDescent="0.25">
      <c r="A108" s="5"/>
      <c r="B108" s="63">
        <v>98</v>
      </c>
      <c r="C108" s="78" t="s">
        <v>936</v>
      </c>
      <c r="D108" s="78"/>
      <c r="E108" s="239" t="s">
        <v>1079</v>
      </c>
      <c r="F108" s="239" t="s">
        <v>937</v>
      </c>
      <c r="G108" s="239"/>
      <c r="H108" s="239"/>
      <c r="I108" s="239"/>
      <c r="J108" s="239"/>
      <c r="K108" s="239"/>
      <c r="L108" s="239"/>
      <c r="M108" s="239"/>
      <c r="N108" s="239"/>
      <c r="O108" s="239"/>
      <c r="P108" s="239"/>
      <c r="Q108" s="239"/>
      <c r="R108" s="239"/>
      <c r="S108" s="239" t="s">
        <v>1079</v>
      </c>
      <c r="T108" s="242" t="e">
        <f>Reference!CO2</f>
        <v>#N/A</v>
      </c>
      <c r="U108" s="198"/>
      <c r="V108" s="198"/>
      <c r="W108" s="198"/>
      <c r="X108" s="240"/>
      <c r="Y108" s="239"/>
      <c r="Z108" s="239"/>
      <c r="AA108" s="239"/>
      <c r="AB108" s="241"/>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58"/>
      <c r="BD108" s="251"/>
      <c r="BM108" s="251"/>
    </row>
    <row r="109" spans="1:206" ht="18" x14ac:dyDescent="0.35">
      <c r="A109" s="5"/>
      <c r="B109" s="63">
        <v>99</v>
      </c>
      <c r="C109" s="78" t="s">
        <v>1207</v>
      </c>
      <c r="D109" s="78"/>
      <c r="E109" s="78" t="s">
        <v>1079</v>
      </c>
      <c r="F109" s="78" t="s">
        <v>1204</v>
      </c>
      <c r="G109" s="78"/>
      <c r="H109" s="78"/>
      <c r="I109" s="78"/>
      <c r="J109" s="78"/>
      <c r="K109" s="78"/>
      <c r="L109" s="78"/>
      <c r="M109" s="78"/>
      <c r="N109" s="78"/>
      <c r="O109" s="78"/>
      <c r="P109" s="78"/>
      <c r="Q109" s="78"/>
      <c r="R109" s="78"/>
      <c r="S109" s="78" t="s">
        <v>1079</v>
      </c>
      <c r="T109" s="205" t="e">
        <f>(J21*P42*(PI()/12))</f>
        <v>#N/A</v>
      </c>
      <c r="U109" s="80"/>
      <c r="V109" s="80"/>
      <c r="W109" s="80"/>
      <c r="X109" s="118" t="s">
        <v>1206</v>
      </c>
      <c r="Y109" s="78"/>
      <c r="Z109" s="78"/>
      <c r="AA109" s="78"/>
      <c r="AB109" s="82"/>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58"/>
      <c r="BD109" s="251"/>
      <c r="BM109" s="251"/>
    </row>
    <row r="110" spans="1:206" ht="18" x14ac:dyDescent="0.35">
      <c r="A110" s="5"/>
      <c r="B110" s="63">
        <v>100</v>
      </c>
      <c r="C110" s="78" t="s">
        <v>1208</v>
      </c>
      <c r="D110" s="78"/>
      <c r="E110" s="78" t="s">
        <v>1079</v>
      </c>
      <c r="F110" s="78" t="s">
        <v>1205</v>
      </c>
      <c r="G110" s="78"/>
      <c r="H110" s="78"/>
      <c r="I110" s="78"/>
      <c r="J110" s="78"/>
      <c r="K110" s="78"/>
      <c r="L110" s="78"/>
      <c r="M110" s="78"/>
      <c r="N110" s="78"/>
      <c r="O110" s="78"/>
      <c r="P110" s="78"/>
      <c r="Q110" s="78"/>
      <c r="R110" s="78"/>
      <c r="S110" s="78" t="s">
        <v>1079</v>
      </c>
      <c r="T110" s="205" t="e">
        <f>(O22*P42*(1-T106)/12)</f>
        <v>#N/A</v>
      </c>
      <c r="U110" s="80"/>
      <c r="V110" s="80"/>
      <c r="W110" s="80"/>
      <c r="X110" s="118" t="s">
        <v>1206</v>
      </c>
      <c r="Y110" s="78"/>
      <c r="Z110" s="78"/>
      <c r="AA110" s="78"/>
      <c r="AB110" s="82"/>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58"/>
      <c r="BD110" s="251"/>
      <c r="BM110" s="251"/>
    </row>
    <row r="111" spans="1:206" ht="18" x14ac:dyDescent="0.35">
      <c r="A111" s="5"/>
      <c r="B111" s="63">
        <v>101</v>
      </c>
      <c r="C111" s="78" t="s">
        <v>1214</v>
      </c>
      <c r="D111" s="78"/>
      <c r="E111" s="78" t="s">
        <v>1079</v>
      </c>
      <c r="F111" s="78" t="s">
        <v>970</v>
      </c>
      <c r="G111" s="78"/>
      <c r="H111" s="78"/>
      <c r="I111" s="78"/>
      <c r="J111" s="78"/>
      <c r="K111" s="78"/>
      <c r="L111" s="78"/>
      <c r="M111" s="78"/>
      <c r="N111" s="78"/>
      <c r="O111" s="78"/>
      <c r="P111" s="78"/>
      <c r="Q111" s="78"/>
      <c r="R111" s="78"/>
      <c r="S111" s="78" t="s">
        <v>1079</v>
      </c>
      <c r="T111" s="80" t="e">
        <f>Reference!L2</f>
        <v>#N/A</v>
      </c>
      <c r="U111" s="80"/>
      <c r="V111" s="80"/>
      <c r="W111" s="80"/>
      <c r="X111" s="118" t="s">
        <v>1047</v>
      </c>
      <c r="Y111" s="78"/>
      <c r="Z111" s="78"/>
      <c r="AA111" s="78"/>
      <c r="AB111" s="82"/>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58"/>
      <c r="BD111" s="251"/>
      <c r="BM111" s="251"/>
    </row>
    <row r="112" spans="1:206" ht="18" x14ac:dyDescent="0.35">
      <c r="A112" s="5"/>
      <c r="B112" s="63">
        <v>102</v>
      </c>
      <c r="C112" s="78" t="s">
        <v>1215</v>
      </c>
      <c r="D112" s="78"/>
      <c r="E112" s="78" t="s">
        <v>1079</v>
      </c>
      <c r="F112" s="78" t="s">
        <v>973</v>
      </c>
      <c r="G112" s="78"/>
      <c r="H112" s="78"/>
      <c r="I112" s="78"/>
      <c r="J112" s="78"/>
      <c r="K112" s="78"/>
      <c r="L112" s="78"/>
      <c r="M112" s="78"/>
      <c r="N112" s="78"/>
      <c r="O112" s="78"/>
      <c r="P112" s="78"/>
      <c r="Q112" s="78"/>
      <c r="R112" s="78"/>
      <c r="S112" s="78" t="s">
        <v>1079</v>
      </c>
      <c r="T112" s="80" t="e">
        <f>Reference!M2</f>
        <v>#N/A</v>
      </c>
      <c r="U112" s="80"/>
      <c r="V112" s="80"/>
      <c r="W112" s="80"/>
      <c r="X112" s="118" t="s">
        <v>1047</v>
      </c>
      <c r="Y112" s="78"/>
      <c r="Z112" s="78"/>
      <c r="AA112" s="78"/>
      <c r="AB112" s="82"/>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58"/>
      <c r="BD112" s="251"/>
      <c r="BM112" s="251"/>
    </row>
    <row r="113" spans="1:65" ht="18" x14ac:dyDescent="0.35">
      <c r="A113" s="5"/>
      <c r="B113" s="63">
        <v>103</v>
      </c>
      <c r="C113" s="78" t="s">
        <v>1216</v>
      </c>
      <c r="D113" s="78"/>
      <c r="E113" s="78" t="s">
        <v>1079</v>
      </c>
      <c r="F113" s="78" t="s">
        <v>974</v>
      </c>
      <c r="G113" s="78"/>
      <c r="H113" s="78"/>
      <c r="I113" s="78"/>
      <c r="J113" s="78"/>
      <c r="K113" s="78"/>
      <c r="L113" s="78"/>
      <c r="M113" s="78"/>
      <c r="N113" s="78"/>
      <c r="O113" s="78"/>
      <c r="P113" s="78"/>
      <c r="Q113" s="78"/>
      <c r="R113" s="78"/>
      <c r="S113" s="78" t="s">
        <v>1079</v>
      </c>
      <c r="T113" s="80" t="e">
        <f>Reference!N2</f>
        <v>#N/A</v>
      </c>
      <c r="U113" s="80"/>
      <c r="V113" s="80"/>
      <c r="W113" s="80"/>
      <c r="X113" s="118" t="s">
        <v>1047</v>
      </c>
      <c r="Y113" s="78"/>
      <c r="Z113" s="78"/>
      <c r="AA113" s="78"/>
      <c r="AB113" s="82"/>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58"/>
      <c r="BD113" s="251"/>
      <c r="BM113" s="251"/>
    </row>
    <row r="114" spans="1:65" ht="18" x14ac:dyDescent="0.35">
      <c r="A114" s="5"/>
      <c r="B114" s="63">
        <v>104</v>
      </c>
      <c r="C114" s="78" t="s">
        <v>1218</v>
      </c>
      <c r="D114" s="78"/>
      <c r="E114" s="78" t="s">
        <v>1079</v>
      </c>
      <c r="F114" s="78" t="s">
        <v>969</v>
      </c>
      <c r="G114" s="78"/>
      <c r="H114" s="78"/>
      <c r="I114" s="78"/>
      <c r="J114" s="78"/>
      <c r="K114" s="78"/>
      <c r="L114" s="78"/>
      <c r="M114" s="78"/>
      <c r="N114" s="78"/>
      <c r="O114" s="78"/>
      <c r="P114" s="78"/>
      <c r="Q114" s="78"/>
      <c r="R114" s="78"/>
      <c r="S114" s="78" t="s">
        <v>1079</v>
      </c>
      <c r="T114" s="205" t="e">
        <f>(T62/(T111/2))</f>
        <v>#DIV/0!</v>
      </c>
      <c r="U114" s="80"/>
      <c r="V114" s="80"/>
      <c r="W114" s="80"/>
      <c r="X114" s="118" t="s">
        <v>1213</v>
      </c>
      <c r="Y114" s="78"/>
      <c r="Z114" s="78"/>
      <c r="AA114" s="78"/>
      <c r="AB114" s="82"/>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58"/>
      <c r="BD114" s="251"/>
      <c r="BM114" s="251"/>
    </row>
    <row r="115" spans="1:65" x14ac:dyDescent="0.25">
      <c r="A115" s="5"/>
      <c r="B115" s="63">
        <v>105</v>
      </c>
      <c r="C115" s="78" t="s">
        <v>982</v>
      </c>
      <c r="D115" s="78"/>
      <c r="E115" s="78" t="s">
        <v>1079</v>
      </c>
      <c r="F115" s="78" t="s">
        <v>1219</v>
      </c>
      <c r="G115" s="78"/>
      <c r="H115" s="78"/>
      <c r="I115" s="78"/>
      <c r="J115" s="78"/>
      <c r="K115" s="78"/>
      <c r="L115" s="78"/>
      <c r="M115" s="78"/>
      <c r="N115" s="78"/>
      <c r="O115" s="78"/>
      <c r="P115" s="78"/>
      <c r="Q115" s="78"/>
      <c r="R115" s="78"/>
      <c r="S115" s="78" t="s">
        <v>1079</v>
      </c>
      <c r="T115" s="205" t="e">
        <f>(P13*12)/O22</f>
        <v>#DIV/0!</v>
      </c>
      <c r="U115" s="80"/>
      <c r="V115" s="80"/>
      <c r="W115" s="80"/>
      <c r="X115" s="118"/>
      <c r="Y115" s="78"/>
      <c r="Z115" s="78"/>
      <c r="AA115" s="78"/>
      <c r="AB115" s="82"/>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58"/>
      <c r="BD115" s="251"/>
      <c r="BM115" s="251"/>
    </row>
    <row r="116" spans="1:65" x14ac:dyDescent="0.25">
      <c r="A116" s="5"/>
      <c r="B116" s="63">
        <v>106</v>
      </c>
      <c r="C116" s="78" t="s">
        <v>984</v>
      </c>
      <c r="D116" s="78"/>
      <c r="E116" s="78" t="s">
        <v>1079</v>
      </c>
      <c r="F116" s="78" t="s">
        <v>1220</v>
      </c>
      <c r="G116" s="78"/>
      <c r="H116" s="78"/>
      <c r="I116" s="78"/>
      <c r="J116" s="78"/>
      <c r="K116" s="78"/>
      <c r="L116" s="78"/>
      <c r="M116" s="78"/>
      <c r="N116" s="78"/>
      <c r="O116" s="78"/>
      <c r="P116" s="78"/>
      <c r="Q116" s="78"/>
      <c r="R116" s="78"/>
      <c r="S116" s="78" t="s">
        <v>1079</v>
      </c>
      <c r="T116" s="226" t="e">
        <f>(T111/T113)</f>
        <v>#N/A</v>
      </c>
      <c r="U116" s="80"/>
      <c r="V116" s="80"/>
      <c r="W116" s="80"/>
      <c r="X116" s="118"/>
      <c r="Y116" s="78"/>
      <c r="Z116" s="78"/>
      <c r="AA116" s="78"/>
      <c r="AB116" s="82"/>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58"/>
      <c r="BD116" s="251"/>
      <c r="BM116" s="251"/>
    </row>
    <row r="117" spans="1:65" ht="15.75" thickBot="1" x14ac:dyDescent="0.3">
      <c r="A117" s="5"/>
      <c r="B117" s="63">
        <v>107</v>
      </c>
      <c r="C117" s="110" t="s">
        <v>983</v>
      </c>
      <c r="D117" s="110"/>
      <c r="E117" s="110" t="s">
        <v>1079</v>
      </c>
      <c r="F117" s="110" t="s">
        <v>1221</v>
      </c>
      <c r="G117" s="110"/>
      <c r="H117" s="110"/>
      <c r="I117" s="110"/>
      <c r="J117" s="110"/>
      <c r="K117" s="110"/>
      <c r="L117" s="110"/>
      <c r="M117" s="110"/>
      <c r="N117" s="110"/>
      <c r="O117" s="110"/>
      <c r="P117" s="110"/>
      <c r="Q117" s="110"/>
      <c r="R117" s="110"/>
      <c r="S117" s="110" t="s">
        <v>1079</v>
      </c>
      <c r="T117" s="243" t="e">
        <f>(3*T116-1)/(3*T116-3)</f>
        <v>#N/A</v>
      </c>
      <c r="U117" s="210"/>
      <c r="V117" s="210"/>
      <c r="W117" s="210"/>
      <c r="X117" s="121"/>
      <c r="Y117" s="110"/>
      <c r="Z117" s="110"/>
      <c r="AA117" s="110"/>
      <c r="AB117" s="116"/>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58"/>
      <c r="BD117" s="251"/>
      <c r="BM117" s="251"/>
    </row>
    <row r="118" spans="1:65" x14ac:dyDescent="0.25">
      <c r="A118" s="5"/>
      <c r="B118" s="63">
        <v>108</v>
      </c>
      <c r="C118" s="245" t="s">
        <v>58</v>
      </c>
      <c r="D118" s="244"/>
      <c r="E118" s="244"/>
      <c r="F118" s="244"/>
      <c r="G118" s="244"/>
      <c r="H118" s="244"/>
      <c r="I118" s="244"/>
      <c r="J118" s="244"/>
      <c r="K118" s="244"/>
      <c r="L118" s="244"/>
      <c r="M118" s="244"/>
      <c r="N118" s="244"/>
      <c r="O118" s="244"/>
      <c r="P118" s="244"/>
      <c r="Q118" s="244"/>
      <c r="R118" s="244"/>
      <c r="S118" s="244"/>
      <c r="T118" s="245"/>
      <c r="U118" s="245"/>
      <c r="V118" s="245"/>
      <c r="W118" s="245"/>
      <c r="X118" s="245"/>
      <c r="Y118" s="245"/>
      <c r="Z118" s="245"/>
      <c r="AA118" s="245"/>
      <c r="AB118" s="245"/>
      <c r="AC118" s="245"/>
      <c r="AD118" s="245"/>
      <c r="AE118" s="245"/>
      <c r="AF118" s="245"/>
      <c r="AG118" s="245"/>
      <c r="AH118" s="245"/>
      <c r="AI118" s="245"/>
      <c r="AJ118" s="245"/>
      <c r="AK118" s="245"/>
      <c r="AL118" s="245"/>
      <c r="AM118" s="245"/>
      <c r="AN118" s="245"/>
      <c r="AO118" s="245"/>
      <c r="AP118" s="245"/>
      <c r="AQ118" s="245"/>
      <c r="AR118" s="245"/>
      <c r="AS118" s="245"/>
      <c r="AT118" s="245"/>
      <c r="AU118" s="245"/>
      <c r="AV118" s="245"/>
      <c r="AW118" s="245"/>
      <c r="AX118" s="245"/>
      <c r="AY118" s="245"/>
      <c r="AZ118" s="245"/>
      <c r="BA118" s="245"/>
      <c r="BB118" s="245"/>
      <c r="BC118" s="58"/>
      <c r="BD118" s="253"/>
      <c r="BM118" s="251"/>
    </row>
    <row r="119" spans="1:65" x14ac:dyDescent="0.25">
      <c r="A119" s="5"/>
      <c r="B119" s="63">
        <v>109</v>
      </c>
      <c r="C119" s="246" t="s">
        <v>1222</v>
      </c>
      <c r="D119" s="246"/>
      <c r="E119" s="246"/>
      <c r="F119" s="246"/>
      <c r="G119" s="246"/>
      <c r="H119" s="246"/>
      <c r="I119" s="246"/>
      <c r="J119" s="246"/>
      <c r="K119" s="246"/>
      <c r="L119" s="246"/>
      <c r="M119" s="246" t="s">
        <v>1223</v>
      </c>
      <c r="N119" s="246"/>
      <c r="O119" s="246"/>
      <c r="P119" s="246"/>
      <c r="Q119" s="246"/>
      <c r="R119" s="246"/>
      <c r="S119" s="246"/>
      <c r="T119" s="246" t="s">
        <v>1224</v>
      </c>
      <c r="U119" s="246"/>
      <c r="V119" s="246"/>
      <c r="W119" s="246"/>
      <c r="X119" s="246"/>
      <c r="Y119" s="246"/>
      <c r="Z119" s="246"/>
      <c r="AA119" s="118"/>
      <c r="AB119" s="246" t="s">
        <v>1182</v>
      </c>
      <c r="AC119" s="246"/>
      <c r="AD119" s="246"/>
      <c r="AE119" s="246"/>
      <c r="AF119" s="246"/>
      <c r="AG119" s="246"/>
      <c r="AH119" s="118"/>
      <c r="AI119" s="246" t="s">
        <v>1225</v>
      </c>
      <c r="AJ119" s="246"/>
      <c r="AK119" s="246"/>
      <c r="AL119" s="246"/>
      <c r="AM119" s="246"/>
      <c r="AN119" s="246"/>
      <c r="AO119" s="246"/>
      <c r="AP119" s="246"/>
      <c r="AQ119" s="246"/>
      <c r="AR119" s="246"/>
      <c r="AS119" s="246"/>
      <c r="AT119" s="246"/>
      <c r="AU119" s="246"/>
      <c r="AV119" s="246"/>
      <c r="AW119" s="246"/>
      <c r="AX119" s="246"/>
      <c r="AY119" s="246"/>
      <c r="AZ119" s="246"/>
      <c r="BA119" s="246"/>
      <c r="BB119" s="246"/>
      <c r="BC119" s="58"/>
      <c r="BD119" s="253"/>
      <c r="BM119" s="251"/>
    </row>
    <row r="120" spans="1:65" x14ac:dyDescent="0.25">
      <c r="A120" s="5"/>
      <c r="B120" s="63">
        <v>110</v>
      </c>
      <c r="C120" s="246" t="s">
        <v>1198</v>
      </c>
      <c r="D120" s="118"/>
      <c r="E120" s="118"/>
      <c r="F120" s="118"/>
      <c r="G120" s="118"/>
      <c r="H120" s="118"/>
      <c r="I120" s="118"/>
      <c r="J120" s="118"/>
      <c r="K120" s="118"/>
      <c r="L120" s="216" t="str">
        <f>IF($J$23="Shafted","Y",IF($J$23="Ribbon","Y","N"))</f>
        <v>N</v>
      </c>
      <c r="M120" s="131">
        <v>0.25</v>
      </c>
      <c r="N120" s="180"/>
      <c r="O120" s="180"/>
      <c r="P120" s="180"/>
      <c r="Q120" s="118"/>
      <c r="R120" s="118" t="s">
        <v>1047</v>
      </c>
      <c r="S120" s="118"/>
      <c r="T120" s="226" t="e">
        <f>(5*T98*T97^3)/(384*T99*T100)</f>
        <v>#N/A</v>
      </c>
      <c r="U120" s="80"/>
      <c r="V120" s="80"/>
      <c r="W120" s="80"/>
      <c r="X120" s="118"/>
      <c r="Y120" s="118" t="s">
        <v>1047</v>
      </c>
      <c r="Z120" s="118"/>
      <c r="AA120" s="118"/>
      <c r="AB120" s="118" t="e">
        <f>IF(T120&lt;M120,"OK","FAIL")</f>
        <v>#N/A</v>
      </c>
      <c r="AC120" s="118"/>
      <c r="AD120" s="118"/>
      <c r="AE120" s="118"/>
      <c r="AF120" s="118"/>
      <c r="AG120" s="118"/>
      <c r="AH120" s="118"/>
      <c r="AI120" s="238" t="s">
        <v>987</v>
      </c>
      <c r="AJ120" s="118"/>
      <c r="AK120" s="118"/>
      <c r="AL120" s="118"/>
      <c r="AM120" s="118"/>
      <c r="AN120" s="118"/>
      <c r="AO120" s="118"/>
      <c r="AP120" s="118"/>
      <c r="AQ120" s="118"/>
      <c r="AR120" s="118"/>
      <c r="AS120" s="118"/>
      <c r="AT120" s="118"/>
      <c r="AU120" s="118"/>
      <c r="AV120" s="118"/>
      <c r="AW120" s="118"/>
      <c r="AX120" s="118"/>
      <c r="AY120" s="118"/>
      <c r="AZ120" s="118"/>
      <c r="BA120" s="118"/>
      <c r="BB120" s="118"/>
      <c r="BC120" s="58"/>
      <c r="BD120" s="253"/>
      <c r="BM120" s="251"/>
    </row>
    <row r="121" spans="1:65" x14ac:dyDescent="0.25">
      <c r="A121" s="5"/>
      <c r="B121" s="63">
        <v>111</v>
      </c>
      <c r="C121" s="246" t="s">
        <v>1192</v>
      </c>
      <c r="D121" s="118"/>
      <c r="E121" s="118"/>
      <c r="F121" s="118"/>
      <c r="G121" s="118"/>
      <c r="H121" s="118"/>
      <c r="I121" s="118"/>
      <c r="J121" s="118"/>
      <c r="K121" s="118"/>
      <c r="L121" s="216" t="str">
        <f>IF($J$23="Shafted","Y",IF($J$23="Ribbon","Y","N"))</f>
        <v>N</v>
      </c>
      <c r="M121" s="226">
        <f>IF(J56="3",0.135,0.15)</f>
        <v>0.15</v>
      </c>
      <c r="N121" s="80"/>
      <c r="O121" s="80"/>
      <c r="P121" s="80"/>
      <c r="Q121" s="118"/>
      <c r="R121" s="118" t="s">
        <v>1107</v>
      </c>
      <c r="S121" s="118"/>
      <c r="T121" s="226" t="e">
        <f>(180/PI())*(3.2*T120)/(P13*12)</f>
        <v>#N/A</v>
      </c>
      <c r="U121" s="80"/>
      <c r="V121" s="80"/>
      <c r="W121" s="80"/>
      <c r="X121" s="118"/>
      <c r="Y121" s="118" t="s">
        <v>1107</v>
      </c>
      <c r="Z121" s="118"/>
      <c r="AA121" s="118"/>
      <c r="AB121" s="118" t="e">
        <f>IF(T121&lt;M121,"OK","FAIL")</f>
        <v>#N/A</v>
      </c>
      <c r="AC121" s="118"/>
      <c r="AD121" s="118"/>
      <c r="AE121" s="118"/>
      <c r="AF121" s="118"/>
      <c r="AG121" s="118"/>
      <c r="AH121" s="118"/>
      <c r="AI121" s="238" t="s">
        <v>987</v>
      </c>
      <c r="AJ121" s="118"/>
      <c r="AK121" s="118"/>
      <c r="AL121" s="118"/>
      <c r="AM121" s="118"/>
      <c r="AN121" s="118"/>
      <c r="AO121" s="118"/>
      <c r="AP121" s="118"/>
      <c r="AQ121" s="118"/>
      <c r="AR121" s="118"/>
      <c r="AS121" s="118"/>
      <c r="AT121" s="118"/>
      <c r="AU121" s="118"/>
      <c r="AV121" s="118"/>
      <c r="AW121" s="118"/>
      <c r="AX121" s="118"/>
      <c r="AY121" s="118"/>
      <c r="AZ121" s="118"/>
      <c r="BA121" s="118"/>
      <c r="BB121" s="118"/>
      <c r="BC121" s="58"/>
      <c r="BD121" s="253"/>
      <c r="BM121" s="251"/>
    </row>
    <row r="122" spans="1:65" x14ac:dyDescent="0.25">
      <c r="A122" s="5"/>
      <c r="B122" s="63">
        <v>112</v>
      </c>
      <c r="C122" s="246" t="s">
        <v>1199</v>
      </c>
      <c r="D122" s="118"/>
      <c r="E122" s="118"/>
      <c r="F122" s="118"/>
      <c r="G122" s="118"/>
      <c r="H122" s="118"/>
      <c r="I122" s="118"/>
      <c r="J122" s="118"/>
      <c r="K122" s="118"/>
      <c r="L122" s="216" t="str">
        <f>IF($J$23="Shafted","Y",IF($J$23="Ribbon","Y","N"))</f>
        <v>N</v>
      </c>
      <c r="M122" s="131">
        <v>0.125</v>
      </c>
      <c r="N122" s="180"/>
      <c r="O122" s="180"/>
      <c r="P122" s="180"/>
      <c r="Q122" s="118"/>
      <c r="R122" s="118" t="s">
        <v>1047</v>
      </c>
      <c r="S122" s="118"/>
      <c r="T122" s="226" t="e">
        <f>T97*T103*T104</f>
        <v>#VALUE!</v>
      </c>
      <c r="U122" s="80"/>
      <c r="V122" s="80"/>
      <c r="W122" s="80"/>
      <c r="X122" s="118"/>
      <c r="Y122" s="118" t="s">
        <v>1047</v>
      </c>
      <c r="Z122" s="118"/>
      <c r="AA122" s="118"/>
      <c r="AB122" s="118" t="e">
        <f>IF(T122&lt;M122,"OK","FAIL")</f>
        <v>#VALUE!</v>
      </c>
      <c r="AC122" s="118"/>
      <c r="AD122" s="118"/>
      <c r="AE122" s="118"/>
      <c r="AF122" s="118"/>
      <c r="AG122" s="118"/>
      <c r="AH122" s="118"/>
      <c r="AI122" s="238" t="s">
        <v>987</v>
      </c>
      <c r="AJ122" s="118"/>
      <c r="AK122" s="118"/>
      <c r="AL122" s="118"/>
      <c r="AM122" s="118"/>
      <c r="AN122" s="118"/>
      <c r="AO122" s="118"/>
      <c r="AP122" s="118"/>
      <c r="AQ122" s="118"/>
      <c r="AR122" s="118"/>
      <c r="AS122" s="118"/>
      <c r="AT122" s="118"/>
      <c r="AU122" s="118"/>
      <c r="AV122" s="118"/>
      <c r="AW122" s="118"/>
      <c r="AX122" s="118"/>
      <c r="AY122" s="118"/>
      <c r="AZ122" s="118"/>
      <c r="BA122" s="118"/>
      <c r="BB122" s="118"/>
      <c r="BC122" s="58"/>
      <c r="BD122" s="253"/>
      <c r="BM122" s="251"/>
    </row>
    <row r="123" spans="1:65" x14ac:dyDescent="0.25">
      <c r="A123" s="5"/>
      <c r="B123" s="63">
        <v>113</v>
      </c>
      <c r="C123" s="246" t="s">
        <v>1201</v>
      </c>
      <c r="D123" s="118"/>
      <c r="E123" s="118"/>
      <c r="F123" s="118"/>
      <c r="G123" s="118"/>
      <c r="H123" s="118"/>
      <c r="I123" s="118"/>
      <c r="J123" s="118"/>
      <c r="K123" s="118"/>
      <c r="L123" s="216" t="str">
        <f>IF($J$23="Shafted","Y",IF($J$23="Ribbon","Y","N"))</f>
        <v>N</v>
      </c>
      <c r="M123" s="131">
        <v>0.125</v>
      </c>
      <c r="N123" s="180"/>
      <c r="O123" s="180"/>
      <c r="P123" s="180"/>
      <c r="Q123" s="118"/>
      <c r="R123" s="118" t="s">
        <v>1047</v>
      </c>
      <c r="S123" s="118"/>
      <c r="T123" s="226" t="e">
        <f>(P13*12)*T103*T105</f>
        <v>#N/A</v>
      </c>
      <c r="U123" s="80"/>
      <c r="V123" s="80"/>
      <c r="W123" s="80"/>
      <c r="X123" s="118"/>
      <c r="Y123" s="118" t="s">
        <v>1047</v>
      </c>
      <c r="Z123" s="118"/>
      <c r="AA123" s="118"/>
      <c r="AB123" s="118" t="e">
        <f>IF(T123&lt;M123,"OK","FAIL")</f>
        <v>#N/A</v>
      </c>
      <c r="AC123" s="118"/>
      <c r="AD123" s="118"/>
      <c r="AE123" s="118"/>
      <c r="AF123" s="118"/>
      <c r="AG123" s="118"/>
      <c r="AH123" s="118"/>
      <c r="AI123" s="238" t="s">
        <v>987</v>
      </c>
      <c r="AJ123" s="118"/>
      <c r="AK123" s="118"/>
      <c r="AL123" s="118"/>
      <c r="AM123" s="118"/>
      <c r="AN123" s="118"/>
      <c r="AO123" s="118"/>
      <c r="AP123" s="118"/>
      <c r="AQ123" s="118"/>
      <c r="AR123" s="118"/>
      <c r="AS123" s="118"/>
      <c r="AT123" s="118"/>
      <c r="AU123" s="118"/>
      <c r="AV123" s="118"/>
      <c r="AW123" s="118"/>
      <c r="AX123" s="118"/>
      <c r="AY123" s="118"/>
      <c r="AZ123" s="118"/>
      <c r="BA123" s="118"/>
      <c r="BB123" s="118"/>
      <c r="BC123" s="58"/>
      <c r="BD123" s="253"/>
      <c r="BM123" s="251"/>
    </row>
    <row r="124" spans="1:65" x14ac:dyDescent="0.25">
      <c r="A124" s="5"/>
      <c r="B124" s="63">
        <v>114</v>
      </c>
      <c r="C124" s="246" t="s">
        <v>1202</v>
      </c>
      <c r="D124" s="118"/>
      <c r="E124" s="118"/>
      <c r="F124" s="118"/>
      <c r="G124" s="118"/>
      <c r="H124" s="118"/>
      <c r="I124" s="118"/>
      <c r="J124" s="118"/>
      <c r="K124" s="118"/>
      <c r="L124" s="216"/>
      <c r="M124" s="80">
        <v>2000</v>
      </c>
      <c r="N124" s="80"/>
      <c r="O124" s="80"/>
      <c r="P124" s="80"/>
      <c r="Q124" s="118"/>
      <c r="R124" s="118"/>
      <c r="S124" s="118"/>
      <c r="T124" s="224" t="e">
        <f>T109*(T108-4)/T107</f>
        <v>#N/A</v>
      </c>
      <c r="U124" s="80"/>
      <c r="V124" s="80"/>
      <c r="W124" s="80"/>
      <c r="X124" s="118"/>
      <c r="Y124" s="118"/>
      <c r="Z124" s="118"/>
      <c r="AA124" s="118"/>
      <c r="AB124" s="118" t="e">
        <f>IF(T124&gt;M124,"ACCELERATED WEAR","OK")</f>
        <v>#N/A</v>
      </c>
      <c r="AC124" s="118"/>
      <c r="AD124" s="118"/>
      <c r="AE124" s="118"/>
      <c r="AF124" s="118"/>
      <c r="AG124" s="118"/>
      <c r="AH124" s="118"/>
      <c r="AI124" s="118" t="e">
        <f>IF(AB124="OK","--","See Note 2")</f>
        <v>#N/A</v>
      </c>
      <c r="AJ124" s="118"/>
      <c r="AK124" s="118"/>
      <c r="AL124" s="118"/>
      <c r="AM124" s="118"/>
      <c r="AN124" s="118"/>
      <c r="AO124" s="118"/>
      <c r="AP124" s="118"/>
      <c r="AQ124" s="118"/>
      <c r="AR124" s="118"/>
      <c r="AS124" s="118"/>
      <c r="AT124" s="118"/>
      <c r="AU124" s="118"/>
      <c r="AV124" s="118"/>
      <c r="AW124" s="118"/>
      <c r="AX124" s="118"/>
      <c r="AY124" s="118"/>
      <c r="AZ124" s="118"/>
      <c r="BA124" s="118"/>
      <c r="BB124" s="118"/>
      <c r="BC124" s="58"/>
      <c r="BD124" s="253"/>
      <c r="BM124" s="251"/>
    </row>
    <row r="125" spans="1:65" x14ac:dyDescent="0.25">
      <c r="A125" s="5"/>
      <c r="B125" s="63">
        <v>115</v>
      </c>
      <c r="C125" s="246" t="s">
        <v>1203</v>
      </c>
      <c r="D125" s="118"/>
      <c r="E125" s="118"/>
      <c r="F125" s="118"/>
      <c r="G125" s="118"/>
      <c r="H125" s="118"/>
      <c r="I125" s="118"/>
      <c r="J125" s="118"/>
      <c r="K125" s="118"/>
      <c r="L125" s="216"/>
      <c r="M125" s="80">
        <v>2000</v>
      </c>
      <c r="N125" s="80"/>
      <c r="O125" s="80"/>
      <c r="P125" s="80"/>
      <c r="Q125" s="118"/>
      <c r="R125" s="118"/>
      <c r="S125" s="118"/>
      <c r="T125" s="224" t="e">
        <f>T110*(T108-4)*2.5/V84</f>
        <v>#N/A</v>
      </c>
      <c r="U125" s="80"/>
      <c r="V125" s="80"/>
      <c r="W125" s="80"/>
      <c r="X125" s="118"/>
      <c r="Y125" s="118"/>
      <c r="Z125" s="118"/>
      <c r="AA125" s="118"/>
      <c r="AB125" s="118" t="e">
        <f>IF(T125&gt;M125,"ACCELERATED WEAR","OK")</f>
        <v>#N/A</v>
      </c>
      <c r="AC125" s="118"/>
      <c r="AD125" s="118"/>
      <c r="AE125" s="118"/>
      <c r="AF125" s="118"/>
      <c r="AG125" s="118"/>
      <c r="AH125" s="118"/>
      <c r="AI125" s="118" t="e">
        <f>IF(AB125="OK","--","See Note 2")</f>
        <v>#N/A</v>
      </c>
      <c r="AJ125" s="118"/>
      <c r="AK125" s="118"/>
      <c r="AL125" s="118"/>
      <c r="AM125" s="118"/>
      <c r="AN125" s="118"/>
      <c r="AO125" s="118"/>
      <c r="AP125" s="118"/>
      <c r="AQ125" s="118"/>
      <c r="AR125" s="118"/>
      <c r="AS125" s="118"/>
      <c r="AT125" s="118"/>
      <c r="AU125" s="118"/>
      <c r="AV125" s="118"/>
      <c r="AW125" s="118"/>
      <c r="AX125" s="118"/>
      <c r="AY125" s="118"/>
      <c r="AZ125" s="118"/>
      <c r="BA125" s="118"/>
      <c r="BB125" s="118"/>
      <c r="BC125" s="58"/>
      <c r="BD125" s="253"/>
      <c r="BM125" s="251"/>
    </row>
    <row r="126" spans="1:65" x14ac:dyDescent="0.25">
      <c r="A126" s="5"/>
      <c r="B126" s="63">
        <v>116</v>
      </c>
      <c r="C126" s="246" t="s">
        <v>981</v>
      </c>
      <c r="D126" s="118"/>
      <c r="E126" s="118"/>
      <c r="F126" s="118"/>
      <c r="G126" s="118"/>
      <c r="H126" s="118"/>
      <c r="I126" s="118"/>
      <c r="J126" s="118"/>
      <c r="K126" s="118"/>
      <c r="L126" s="216" t="str">
        <f>IF($J$23="Shafted","N",IF($J$23="Ribbon","N","Y"))</f>
        <v>Y</v>
      </c>
      <c r="M126" s="131">
        <v>0.08</v>
      </c>
      <c r="N126" s="180"/>
      <c r="O126" s="180"/>
      <c r="P126" s="180"/>
      <c r="Q126" s="118"/>
      <c r="R126" s="118" t="s">
        <v>1212</v>
      </c>
      <c r="S126" s="118"/>
      <c r="T126" s="226" t="e">
        <f>((12*T114*(P13*12)*(T111/2)^2)/(T99*T112*T113^3))/P13</f>
        <v>#DIV/0!</v>
      </c>
      <c r="U126" s="80"/>
      <c r="V126" s="80"/>
      <c r="W126" s="80"/>
      <c r="X126" s="118"/>
      <c r="Y126" s="118" t="s">
        <v>1212</v>
      </c>
      <c r="Z126" s="118"/>
      <c r="AA126" s="118"/>
      <c r="AB126" s="118" t="e">
        <f>IF(T126&lt;M126,"OK","FAIL")</f>
        <v>#DIV/0!</v>
      </c>
      <c r="AC126" s="118"/>
      <c r="AD126" s="118"/>
      <c r="AE126" s="118"/>
      <c r="AF126" s="118"/>
      <c r="AG126" s="118"/>
      <c r="AH126" s="118"/>
      <c r="AI126" s="238"/>
      <c r="AJ126" s="118"/>
      <c r="AK126" s="118"/>
      <c r="AL126" s="118"/>
      <c r="AM126" s="118"/>
      <c r="AN126" s="118"/>
      <c r="AO126" s="118"/>
      <c r="AP126" s="118"/>
      <c r="AQ126" s="118"/>
      <c r="AR126" s="118"/>
      <c r="AS126" s="118"/>
      <c r="AT126" s="118"/>
      <c r="AU126" s="118"/>
      <c r="AV126" s="118"/>
      <c r="AW126" s="118"/>
      <c r="AX126" s="118"/>
      <c r="AY126" s="118"/>
      <c r="AZ126" s="118"/>
      <c r="BA126" s="118"/>
      <c r="BB126" s="118"/>
      <c r="BC126" s="58"/>
      <c r="BD126" s="253"/>
      <c r="BM126" s="251"/>
    </row>
    <row r="127" spans="1:65" x14ac:dyDescent="0.25">
      <c r="A127" s="5"/>
      <c r="B127" s="63">
        <v>117</v>
      </c>
      <c r="C127" s="246" t="s">
        <v>1211</v>
      </c>
      <c r="D127" s="118"/>
      <c r="E127" s="118"/>
      <c r="F127" s="118"/>
      <c r="G127" s="118"/>
      <c r="H127" s="118"/>
      <c r="I127" s="118"/>
      <c r="J127" s="118"/>
      <c r="K127" s="118"/>
      <c r="L127" s="216" t="str">
        <f>IF($J$23="Shafted","N",IF($J$23="Ribbon","N","Y"))</f>
        <v>Y</v>
      </c>
      <c r="M127" s="282" t="e">
        <f>Reference!BR1*1</f>
        <v>#N/A</v>
      </c>
      <c r="N127" s="224"/>
      <c r="O127" s="224"/>
      <c r="P127" s="224"/>
      <c r="Q127" s="118"/>
      <c r="R127" s="118" t="s">
        <v>1143</v>
      </c>
      <c r="S127" s="118"/>
      <c r="T127" s="224" t="e">
        <f>(T114*6*(T111/2)*T117)/(T112*T113^2)</f>
        <v>#DIV/0!</v>
      </c>
      <c r="U127" s="224"/>
      <c r="V127" s="224"/>
      <c r="W127" s="224"/>
      <c r="X127" s="118"/>
      <c r="Y127" s="118" t="s">
        <v>1143</v>
      </c>
      <c r="Z127" s="118"/>
      <c r="AA127" s="118"/>
      <c r="AB127" s="118" t="e">
        <f>IF(T127&lt;M127,"OK","FAIL")</f>
        <v>#DIV/0!</v>
      </c>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58"/>
      <c r="BD127" s="253"/>
      <c r="BM127" s="251"/>
    </row>
    <row r="128" spans="1:65" ht="15.75" thickBot="1" x14ac:dyDescent="0.3">
      <c r="A128" s="5"/>
      <c r="B128" s="63">
        <v>118</v>
      </c>
      <c r="C128" s="277" t="s">
        <v>1210</v>
      </c>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58"/>
      <c r="BD128" s="253"/>
      <c r="BM128" s="251"/>
    </row>
    <row r="129" spans="1:65" x14ac:dyDescent="0.25">
      <c r="A129" s="5"/>
      <c r="B129" s="63">
        <v>119</v>
      </c>
      <c r="C129" s="278"/>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58"/>
      <c r="BC129" s="58"/>
      <c r="BD129" s="251"/>
      <c r="BM129" s="251"/>
    </row>
    <row r="130" spans="1:65" ht="15.75" thickBot="1" x14ac:dyDescent="0.3">
      <c r="A130" s="5"/>
      <c r="B130" s="64">
        <v>120</v>
      </c>
      <c r="C130" s="279" t="str">
        <f>"JMS SCREW CONVEYOR DESIGN SHEET REV. "&amp;Revision!A3</f>
        <v>JMS SCREW CONVEYOR DESIGN SHEET REV. 21</v>
      </c>
      <c r="D130" s="120"/>
      <c r="E130" s="120"/>
      <c r="F130" s="120"/>
      <c r="G130" s="120"/>
      <c r="H130" s="120"/>
      <c r="I130" s="120"/>
      <c r="J130" s="120"/>
      <c r="K130" s="120"/>
      <c r="L130" s="120"/>
      <c r="M130" s="120"/>
      <c r="N130" s="120"/>
      <c r="O130" s="120"/>
      <c r="P130" s="120"/>
      <c r="Q130" s="171"/>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53"/>
      <c r="BC130" s="59"/>
      <c r="BD130" s="251"/>
      <c r="BM130" s="251"/>
    </row>
    <row r="131" spans="1:65"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M131" s="5"/>
    </row>
    <row r="132" spans="1:65"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M132" s="5"/>
    </row>
    <row r="133" spans="1:65"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M133" s="5"/>
    </row>
    <row r="134" spans="1:65"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M134" s="5"/>
    </row>
    <row r="135" spans="1:65"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M135" s="5"/>
    </row>
  </sheetData>
  <sheetProtection selectLockedCells="1"/>
  <dataConsolidate/>
  <mergeCells count="93">
    <mergeCell ref="AS96:AW96"/>
    <mergeCell ref="C48:BB48"/>
    <mergeCell ref="K91:R91"/>
    <mergeCell ref="AA91:AH91"/>
    <mergeCell ref="K92:R92"/>
    <mergeCell ref="AA92:AH92"/>
    <mergeCell ref="S84:U84"/>
    <mergeCell ref="S85:U85"/>
    <mergeCell ref="AA78:AH78"/>
    <mergeCell ref="J49:Q49"/>
    <mergeCell ref="AA82:AH82"/>
    <mergeCell ref="AA83:AH83"/>
    <mergeCell ref="AA84:AH84"/>
    <mergeCell ref="AA85:AH85"/>
    <mergeCell ref="K79:R79"/>
    <mergeCell ref="AA79:AH79"/>
    <mergeCell ref="AK5:AO5"/>
    <mergeCell ref="AK7:AO7"/>
    <mergeCell ref="AJ25:AO25"/>
    <mergeCell ref="J21:L21"/>
    <mergeCell ref="J22:L22"/>
    <mergeCell ref="P14:AB14"/>
    <mergeCell ref="P15:AB15"/>
    <mergeCell ref="P16:AB16"/>
    <mergeCell ref="P17:AB17"/>
    <mergeCell ref="P18:AB18"/>
    <mergeCell ref="J23:AB23"/>
    <mergeCell ref="J25:Q25"/>
    <mergeCell ref="J24:Q24"/>
    <mergeCell ref="AQ20:AV20"/>
    <mergeCell ref="AJ20:AO20"/>
    <mergeCell ref="AJ21:AO21"/>
    <mergeCell ref="AJ24:AO24"/>
    <mergeCell ref="AQ24:AV24"/>
    <mergeCell ref="AQ21:AT21"/>
    <mergeCell ref="AQ23:AV23"/>
    <mergeCell ref="AQ22:AV22"/>
    <mergeCell ref="AJ22:AO22"/>
    <mergeCell ref="AJ23:AO23"/>
    <mergeCell ref="AP17:BB17"/>
    <mergeCell ref="AP15:BB15"/>
    <mergeCell ref="AP14:BB14"/>
    <mergeCell ref="AP13:BB13"/>
    <mergeCell ref="AP10:BB10"/>
    <mergeCell ref="AJ28:BB28"/>
    <mergeCell ref="AJ26:AO26"/>
    <mergeCell ref="AJ27:BB27"/>
    <mergeCell ref="W43:Y43"/>
    <mergeCell ref="W44:Y44"/>
    <mergeCell ref="AA80:AH80"/>
    <mergeCell ref="AA81:AH81"/>
    <mergeCell ref="AA89:AH89"/>
    <mergeCell ref="AI89:AP89"/>
    <mergeCell ref="AA88:AH88"/>
    <mergeCell ref="AI88:AP88"/>
    <mergeCell ref="AI83:AP83"/>
    <mergeCell ref="AI84:AP84"/>
    <mergeCell ref="AI85:AP85"/>
    <mergeCell ref="AI86:AP86"/>
    <mergeCell ref="AI87:AP87"/>
    <mergeCell ref="AA87:AH87"/>
    <mergeCell ref="AA86:AH86"/>
    <mergeCell ref="AI79:AP79"/>
    <mergeCell ref="AI80:AP80"/>
    <mergeCell ref="AI81:AP81"/>
    <mergeCell ref="AI82:AP82"/>
    <mergeCell ref="AI78:AP78"/>
    <mergeCell ref="S89:Z89"/>
    <mergeCell ref="K86:R86"/>
    <mergeCell ref="K87:R87"/>
    <mergeCell ref="J50:N50"/>
    <mergeCell ref="K88:R88"/>
    <mergeCell ref="K80:R80"/>
    <mergeCell ref="K81:R81"/>
    <mergeCell ref="K82:R82"/>
    <mergeCell ref="J51:O51"/>
    <mergeCell ref="J52:O52"/>
    <mergeCell ref="K83:R83"/>
    <mergeCell ref="K84:R84"/>
    <mergeCell ref="K90:R90"/>
    <mergeCell ref="P39:R39"/>
    <mergeCell ref="P40:R40"/>
    <mergeCell ref="P41:R41"/>
    <mergeCell ref="P42:R42"/>
    <mergeCell ref="P43:R43"/>
    <mergeCell ref="P44:R44"/>
    <mergeCell ref="K85:R85"/>
    <mergeCell ref="J54:O54"/>
    <mergeCell ref="J55:O55"/>
    <mergeCell ref="J56:O56"/>
    <mergeCell ref="J53:O53"/>
    <mergeCell ref="J57:O57"/>
    <mergeCell ref="K89:R89"/>
  </mergeCells>
  <conditionalFormatting sqref="C128">
    <cfRule type="expression" dxfId="15" priority="4">
      <formula>AB125="Accelerated Wear"</formula>
    </cfRule>
    <cfRule type="expression" dxfId="14" priority="5">
      <formula>AB124="Accelerated Wear"</formula>
    </cfRule>
  </conditionalFormatting>
  <conditionalFormatting sqref="J50:N50">
    <cfRule type="cellIs" dxfId="13" priority="3" operator="greaterThan">
      <formula>$AA$50</formula>
    </cfRule>
  </conditionalFormatting>
  <conditionalFormatting sqref="M120:BB123 M126:BB127">
    <cfRule type="expression" dxfId="12" priority="22">
      <formula>$L120="N"</formula>
    </cfRule>
  </conditionalFormatting>
  <conditionalFormatting sqref="P42">
    <cfRule type="expression" dxfId="11" priority="77">
      <formula>AJ21&lt;P42</formula>
    </cfRule>
  </conditionalFormatting>
  <conditionalFormatting sqref="AB120:AG121">
    <cfRule type="expression" dxfId="10" priority="35">
      <formula>$AB120="OK"</formula>
    </cfRule>
  </conditionalFormatting>
  <conditionalFormatting sqref="AB120:AG122">
    <cfRule type="expression" dxfId="9" priority="34">
      <formula>$AB120="FAIL"</formula>
    </cfRule>
  </conditionalFormatting>
  <conditionalFormatting sqref="AB122:AG122">
    <cfRule type="expression" dxfId="8" priority="32">
      <formula>$AB122="OK"</formula>
    </cfRule>
  </conditionalFormatting>
  <conditionalFormatting sqref="AB123:AG123">
    <cfRule type="expression" dxfId="7" priority="31">
      <formula>$AB123="FAIL"</formula>
    </cfRule>
  </conditionalFormatting>
  <conditionalFormatting sqref="AB123:AG127">
    <cfRule type="expression" dxfId="6" priority="23">
      <formula>$AB123="OK"</formula>
    </cfRule>
  </conditionalFormatting>
  <conditionalFormatting sqref="AB124:AG125">
    <cfRule type="expression" dxfId="5" priority="40">
      <formula>$AB124="ACCELERATED WEAR"</formula>
    </cfRule>
  </conditionalFormatting>
  <conditionalFormatting sqref="AB126:AG127">
    <cfRule type="expression" dxfId="4" priority="25">
      <formula>$AB126="FAIL"</formula>
    </cfRule>
  </conditionalFormatting>
  <conditionalFormatting sqref="AO46">
    <cfRule type="expression" dxfId="3" priority="37">
      <formula>AJ25&lt;AO46</formula>
    </cfRule>
  </conditionalFormatting>
  <conditionalFormatting sqref="AQ22:AV22">
    <cfRule type="cellIs" dxfId="2" priority="1" operator="greaterThan">
      <formula>$J$50*1.2</formula>
    </cfRule>
  </conditionalFormatting>
  <conditionalFormatting sqref="AX60:BB63">
    <cfRule type="expression" dxfId="1" priority="69">
      <formula>$AX60="FAIL"</formula>
    </cfRule>
    <cfRule type="expression" dxfId="0" priority="73">
      <formula>$AX60="OK"</formula>
    </cfRule>
  </conditionalFormatting>
  <dataValidations xWindow="1031" yWindow="542" count="15">
    <dataValidation type="decimal" allowBlank="1" showInputMessage="1" showErrorMessage="1" errorTitle="Maximum FIll" error="Maximum Trough Fill Exceeded" sqref="O26" xr:uid="{3AF342B0-C7EE-4DF1-92A9-94925FFBC90C}">
      <formula1>1</formula1>
      <formula2>100</formula2>
    </dataValidation>
    <dataValidation type="decimal" allowBlank="1" showErrorMessage="1" errorTitle="Incline Angle" error="Maximum Incline Angle Exceeded" promptTitle="Angle" prompt="Insert the angle from horizontal." sqref="J27" xr:uid="{77ECFA2A-F1D0-4352-A77F-185642ED10A8}">
      <formula1>0</formula1>
      <formula2>45</formula2>
    </dataValidation>
    <dataValidation type="decimal" allowBlank="1" showInputMessage="1" showErrorMessage="1" errorTitle="Trough Fill" error="Maximum Trough Fill Exceeded" sqref="J26" xr:uid="{51D5C450-984B-448A-981C-339849BBC8B9}">
      <formula1>0</formula1>
      <formula2>100</formula2>
    </dataValidation>
    <dataValidation allowBlank="1" showInputMessage="1" showErrorMessage="1" promptTitle="Material Density" prompt="If not supplied by the customer, use standard values." sqref="AP11" xr:uid="{9437D1EA-453F-4C84-99E0-4D5371A2349D}"/>
    <dataValidation allowBlank="1" showInputMessage="1" showErrorMessage="1" promptTitle="Size" prompt="The CEMA size is auto-filled. To use custom size, delete this and enter desired dimesions." sqref="S86:S87" xr:uid="{434096AD-D562-4DE1-8D6E-6EA59D028E24}"/>
    <dataValidation allowBlank="1" showInputMessage="1" showErrorMessage="1" promptTitle="Temperature" prompt="Effects thermal expansion calculation." sqref="AP16" xr:uid="{285BBF03-F224-42A6-B059-701C16E6B0A9}"/>
    <dataValidation allowBlank="1" showInputMessage="1" showErrorMessage="1" promptTitle="Other" prompt="For project reference only." sqref="AP12" xr:uid="{5D9BE292-709C-4C99-BE6B-4B1E62BC0FC5}"/>
    <dataValidation allowBlank="1" showInputMessage="1" showErrorMessage="1" promptTitle="Model" prompt="Drive model and size. Example: FAZ87." sqref="AQ20:AV20" xr:uid="{43C97ECB-B907-4A1E-A5FC-9FCBC0EE53DB}"/>
    <dataValidation allowBlank="1" showInputMessage="1" showErrorMessage="1" promptTitle="Manufacturer" prompt="ex: SEW" sqref="AJ20:AO20" xr:uid="{B0C5F5FA-9A04-47FB-84A4-701A23F67B43}"/>
    <dataValidation allowBlank="1" showInputMessage="1" showErrorMessage="1" promptTitle="Gearmotor Output Speed" prompt="Value in RPM. This value should be equal or greater than the required conveyor speed." sqref="AJ21:AO21" xr:uid="{F18CDA40-C919-4313-99D0-6315F3D6B9DF}"/>
    <dataValidation allowBlank="1" showInputMessage="1" showErrorMessage="1" promptTitle="Gearmotor" prompt="Gear ratio of selected gearmotor." sqref="AQ21:AT21" xr:uid="{9B5186DA-8843-4827-A36E-6A7577BE78C2}"/>
    <dataValidation allowBlank="1" showInputMessage="1" showErrorMessage="1" promptTitle="Make" prompt="Manufacturer of motor." sqref="AJ24:AO24" xr:uid="{6E997FDD-0251-4194-BE4D-363D553A463E}"/>
    <dataValidation allowBlank="1" showInputMessage="1" showErrorMessage="1" promptTitle="Model" prompt="Model number/frame size of motor." sqref="AQ24:AV24" xr:uid="{0E0C30E3-C405-4EDB-85AA-D6FBBB2FB146}"/>
    <dataValidation allowBlank="1" showInputMessage="1" showErrorMessage="1" promptTitle="Service Factor" prompt="This is calculated by output torque for gearmotor speed and power divided by the rated torque for the gearmotor. Also referred to as AGMA SF or SEW SF." sqref="AJ26:AO26" xr:uid="{72ECB199-29B8-423C-A7C4-3DCDE1AA28B7}"/>
    <dataValidation allowBlank="1" showInputMessage="1" showErrorMessage="1" promptTitle="Options" prompt="Additional options to be included in the gearmotor. Ex: heaters and thermostats." sqref="AJ29" xr:uid="{6A46C7C9-2A80-42CD-8FC0-C17E9936BEBE}"/>
  </dataValidations>
  <pageMargins left="0.7" right="0.7" top="0.75" bottom="0.75" header="0.3" footer="0.3"/>
  <pageSetup scale="52" fitToHeight="0" orientation="portrait" r:id="rId1"/>
  <rowBreaks count="1" manualBreakCount="1">
    <brk id="75" max="16383" man="1"/>
  </rowBreaks>
  <colBreaks count="1" manualBreakCount="1">
    <brk id="56" max="1048575" man="1"/>
  </colBreaks>
  <ignoredErrors>
    <ignoredError sqref="U52 J52 M121" unlockedFormula="1"/>
    <ignoredError sqref="AB125 T125 N127:P127" evalError="1"/>
    <ignoredError sqref="S82" formula="1"/>
  </ignoredErrors>
  <drawing r:id="rId2"/>
  <legacyDrawing r:id="rId3"/>
  <extLst>
    <ext xmlns:x14="http://schemas.microsoft.com/office/spreadsheetml/2009/9/main" uri="{CCE6A557-97BC-4b89-ADB6-D9C93CAAB3DF}">
      <x14:dataValidations xmlns:xm="http://schemas.microsoft.com/office/excel/2006/main" xWindow="1031" yWindow="542" count="51">
        <x14:dataValidation type="list" allowBlank="1" showInputMessage="1" showErrorMessage="1" xr:uid="{48DE3F47-33C5-402C-B603-D55DEB8E3AEE}">
          <x14:formula1>
            <xm:f>List!$Q$3:$Q$6</xm:f>
          </x14:formula1>
          <xm:sqref>J22</xm:sqref>
        </x14:dataValidation>
        <x14:dataValidation type="list" allowBlank="1" showInputMessage="1" showErrorMessage="1" xr:uid="{FE21E7EB-A7A7-4B53-A936-C2FAF406A423}">
          <x14:formula1>
            <xm:f>List!$W$3:$W$13</xm:f>
          </x14:formula1>
          <xm:sqref>AJ25</xm:sqref>
        </x14:dataValidation>
        <x14:dataValidation type="list" allowBlank="1" showInputMessage="1" showErrorMessage="1" promptTitle="Size" prompt="Size of gearmotor output shaft/bore. If red, the gearbox shaft/bore is more than 20% larger than the selected drive shaft and should be changed." xr:uid="{8DD1A085-F00C-4C09-9C64-E4B110632F0D}">
          <x14:formula1>
            <xm:f>List!$AA$3:$AA$25</xm:f>
          </x14:formula1>
          <xm:sqref>AQ22:AV22</xm:sqref>
        </x14:dataValidation>
        <x14:dataValidation type="list" allowBlank="1" showInputMessage="1" showErrorMessage="1" xr:uid="{4ADA913C-2EEB-4DFF-A04A-F9A422E8CD4D}">
          <x14:formula1>
            <xm:f>List!$AK$3:$AK$11</xm:f>
          </x14:formula1>
          <xm:sqref>S85</xm:sqref>
        </x14:dataValidation>
        <x14:dataValidation type="list" allowBlank="1" showInputMessage="1" showErrorMessage="1" xr:uid="{CF6EFACD-C4BB-46EB-8695-232513FD2325}">
          <x14:formula1>
            <xm:f>List!$AN$3:$AN$9</xm:f>
          </x14:formula1>
          <xm:sqref>K83 K81</xm:sqref>
        </x14:dataValidation>
        <x14:dataValidation type="list" allowBlank="1" showInputMessage="1" showErrorMessage="1" xr:uid="{3D415018-2F55-4D5E-A488-9C9171F771D9}">
          <x14:formula1>
            <xm:f>List!$BA$3:$BA$5</xm:f>
          </x14:formula1>
          <xm:sqref>AA84</xm:sqref>
        </x14:dataValidation>
        <x14:dataValidation type="list" allowBlank="1" showInputMessage="1" showErrorMessage="1" xr:uid="{69191DB5-DB3D-4248-BC03-D3F4160D8EFD}">
          <x14:formula1>
            <xm:f>List!$BC$3:$BC$5</xm:f>
          </x14:formula1>
          <xm:sqref>AA85</xm:sqref>
        </x14:dataValidation>
        <x14:dataValidation type="list" allowBlank="1" showInputMessage="1" showErrorMessage="1" xr:uid="{613DE3E8-17FC-457B-A21A-091D3467192E}">
          <x14:formula1>
            <xm:f>List!$E$3:$E$5</xm:f>
          </x14:formula1>
          <xm:sqref>P16</xm:sqref>
        </x14:dataValidation>
        <x14:dataValidation type="list" allowBlank="1" showInputMessage="1" showErrorMessage="1" xr:uid="{C404890A-DFDC-469A-8002-A998D4D6494B}">
          <x14:formula1>
            <xm:f>List!$C$3:$C$11</xm:f>
          </x14:formula1>
          <xm:sqref>J21</xm:sqref>
        </x14:dataValidation>
        <x14:dataValidation type="list" allowBlank="1" showInputMessage="1" showErrorMessage="1" xr:uid="{FBB9F793-6053-4461-B5B9-C95F53702916}">
          <x14:formula1>
            <xm:f>List!$AC$3:$AC$5</xm:f>
          </x14:formula1>
          <xm:sqref>J49</xm:sqref>
        </x14:dataValidation>
        <x14:dataValidation type="list" allowBlank="1" showInputMessage="1" showErrorMessage="1" xr:uid="{12B84D3D-6CF5-4BBF-ABCE-E16781B32B6E}">
          <x14:formula1>
            <xm:f>List!$A$3:$A$4</xm:f>
          </x14:formula1>
          <xm:sqref>P17</xm:sqref>
        </x14:dataValidation>
        <x14:dataValidation type="list" allowBlank="1" showInputMessage="1" showErrorMessage="1" xr:uid="{F16F0949-690D-4F86-BE06-BB5371320EBE}">
          <x14:formula1>
            <xm:f>List!$AP$3:$AP$7</xm:f>
          </x14:formula1>
          <xm:sqref>AA81 AA83</xm:sqref>
        </x14:dataValidation>
        <x14:dataValidation type="list" allowBlank="1" showInputMessage="1" showErrorMessage="1" xr:uid="{C719B6BD-D0D8-4922-A902-8F9FF0BB6D9E}">
          <x14:formula1>
            <xm:f>List!$S$3:$S$23</xm:f>
          </x14:formula1>
          <xm:sqref>J24</xm:sqref>
        </x14:dataValidation>
        <x14:dataValidation type="list" allowBlank="1" showInputMessage="1" showErrorMessage="1" xr:uid="{032DE0DA-69F6-426C-A6FF-22C2A33E71EC}">
          <x14:formula1>
            <xm:f>List!$AU$3:$AU$8</xm:f>
          </x14:formula1>
          <xm:sqref>AA79:AA80</xm:sqref>
        </x14:dataValidation>
        <x14:dataValidation type="list" allowBlank="1" showInputMessage="1" showErrorMessage="1" xr:uid="{4FB18C24-FBE9-431E-AA29-156D8B15B328}">
          <x14:formula1>
            <xm:f>List!$AQ$3:$AQ$9</xm:f>
          </x14:formula1>
          <xm:sqref>K82</xm:sqref>
        </x14:dataValidation>
        <x14:dataValidation type="list" allowBlank="1" showInputMessage="1" showErrorMessage="1" xr:uid="{4564658C-C832-41E4-B96E-10D51BF2EAD2}">
          <x14:formula1>
            <xm:f>List!$AR$3:$AR$15</xm:f>
          </x14:formula1>
          <xm:sqref>AA82:AH82</xm:sqref>
        </x14:dataValidation>
        <x14:dataValidation type="list" allowBlank="1" showInputMessage="1" showErrorMessage="1" xr:uid="{C3444527-914F-4D4F-B6A3-9F50A6C8ADC5}">
          <x14:formula1>
            <xm:f>List!$AZ$3:$AZ$7</xm:f>
          </x14:formula1>
          <xm:sqref>K84</xm:sqref>
        </x14:dataValidation>
        <x14:dataValidation type="list" allowBlank="1" showInputMessage="1" showErrorMessage="1" xr:uid="{71B31F8C-8BC0-448E-8F1C-C5438C5A6898}">
          <x14:formula1>
            <xm:f>List!$BD$3:$BD$8</xm:f>
          </x14:formula1>
          <xm:sqref>K88</xm:sqref>
        </x14:dataValidation>
        <x14:dataValidation type="list" allowBlank="1" showInputMessage="1" showErrorMessage="1" xr:uid="{2DE82F0B-5B7B-4E1E-BEF9-BAA82C92E43A}">
          <x14:formula1>
            <xm:f>List!$R$3:$R$6</xm:f>
          </x14:formula1>
          <xm:sqref>J23</xm:sqref>
        </x14:dataValidation>
        <x14:dataValidation type="list" allowBlank="1" showInputMessage="1" showErrorMessage="1" xr:uid="{F8E8C41B-0A36-4FFC-896D-E4C7D6E3A8A0}">
          <x14:formula1>
            <xm:f>List!$F$3:$F$8</xm:f>
          </x14:formula1>
          <xm:sqref>P18 AJ27</xm:sqref>
        </x14:dataValidation>
        <x14:dataValidation type="list" allowBlank="1" showInputMessage="1" showErrorMessage="1" xr:uid="{6878B51E-9DC2-4B2F-A4B1-F1EA58A6B4DC}">
          <x14:formula1>
            <xm:f>List!$AH$3:$AH$22</xm:f>
          </x14:formula1>
          <xm:sqref>J25</xm:sqref>
        </x14:dataValidation>
        <x14:dataValidation type="list" allowBlank="1" showInputMessage="1" showErrorMessage="1" xr:uid="{2917EE79-2C65-4848-B283-018A976F7D72}">
          <x14:formula1>
            <xm:f>List!$AF$3:$AF$7</xm:f>
          </x14:formula1>
          <xm:sqref>J56</xm:sqref>
        </x14:dataValidation>
        <x14:dataValidation type="list" allowBlank="1" showInputMessage="1" showErrorMessage="1" xr:uid="{C5007265-FE76-4681-8AFC-ECBD09ED8174}">
          <x14:formula1>
            <xm:f>List!$BE$3:$BE$7</xm:f>
          </x14:formula1>
          <xm:sqref>K86:K87</xm:sqref>
        </x14:dataValidation>
        <x14:dataValidation type="list" allowBlank="1" showInputMessage="1" showErrorMessage="1" xr:uid="{6AB6C1EE-9D3B-4FA4-9239-7C0B75F8FA09}">
          <x14:formula1>
            <xm:f>List!$AJ$3:$AJ$11</xm:f>
          </x14:formula1>
          <xm:sqref>S84</xm:sqref>
        </x14:dataValidation>
        <x14:dataValidation type="list" allowBlank="1" showInputMessage="1" showErrorMessage="1" xr:uid="{D0288EA2-F60C-4992-A41F-58F106C63C68}">
          <x14:formula1>
            <xm:f>List!$AT$3:$AT$8</xm:f>
          </x14:formula1>
          <xm:sqref>K79:R80</xm:sqref>
        </x14:dataValidation>
        <x14:dataValidation type="list" allowBlank="1" showInputMessage="1" showErrorMessage="1" xr:uid="{BF3FD29A-0C63-4FC6-AE33-9FE2C9FBE9F7}">
          <x14:formula1>
            <xm:f>List!$A$3:$A$5</xm:f>
          </x14:formula1>
          <xm:sqref>K89</xm:sqref>
        </x14:dataValidation>
        <x14:dataValidation type="list" allowBlank="1" showInputMessage="1" showErrorMessage="1" xr:uid="{85F44A92-ACB2-4B7A-B6E0-9C654FCC7687}">
          <x14:formula1>
            <xm:f>List!$AM$3:$AM$7</xm:f>
          </x14:formula1>
          <xm:sqref>S89</xm:sqref>
        </x14:dataValidation>
        <x14:dataValidation type="list" allowBlank="1" showInputMessage="1" showErrorMessage="1" xr:uid="{61AD3D08-0B5E-4D3A-B395-0D947C73FD6B}">
          <x14:formula1>
            <xm:f>List!$AL$3:$AL$6</xm:f>
          </x14:formula1>
          <xm:sqref>AA89</xm:sqref>
        </x14:dataValidation>
        <x14:dataValidation type="list" allowBlank="1" showInputMessage="1" showErrorMessage="1" xr:uid="{4E502746-9903-4F21-8DE6-28AAF77AB673}">
          <x14:formula1>
            <xm:f>List!$AX$3:$AX$8</xm:f>
          </x14:formula1>
          <xm:sqref>AA78:AH78</xm:sqref>
        </x14:dataValidation>
        <x14:dataValidation type="list" allowBlank="1" showInputMessage="1" showErrorMessage="1" promptTitle="Grade" prompt="CEMA standard uses ASTM grade bolts rather than legacy SAE bolts. For ASTM bolts, SAE Grade 2 bolt is equal to A307. SAE Grade 5 bolt is equal to A325." xr:uid="{BF51BD82-9E10-4A85-9867-C1E3F79DD3E0}">
          <x14:formula1>
            <xm:f>List!$AY$3:$AY$8</xm:f>
          </x14:formula1>
          <xm:sqref>J55:O55</xm:sqref>
        </x14:dataValidation>
        <x14:dataValidation type="list" allowBlank="1" showInputMessage="1" showErrorMessage="1" xr:uid="{6F65A3E8-C454-462D-AA00-D97A726DE966}">
          <x14:formula1>
            <xm:f>List!$AE$3:$AE$12</xm:f>
          </x14:formula1>
          <xm:sqref>J54:O54</xm:sqref>
        </x14:dataValidation>
        <x14:dataValidation type="list" allowBlank="1" showInputMessage="1" showErrorMessage="1" xr:uid="{6E369DCA-3D39-4BBF-BD35-955A1E001F6D}">
          <x14:formula1>
            <xm:f>List!$K$3:$K$6</xm:f>
          </x14:formula1>
          <xm:sqref>P15:AB15</xm:sqref>
        </x14:dataValidation>
        <x14:dataValidation type="list" allowBlank="1" showInputMessage="1" showErrorMessage="1" xr:uid="{3E514541-3E9D-41C2-91F0-96D71A9B7241}">
          <x14:formula1>
            <xm:f>List!$BG$3:$BG$7</xm:f>
          </x14:formula1>
          <xm:sqref>K90</xm:sqref>
        </x14:dataValidation>
        <x14:dataValidation type="list" allowBlank="1" showInputMessage="1" showErrorMessage="1" promptTitle="Notes" prompt="For sludge applications, typically &quot;wet sludge&quot; is selected. For post-dryer applications, or dry solids content above 80%, select &quot;dry biosolids&quot;." xr:uid="{6A4337ED-EE8C-401D-AF92-14401D5FC6CF}">
          <x14:formula1>
            <xm:f>List!$L$3:$L$14</xm:f>
          </x14:formula1>
          <xm:sqref>AP10:BB10</xm:sqref>
        </x14:dataValidation>
        <x14:dataValidation type="list" allowBlank="1" showInputMessage="1" showErrorMessage="1" promptTitle="Abrasiveness" prompt="Effects abrasive life calculation." xr:uid="{EE9BC6B4-7DB7-4314-AD63-28C4EFE0226C}">
          <x14:formula1>
            <xm:f>List!$O$3:$O$6</xm:f>
          </x14:formula1>
          <xm:sqref>AP15:BB15</xm:sqref>
        </x14:dataValidation>
        <x14:dataValidation type="list" allowBlank="1" showInputMessage="1" showErrorMessage="1" promptTitle="Other" prompt="For project reference only." xr:uid="{C4B0F4D5-9753-4EA1-A3E2-423467305AFE}">
          <x14:formula1>
            <xm:f>List!$P$3:$P$20</xm:f>
          </x14:formula1>
          <xm:sqref>AP17:BB17</xm:sqref>
        </x14:dataValidation>
        <x14:dataValidation type="list" allowBlank="1" showInputMessage="1" showErrorMessage="1" promptTitle="Other" prompt="For project reference only." xr:uid="{73932C9F-C2DC-4F7E-A80D-519832717C26}">
          <x14:formula1>
            <xm:f>List!$M$3:$M$7</xm:f>
          </x14:formula1>
          <xm:sqref>AP14:BB14</xm:sqref>
        </x14:dataValidation>
        <x14:dataValidation type="list" allowBlank="1" showInputMessage="1" showErrorMessage="1" promptTitle="Other" prompt="For project reference only." xr:uid="{F45221D3-18D3-4578-8E54-4E2E94CB175C}">
          <x14:formula1>
            <xm:f>List!$N$3:$N$7</xm:f>
          </x14:formula1>
          <xm:sqref>AP13:BB13</xm:sqref>
        </x14:dataValidation>
        <x14:dataValidation type="list" allowBlank="1" showInputMessage="1" showErrorMessage="1" xr:uid="{B30018DF-8149-45CF-9106-D1B0E35014AB}">
          <x14:formula1>
            <xm:f>List!$AW$3:$AW$8</xm:f>
          </x14:formula1>
          <xm:sqref>J53:O53</xm:sqref>
        </x14:dataValidation>
        <x14:dataValidation type="list" allowBlank="1" showInputMessage="1" showErrorMessage="1" promptTitle="Shaft Size" prompt="The shaft size must be smaller than the pipe ID. If red, either select a smaller shaft size or larger pipe size." xr:uid="{3DA10988-27B6-4B51-8823-2D07FAB4790E}">
          <x14:formula1>
            <xm:f>List!$AD$3:$AD$23</xm:f>
          </x14:formula1>
          <xm:sqref>J50:N50</xm:sqref>
        </x14:dataValidation>
        <x14:dataValidation type="list" allowBlank="1" showInputMessage="1" showErrorMessage="1" xr:uid="{0B0CD896-A44D-4F56-BE97-3D4FA8F8B439}">
          <x14:formula1>
            <xm:f>List!$BB$3:$BB$7</xm:f>
          </x14:formula1>
          <xm:sqref>K85</xm:sqref>
        </x14:dataValidation>
        <x14:dataValidation type="list" allowBlank="1" showInputMessage="1" showErrorMessage="1" xr:uid="{0F426E76-24C4-48E9-B399-8E4D6DEB84BA}">
          <x14:formula1>
            <xm:f>List!$D$3:$D$9</xm:f>
          </x14:formula1>
          <xm:sqref>P14:AB14</xm:sqref>
        </x14:dataValidation>
        <x14:dataValidation type="list" allowBlank="1" showInputMessage="1" showErrorMessage="1" promptTitle="Output" prompt="Gearmotor output shaft type." xr:uid="{0F484E34-E1F4-487A-9710-8A56691B0ED1}">
          <x14:formula1>
            <xm:f>List!$X$3:$X$6</xm:f>
          </x14:formula1>
          <xm:sqref>AJ22:AO22</xm:sqref>
        </x14:dataValidation>
        <x14:dataValidation type="list" allowBlank="1" showInputMessage="1" showErrorMessage="1" promptTitle="Mounting" prompt="Type of mounting for gearmotor. When flanged, B14 is standard." xr:uid="{725223F6-F32A-4495-ADCB-A66D9ABB136E}">
          <x14:formula1>
            <xm:f>List!$Y$3:$Y$8</xm:f>
          </x14:formula1>
          <xm:sqref>AJ23:AO23</xm:sqref>
        </x14:dataValidation>
        <x14:dataValidation type="list" allowBlank="1" showInputMessage="1" showErrorMessage="1" promptTitle="Orientation" prompt="Orientation of gearmotor per manufacturer data." xr:uid="{CA90F837-2BDB-4A12-8984-D056819BF516}">
          <x14:formula1>
            <xm:f>List!$Z$3:$Z$12</xm:f>
          </x14:formula1>
          <xm:sqref>AQ23:AV23</xm:sqref>
        </x14:dataValidation>
        <x14:dataValidation type="list" allowBlank="1" showInputMessage="1" showErrorMessage="1" promptTitle="NEMA Design" prompt="SEW standard is NEMA A. If NEMA B required, a third party motor manufacturer must be used such as Baldor. SEW does not offer NEMA B." xr:uid="{78751E61-5259-448D-AB92-696E74AFA9A8}">
          <x14:formula1>
            <xm:f>List!$AB$3:$AB$7</xm:f>
          </x14:formula1>
          <xm:sqref>AJ28:BB28</xm:sqref>
        </x14:dataValidation>
        <x14:dataValidation type="list" allowBlank="1" showInputMessage="1" showErrorMessage="1" xr:uid="{2C16A65D-AF40-420D-81BF-BA0CAEA27C20}">
          <x14:formula1>
            <xm:f>List!$AV$3:$AV$11</xm:f>
          </x14:formula1>
          <xm:sqref>J51:O51</xm:sqref>
        </x14:dataValidation>
        <x14:dataValidation type="list" allowBlank="1" showInputMessage="1" showErrorMessage="1" xr:uid="{29FF4F5B-7754-49CD-8AC3-4F1DC24D851B}">
          <x14:formula1>
            <xm:f>List!$AG$3:$AG$7</xm:f>
          </x14:formula1>
          <xm:sqref>J57:O57</xm:sqref>
        </x14:dataValidation>
        <x14:dataValidation type="list" allowBlank="1" showInputMessage="1" showErrorMessage="1" xr:uid="{E0C2EC92-8C4D-4904-BF8B-AE5854DEB77D}">
          <x14:formula1>
            <xm:f>List!$BH$3:$BH$7</xm:f>
          </x14:formula1>
          <xm:sqref>K91:R91</xm:sqref>
        </x14:dataValidation>
        <x14:dataValidation type="list" allowBlank="1" showInputMessage="1" showErrorMessage="1" xr:uid="{14ACCB0B-DC58-48D0-BAF4-7F48CEC656AE}">
          <x14:formula1>
            <xm:f>List!$BJ$3:$BJ$6</xm:f>
          </x14:formula1>
          <xm:sqref>AA91:AH92</xm:sqref>
        </x14:dataValidation>
        <x14:dataValidation type="list" allowBlank="1" showInputMessage="1" showErrorMessage="1" xr:uid="{704CC36C-229B-4E40-BB8B-07368E26557A}">
          <x14:formula1>
            <xm:f>List!$BI$3:$BI$8</xm:f>
          </x14:formula1>
          <xm:sqref>K92:R92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EA41-72A0-40D2-9805-A1D3FA109DF7}">
  <sheetPr codeName="Sheet3">
    <pageSetUpPr fitToPage="1"/>
  </sheetPr>
  <dimension ref="A1:CY62"/>
  <sheetViews>
    <sheetView zoomScale="115" zoomScaleNormal="115" workbookViewId="0">
      <selection activeCell="J57" sqref="J57"/>
    </sheetView>
  </sheetViews>
  <sheetFormatPr defaultColWidth="0" defaultRowHeight="15" zeroHeight="1" x14ac:dyDescent="0.25"/>
  <cols>
    <col min="1" max="65" width="3" customWidth="1"/>
    <col min="66" max="103" width="3" hidden="1" customWidth="1"/>
    <col min="104" max="16384" width="2.7109375" hidden="1"/>
  </cols>
  <sheetData>
    <row r="1" spans="1:65" ht="15.75" thickBot="1" x14ac:dyDescent="0.3">
      <c r="A1" s="254"/>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row>
    <row r="2" spans="1:65" ht="18.75" x14ac:dyDescent="0.3">
      <c r="A2" s="1"/>
      <c r="B2" s="2"/>
      <c r="C2" s="2"/>
      <c r="D2" s="2"/>
      <c r="E2" s="2"/>
      <c r="F2" s="2"/>
      <c r="G2" s="2"/>
      <c r="H2" s="2"/>
      <c r="I2" s="2"/>
      <c r="J2" s="2"/>
      <c r="K2" s="2"/>
      <c r="L2" s="2"/>
      <c r="M2" s="2"/>
      <c r="N2" s="3"/>
      <c r="O2" s="48" t="s">
        <v>1014</v>
      </c>
      <c r="P2" s="44"/>
      <c r="Q2" s="44"/>
      <c r="R2" s="44"/>
      <c r="S2" s="44"/>
      <c r="T2" s="44"/>
      <c r="U2" s="44"/>
      <c r="V2" s="44"/>
      <c r="W2" s="44"/>
      <c r="X2" s="44"/>
      <c r="Y2" s="44"/>
      <c r="Z2" s="44"/>
      <c r="AA2" s="44"/>
      <c r="AB2" s="44"/>
      <c r="AC2" s="44"/>
      <c r="AD2" s="44"/>
      <c r="AE2" s="44"/>
      <c r="AF2" s="44"/>
      <c r="AG2" s="44"/>
      <c r="AH2" s="44"/>
      <c r="AI2" s="44"/>
      <c r="AJ2" s="44"/>
      <c r="AK2" s="44"/>
      <c r="AL2" s="44"/>
      <c r="AM2" s="44"/>
      <c r="AN2" s="45"/>
      <c r="AO2" s="1"/>
      <c r="AP2" s="2"/>
      <c r="AQ2" s="2"/>
      <c r="AR2" s="2"/>
      <c r="AS2" s="2"/>
      <c r="AT2" s="2"/>
      <c r="AU2" s="2"/>
      <c r="AV2" s="2"/>
      <c r="AW2" s="2"/>
      <c r="AX2" s="2"/>
      <c r="AY2" s="2"/>
      <c r="AZ2" s="2"/>
      <c r="BA2" s="2"/>
      <c r="BB2" s="3"/>
      <c r="BC2" s="251"/>
      <c r="BD2" s="251"/>
      <c r="BE2" s="251"/>
      <c r="BF2" s="251"/>
      <c r="BG2" s="251"/>
      <c r="BH2" s="251"/>
      <c r="BI2" s="251"/>
      <c r="BJ2" s="251"/>
      <c r="BK2" s="251"/>
      <c r="BL2" s="251"/>
      <c r="BM2" s="251"/>
    </row>
    <row r="3" spans="1:65" ht="19.5" thickBot="1" x14ac:dyDescent="0.35">
      <c r="A3" s="4"/>
      <c r="B3" s="5"/>
      <c r="C3" s="5"/>
      <c r="D3" s="5"/>
      <c r="E3" s="5"/>
      <c r="F3" s="5"/>
      <c r="G3" s="5"/>
      <c r="H3" s="5"/>
      <c r="I3" s="5"/>
      <c r="J3" s="5"/>
      <c r="K3" s="5"/>
      <c r="L3" s="5"/>
      <c r="M3" s="5"/>
      <c r="N3" s="6"/>
      <c r="O3" s="49" t="s">
        <v>1035</v>
      </c>
      <c r="P3" s="46"/>
      <c r="Q3" s="46"/>
      <c r="R3" s="46"/>
      <c r="S3" s="46"/>
      <c r="T3" s="46"/>
      <c r="U3" s="46"/>
      <c r="V3" s="46"/>
      <c r="W3" s="46"/>
      <c r="X3" s="46"/>
      <c r="Y3" s="46"/>
      <c r="Z3" s="46"/>
      <c r="AA3" s="46"/>
      <c r="AB3" s="46"/>
      <c r="AC3" s="46"/>
      <c r="AD3" s="46"/>
      <c r="AE3" s="46"/>
      <c r="AF3" s="46"/>
      <c r="AG3" s="46"/>
      <c r="AH3" s="46"/>
      <c r="AI3" s="46"/>
      <c r="AJ3" s="46"/>
      <c r="AK3" s="46"/>
      <c r="AL3" s="46"/>
      <c r="AM3" s="46"/>
      <c r="AN3" s="47"/>
      <c r="AO3" s="4"/>
      <c r="AP3" s="5"/>
      <c r="AQ3" s="5"/>
      <c r="AR3" s="5"/>
      <c r="AS3" s="5"/>
      <c r="AT3" s="5"/>
      <c r="AU3" s="5"/>
      <c r="AV3" s="5"/>
      <c r="AW3" s="5"/>
      <c r="AX3" s="5"/>
      <c r="AY3" s="5"/>
      <c r="AZ3" s="5"/>
      <c r="BA3" s="5"/>
      <c r="BB3" s="6"/>
      <c r="BC3" s="251"/>
      <c r="BD3" s="251"/>
      <c r="BE3" s="251"/>
      <c r="BF3" s="251"/>
      <c r="BG3" s="251"/>
      <c r="BH3" s="251"/>
      <c r="BI3" s="251"/>
      <c r="BJ3" s="251"/>
      <c r="BK3" s="251"/>
      <c r="BL3" s="251"/>
      <c r="BM3" s="251"/>
    </row>
    <row r="4" spans="1:65" x14ac:dyDescent="0.25">
      <c r="A4" s="4"/>
      <c r="B4" s="5"/>
      <c r="C4" s="5"/>
      <c r="D4" s="5"/>
      <c r="E4" s="5"/>
      <c r="F4" s="5"/>
      <c r="G4" s="5"/>
      <c r="H4" s="5"/>
      <c r="I4" s="5"/>
      <c r="J4" s="5"/>
      <c r="K4" s="5"/>
      <c r="L4" s="5"/>
      <c r="M4" s="5"/>
      <c r="N4" s="5"/>
      <c r="O4" s="50" t="s">
        <v>1851</v>
      </c>
      <c r="P4" s="33"/>
      <c r="Q4" s="33"/>
      <c r="R4" s="33"/>
      <c r="S4" s="34"/>
      <c r="T4" s="169">
        <f>Design!U4</f>
        <v>0</v>
      </c>
      <c r="U4" s="33"/>
      <c r="V4" s="33"/>
      <c r="W4" s="33"/>
      <c r="X4" s="33"/>
      <c r="Y4" s="33"/>
      <c r="Z4" s="33"/>
      <c r="AA4" s="33"/>
      <c r="AB4" s="33"/>
      <c r="AC4" s="33"/>
      <c r="AD4" s="33"/>
      <c r="AE4" s="34"/>
      <c r="AF4" s="53" t="s">
        <v>1028</v>
      </c>
      <c r="AG4" s="33"/>
      <c r="AH4" s="33"/>
      <c r="AI4" s="34"/>
      <c r="AJ4" s="35">
        <f>Design!AK4</f>
        <v>0</v>
      </c>
      <c r="AK4" s="33"/>
      <c r="AL4" s="33"/>
      <c r="AM4" s="33"/>
      <c r="AN4" s="36"/>
      <c r="AO4" s="5"/>
      <c r="AP4" s="5"/>
      <c r="AQ4" s="5"/>
      <c r="AR4" s="5"/>
      <c r="AS4" s="5"/>
      <c r="AT4" s="5"/>
      <c r="AU4" s="5"/>
      <c r="AV4" s="5"/>
      <c r="AW4" s="5"/>
      <c r="AX4" s="5"/>
      <c r="AY4" s="5"/>
      <c r="AZ4" s="5"/>
      <c r="BA4" s="5"/>
      <c r="BB4" s="6"/>
      <c r="BC4" s="251"/>
      <c r="BD4" s="251"/>
      <c r="BE4" s="251"/>
      <c r="BF4" s="251"/>
      <c r="BG4" s="251"/>
      <c r="BH4" s="251"/>
      <c r="BI4" s="251"/>
      <c r="BJ4" s="251"/>
      <c r="BK4" s="251"/>
      <c r="BL4" s="251"/>
      <c r="BM4" s="251"/>
    </row>
    <row r="5" spans="1:65" x14ac:dyDescent="0.25">
      <c r="A5" s="4"/>
      <c r="B5" s="5"/>
      <c r="C5" s="5"/>
      <c r="D5" s="5"/>
      <c r="E5" s="5"/>
      <c r="F5" s="5"/>
      <c r="G5" s="5"/>
      <c r="H5" s="5"/>
      <c r="I5" s="5"/>
      <c r="J5" s="5"/>
      <c r="K5" s="5"/>
      <c r="L5" s="5"/>
      <c r="M5" s="5"/>
      <c r="N5" s="5"/>
      <c r="O5" s="51" t="s">
        <v>1025</v>
      </c>
      <c r="P5" s="31"/>
      <c r="Q5" s="31"/>
      <c r="R5" s="31"/>
      <c r="S5" s="32"/>
      <c r="T5" s="30">
        <f>Design!U5</f>
        <v>0</v>
      </c>
      <c r="U5" s="31"/>
      <c r="V5" s="31"/>
      <c r="W5" s="31"/>
      <c r="X5" s="31"/>
      <c r="Y5" s="31"/>
      <c r="Z5" s="31"/>
      <c r="AA5" s="31"/>
      <c r="AB5" s="31"/>
      <c r="AC5" s="31"/>
      <c r="AD5" s="31"/>
      <c r="AE5" s="32"/>
      <c r="AF5" s="54" t="s">
        <v>1029</v>
      </c>
      <c r="AG5" s="31"/>
      <c r="AH5" s="31"/>
      <c r="AI5" s="32"/>
      <c r="AJ5" s="348">
        <f>Design!AK5</f>
        <v>0</v>
      </c>
      <c r="AK5" s="349"/>
      <c r="AL5" s="349"/>
      <c r="AM5" s="349"/>
      <c r="AN5" s="350"/>
      <c r="AO5" s="5"/>
      <c r="AP5" s="5"/>
      <c r="AQ5" s="5"/>
      <c r="AR5" s="5"/>
      <c r="AS5" s="5"/>
      <c r="AT5" s="5"/>
      <c r="AU5" s="5"/>
      <c r="AV5" s="5"/>
      <c r="AW5" s="5"/>
      <c r="AX5" s="5"/>
      <c r="AY5" s="5"/>
      <c r="AZ5" s="5"/>
      <c r="BA5" s="5"/>
      <c r="BB5" s="6"/>
      <c r="BC5" s="251"/>
      <c r="BD5" s="251"/>
      <c r="BE5" s="251"/>
      <c r="BF5" s="251"/>
      <c r="BG5" s="251"/>
      <c r="BH5" s="251"/>
      <c r="BI5" s="251"/>
      <c r="BJ5" s="251"/>
      <c r="BK5" s="251"/>
      <c r="BL5" s="251"/>
      <c r="BM5" s="251"/>
    </row>
    <row r="6" spans="1:65" x14ac:dyDescent="0.25">
      <c r="A6" s="4"/>
      <c r="B6" s="5"/>
      <c r="C6" s="5"/>
      <c r="D6" s="5"/>
      <c r="E6" s="5"/>
      <c r="F6" s="5"/>
      <c r="G6" s="5"/>
      <c r="H6" s="5"/>
      <c r="I6" s="5"/>
      <c r="J6" s="5"/>
      <c r="K6" s="5"/>
      <c r="L6" s="5"/>
      <c r="M6" s="5"/>
      <c r="N6" s="5"/>
      <c r="O6" s="51" t="s">
        <v>1026</v>
      </c>
      <c r="P6" s="31"/>
      <c r="Q6" s="31"/>
      <c r="R6" s="31"/>
      <c r="S6" s="32"/>
      <c r="T6" s="30">
        <f>Design!U6</f>
        <v>0</v>
      </c>
      <c r="U6" s="31"/>
      <c r="V6" s="31"/>
      <c r="W6" s="31"/>
      <c r="X6" s="31"/>
      <c r="Y6" s="31"/>
      <c r="Z6" s="31"/>
      <c r="AA6" s="31"/>
      <c r="AB6" s="31"/>
      <c r="AC6" s="31"/>
      <c r="AD6" s="31"/>
      <c r="AE6" s="32"/>
      <c r="AF6" s="54" t="s">
        <v>1030</v>
      </c>
      <c r="AG6" s="31"/>
      <c r="AH6" s="31"/>
      <c r="AI6" s="32"/>
      <c r="AJ6" s="30">
        <f>Design!AK6</f>
        <v>0</v>
      </c>
      <c r="AK6" s="31"/>
      <c r="AL6" s="31"/>
      <c r="AM6" s="31"/>
      <c r="AN6" s="37"/>
      <c r="AO6" s="5"/>
      <c r="AP6" s="5"/>
      <c r="AQ6" s="5"/>
      <c r="AR6" s="5"/>
      <c r="AS6" s="5"/>
      <c r="AT6" s="5"/>
      <c r="AU6" s="5"/>
      <c r="AV6" s="5"/>
      <c r="AW6" s="5"/>
      <c r="AX6" s="5"/>
      <c r="AY6" s="5"/>
      <c r="AZ6" s="5"/>
      <c r="BA6" s="5"/>
      <c r="BB6" s="6"/>
      <c r="BC6" s="251"/>
      <c r="BD6" s="251"/>
      <c r="BE6" s="251"/>
      <c r="BF6" s="251"/>
      <c r="BG6" s="251"/>
      <c r="BH6" s="251"/>
      <c r="BI6" s="251"/>
      <c r="BJ6" s="251"/>
      <c r="BK6" s="251"/>
      <c r="BL6" s="251"/>
      <c r="BM6" s="251"/>
    </row>
    <row r="7" spans="1:65" x14ac:dyDescent="0.25">
      <c r="A7" s="4"/>
      <c r="B7" s="5"/>
      <c r="C7" s="5"/>
      <c r="D7" s="5"/>
      <c r="E7" s="5"/>
      <c r="F7" s="5"/>
      <c r="G7" s="5"/>
      <c r="H7" s="5"/>
      <c r="I7" s="5"/>
      <c r="J7" s="5"/>
      <c r="K7" s="5"/>
      <c r="L7" s="5"/>
      <c r="M7" s="5"/>
      <c r="N7" s="5"/>
      <c r="O7" s="51" t="s">
        <v>1027</v>
      </c>
      <c r="P7" s="31"/>
      <c r="Q7" s="31"/>
      <c r="R7" s="31"/>
      <c r="S7" s="32"/>
      <c r="T7" s="30">
        <f>Design!U8</f>
        <v>0</v>
      </c>
      <c r="U7" s="31"/>
      <c r="V7" s="31"/>
      <c r="W7" s="31"/>
      <c r="X7" s="31"/>
      <c r="Y7" s="31"/>
      <c r="Z7" s="31"/>
      <c r="AA7" s="31"/>
      <c r="AB7" s="31"/>
      <c r="AC7" s="31"/>
      <c r="AD7" s="31"/>
      <c r="AE7" s="32"/>
      <c r="AF7" s="55" t="s">
        <v>1031</v>
      </c>
      <c r="AG7" s="43"/>
      <c r="AH7" s="43"/>
      <c r="AI7" s="42"/>
      <c r="AJ7" s="351">
        <f>Design!AK7</f>
        <v>0</v>
      </c>
      <c r="AK7" s="352"/>
      <c r="AL7" s="352"/>
      <c r="AM7" s="352"/>
      <c r="AN7" s="353"/>
      <c r="AO7" s="5"/>
      <c r="AP7" s="5"/>
      <c r="AQ7" s="5"/>
      <c r="AR7" s="5"/>
      <c r="AS7" s="5"/>
      <c r="AT7" s="5"/>
      <c r="AU7" s="5"/>
      <c r="AV7" s="5"/>
      <c r="AW7" s="5"/>
      <c r="AX7" s="5"/>
      <c r="AY7" s="5"/>
      <c r="AZ7" s="5"/>
      <c r="BA7" s="5"/>
      <c r="BB7" s="6"/>
      <c r="BC7" s="251"/>
      <c r="BD7" s="251"/>
      <c r="BE7" s="251"/>
      <c r="BF7" s="251"/>
      <c r="BG7" s="251"/>
      <c r="BH7" s="251"/>
      <c r="BI7" s="251"/>
      <c r="BJ7" s="251"/>
      <c r="BK7" s="251"/>
      <c r="BL7" s="251"/>
      <c r="BM7" s="251"/>
    </row>
    <row r="8" spans="1:65" ht="15.75" thickBot="1" x14ac:dyDescent="0.3">
      <c r="A8" s="4"/>
      <c r="B8" s="7"/>
      <c r="C8" s="7"/>
      <c r="D8" s="7"/>
      <c r="E8" s="7"/>
      <c r="F8" s="7"/>
      <c r="G8" s="7"/>
      <c r="H8" s="7"/>
      <c r="I8" s="7"/>
      <c r="J8" s="7"/>
      <c r="K8" s="7"/>
      <c r="L8" s="7"/>
      <c r="M8" s="7"/>
      <c r="N8" s="7"/>
      <c r="O8" s="52" t="s">
        <v>1034</v>
      </c>
      <c r="P8" s="38"/>
      <c r="Q8" s="38"/>
      <c r="R8" s="38"/>
      <c r="S8" s="39"/>
      <c r="T8" s="7"/>
      <c r="U8" s="7"/>
      <c r="V8" s="7"/>
      <c r="W8" s="7"/>
      <c r="X8" s="7"/>
      <c r="Y8" s="7"/>
      <c r="Z8" s="7"/>
      <c r="AA8" s="7"/>
      <c r="AB8" s="7"/>
      <c r="AC8" s="7"/>
      <c r="AD8" s="7"/>
      <c r="AE8" s="7"/>
      <c r="AF8" s="56" t="s">
        <v>1032</v>
      </c>
      <c r="AG8" s="38"/>
      <c r="AH8" s="38"/>
      <c r="AI8" s="39"/>
      <c r="AJ8" s="41">
        <f>Design!AK8</f>
        <v>0</v>
      </c>
      <c r="AK8" s="40"/>
      <c r="AL8" s="57" t="s">
        <v>1033</v>
      </c>
      <c r="AM8" s="7">
        <f>Design!AN8</f>
        <v>0</v>
      </c>
      <c r="AN8" s="8"/>
      <c r="AO8" s="7"/>
      <c r="AP8" s="7"/>
      <c r="AQ8" s="7"/>
      <c r="AR8" s="7"/>
      <c r="AS8" s="7"/>
      <c r="AT8" s="7"/>
      <c r="AU8" s="7"/>
      <c r="AV8" s="7"/>
      <c r="AW8" s="7"/>
      <c r="AX8" s="7"/>
      <c r="AY8" s="7"/>
      <c r="AZ8" s="7"/>
      <c r="BA8" s="7"/>
      <c r="BB8" s="8"/>
      <c r="BC8" s="251"/>
      <c r="BD8" s="251"/>
      <c r="BE8" s="251"/>
      <c r="BF8" s="251"/>
      <c r="BG8" s="251"/>
      <c r="BH8" s="251"/>
      <c r="BI8" s="251"/>
      <c r="BJ8" s="251"/>
      <c r="BK8" s="251"/>
      <c r="BL8" s="251"/>
      <c r="BM8" s="251"/>
    </row>
    <row r="9" spans="1:65" ht="15.75" thickBot="1" x14ac:dyDescent="0.3">
      <c r="A9" s="62">
        <v>1</v>
      </c>
      <c r="B9" s="83" t="s">
        <v>1036</v>
      </c>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250"/>
      <c r="BB9" s="62" t="s">
        <v>953</v>
      </c>
      <c r="BC9" s="251"/>
      <c r="BD9" s="251"/>
      <c r="BE9" s="251"/>
      <c r="BF9" s="251"/>
      <c r="BG9" s="251"/>
      <c r="BH9" s="251"/>
      <c r="BI9" s="251"/>
      <c r="BJ9" s="251"/>
      <c r="BK9" s="251"/>
      <c r="BL9" s="251"/>
      <c r="BM9" s="251"/>
    </row>
    <row r="10" spans="1:65" x14ac:dyDescent="0.25">
      <c r="A10" s="63">
        <v>2</v>
      </c>
      <c r="B10" s="67" t="s">
        <v>1038</v>
      </c>
      <c r="C10" s="68"/>
      <c r="D10" s="68"/>
      <c r="E10" s="68"/>
      <c r="F10" s="68"/>
      <c r="G10" s="68"/>
      <c r="H10" s="68"/>
      <c r="I10" s="68"/>
      <c r="J10" s="68"/>
      <c r="K10" s="68"/>
      <c r="L10" s="68"/>
      <c r="M10" s="68"/>
      <c r="N10" s="70"/>
      <c r="O10" s="69">
        <f>Design!P10</f>
        <v>0</v>
      </c>
      <c r="P10" s="69"/>
      <c r="Q10" s="69"/>
      <c r="R10" s="69"/>
      <c r="S10" s="69"/>
      <c r="T10" s="69"/>
      <c r="U10" s="69"/>
      <c r="V10" s="69"/>
      <c r="W10" s="69"/>
      <c r="X10" s="69"/>
      <c r="Y10" s="69"/>
      <c r="Z10" s="69"/>
      <c r="AA10" s="151"/>
      <c r="AB10" s="67" t="s">
        <v>1041</v>
      </c>
      <c r="AC10" s="68"/>
      <c r="AD10" s="68"/>
      <c r="AE10" s="68"/>
      <c r="AF10" s="68"/>
      <c r="AG10" s="68"/>
      <c r="AH10" s="68"/>
      <c r="AI10" s="68"/>
      <c r="AJ10" s="68"/>
      <c r="AK10" s="68"/>
      <c r="AL10" s="68"/>
      <c r="AM10" s="68"/>
      <c r="AN10" s="70"/>
      <c r="AO10" s="69">
        <f>Design!P15</f>
        <v>0</v>
      </c>
      <c r="AP10" s="69"/>
      <c r="AQ10" s="69"/>
      <c r="AR10" s="69"/>
      <c r="AS10" s="69"/>
      <c r="AT10" s="69"/>
      <c r="AU10" s="69"/>
      <c r="AV10" s="69"/>
      <c r="AW10" s="69"/>
      <c r="AX10" s="69"/>
      <c r="AY10" s="69"/>
      <c r="AZ10" s="69"/>
      <c r="BA10" s="151"/>
      <c r="BB10" s="65"/>
      <c r="BC10" s="251"/>
      <c r="BD10" s="251"/>
      <c r="BE10" s="251"/>
      <c r="BF10" s="251"/>
      <c r="BG10" s="251"/>
      <c r="BH10" s="251"/>
      <c r="BI10" s="251"/>
      <c r="BJ10" s="251"/>
      <c r="BK10" s="251"/>
      <c r="BL10" s="251"/>
      <c r="BM10" s="251"/>
    </row>
    <row r="11" spans="1:65" x14ac:dyDescent="0.25">
      <c r="A11" s="63">
        <v>3</v>
      </c>
      <c r="B11" s="77" t="s">
        <v>1034</v>
      </c>
      <c r="C11" s="78"/>
      <c r="D11" s="78"/>
      <c r="E11" s="78"/>
      <c r="F11" s="78"/>
      <c r="G11" s="78"/>
      <c r="H11" s="78"/>
      <c r="I11" s="78"/>
      <c r="J11" s="78"/>
      <c r="K11" s="78"/>
      <c r="L11" s="78"/>
      <c r="M11" s="78"/>
      <c r="N11" s="82"/>
      <c r="O11" s="80">
        <f>Design!P11</f>
        <v>0</v>
      </c>
      <c r="P11" s="80"/>
      <c r="Q11" s="80"/>
      <c r="R11" s="80"/>
      <c r="S11" s="80"/>
      <c r="T11" s="80"/>
      <c r="U11" s="80"/>
      <c r="V11" s="80"/>
      <c r="W11" s="80"/>
      <c r="X11" s="80"/>
      <c r="Y11" s="80"/>
      <c r="Z11" s="80"/>
      <c r="AA11" s="81"/>
      <c r="AB11" s="77" t="s">
        <v>1042</v>
      </c>
      <c r="AC11" s="78"/>
      <c r="AD11" s="78"/>
      <c r="AE11" s="78"/>
      <c r="AF11" s="78"/>
      <c r="AG11" s="78"/>
      <c r="AH11" s="78"/>
      <c r="AI11" s="78"/>
      <c r="AJ11" s="78"/>
      <c r="AK11" s="78"/>
      <c r="AL11" s="78"/>
      <c r="AM11" s="78"/>
      <c r="AN11" s="82"/>
      <c r="AO11" s="80">
        <f>Design!P16</f>
        <v>0</v>
      </c>
      <c r="AP11" s="80"/>
      <c r="AQ11" s="80"/>
      <c r="AR11" s="80"/>
      <c r="AS11" s="80"/>
      <c r="AT11" s="80"/>
      <c r="AU11" s="80"/>
      <c r="AV11" s="80"/>
      <c r="AW11" s="80"/>
      <c r="AX11" s="80"/>
      <c r="AY11" s="80"/>
      <c r="AZ11" s="80"/>
      <c r="BA11" s="81"/>
      <c r="BB11" s="65"/>
      <c r="BC11" s="251"/>
      <c r="BD11" s="251"/>
      <c r="BE11" s="251"/>
      <c r="BF11" s="251"/>
      <c r="BG11" s="251"/>
      <c r="BH11" s="251"/>
      <c r="BI11" s="251"/>
      <c r="BJ11" s="251"/>
      <c r="BK11" s="251"/>
      <c r="BL11" s="251"/>
      <c r="BM11" s="251"/>
    </row>
    <row r="12" spans="1:65" x14ac:dyDescent="0.25">
      <c r="A12" s="63">
        <v>4</v>
      </c>
      <c r="B12" s="77" t="s">
        <v>1100</v>
      </c>
      <c r="C12" s="78"/>
      <c r="D12" s="78"/>
      <c r="E12" s="78"/>
      <c r="F12" s="78"/>
      <c r="G12" s="78"/>
      <c r="H12" s="78"/>
      <c r="I12" s="78"/>
      <c r="J12" s="78"/>
      <c r="K12" s="78"/>
      <c r="L12" s="78"/>
      <c r="M12" s="78"/>
      <c r="N12" s="82"/>
      <c r="O12" s="80">
        <f>Design!P12</f>
        <v>0</v>
      </c>
      <c r="P12" s="80"/>
      <c r="Q12" s="80"/>
      <c r="R12" s="80"/>
      <c r="S12" s="80"/>
      <c r="T12" s="80"/>
      <c r="U12" s="80"/>
      <c r="V12" s="80"/>
      <c r="W12" s="80"/>
      <c r="X12" s="80"/>
      <c r="Y12" s="80"/>
      <c r="Z12" s="80"/>
      <c r="AA12" s="81"/>
      <c r="AB12" s="77" t="s">
        <v>1049</v>
      </c>
      <c r="AC12" s="78"/>
      <c r="AD12" s="78"/>
      <c r="AE12" s="78"/>
      <c r="AF12" s="78"/>
      <c r="AG12" s="78"/>
      <c r="AH12" s="78"/>
      <c r="AI12" s="78"/>
      <c r="AJ12" s="78"/>
      <c r="AK12" s="78"/>
      <c r="AL12" s="78"/>
      <c r="AM12" s="78"/>
      <c r="AN12" s="82"/>
      <c r="AO12" s="80">
        <f>Design!P17</f>
        <v>0</v>
      </c>
      <c r="AP12" s="80"/>
      <c r="AQ12" s="80"/>
      <c r="AR12" s="80"/>
      <c r="AS12" s="80"/>
      <c r="AT12" s="80"/>
      <c r="AU12" s="80"/>
      <c r="AV12" s="80"/>
      <c r="AW12" s="80"/>
      <c r="AX12" s="80"/>
      <c r="AY12" s="80"/>
      <c r="AZ12" s="80"/>
      <c r="BA12" s="81"/>
      <c r="BB12" s="65"/>
      <c r="BC12" s="251"/>
      <c r="BD12" s="251"/>
      <c r="BE12" s="251"/>
      <c r="BF12" s="251"/>
      <c r="BG12" s="251"/>
      <c r="BH12" s="251"/>
      <c r="BI12" s="251"/>
      <c r="BJ12" s="251"/>
      <c r="BK12" s="251"/>
      <c r="BL12" s="251"/>
      <c r="BM12" s="251"/>
    </row>
    <row r="13" spans="1:65" x14ac:dyDescent="0.25">
      <c r="A13" s="63">
        <v>5</v>
      </c>
      <c r="B13" s="77" t="s">
        <v>1039</v>
      </c>
      <c r="C13" s="78"/>
      <c r="D13" s="78"/>
      <c r="E13" s="78"/>
      <c r="F13" s="78"/>
      <c r="G13" s="78"/>
      <c r="H13" s="78"/>
      <c r="I13" s="78"/>
      <c r="J13" s="78"/>
      <c r="K13" s="78"/>
      <c r="L13" s="78"/>
      <c r="M13" s="78"/>
      <c r="N13" s="82"/>
      <c r="O13" s="80" t="str">
        <f>Design!P13&amp;" FT"</f>
        <v xml:space="preserve"> FT</v>
      </c>
      <c r="P13" s="80"/>
      <c r="Q13" s="80"/>
      <c r="R13" s="80"/>
      <c r="S13" s="80"/>
      <c r="T13" s="80" t="str">
        <f>"( "&amp;Design!U13&amp;" IN )"</f>
        <v>( 0 IN )</v>
      </c>
      <c r="U13" s="80"/>
      <c r="V13" s="80"/>
      <c r="W13" s="80"/>
      <c r="X13" s="80"/>
      <c r="Y13" s="80"/>
      <c r="Z13" s="80"/>
      <c r="AA13" s="81"/>
      <c r="AB13" s="77" t="s">
        <v>1103</v>
      </c>
      <c r="AC13" s="78"/>
      <c r="AD13" s="78"/>
      <c r="AE13" s="78"/>
      <c r="AF13" s="78"/>
      <c r="AG13" s="78"/>
      <c r="AH13" s="78"/>
      <c r="AI13" s="78"/>
      <c r="AJ13" s="78"/>
      <c r="AK13" s="78"/>
      <c r="AL13" s="78"/>
      <c r="AM13" s="78"/>
      <c r="AN13" s="82"/>
      <c r="AO13" s="80">
        <f>Design!P18</f>
        <v>0</v>
      </c>
      <c r="AP13" s="80"/>
      <c r="AQ13" s="80"/>
      <c r="AR13" s="80"/>
      <c r="AS13" s="80"/>
      <c r="AT13" s="80"/>
      <c r="AU13" s="80"/>
      <c r="AV13" s="80"/>
      <c r="AW13" s="80"/>
      <c r="AX13" s="80"/>
      <c r="AY13" s="80"/>
      <c r="AZ13" s="80"/>
      <c r="BA13" s="81"/>
      <c r="BB13" s="65"/>
      <c r="BC13" s="251"/>
      <c r="BD13" s="251"/>
      <c r="BE13" s="251"/>
      <c r="BF13" s="251"/>
      <c r="BG13" s="251"/>
      <c r="BH13" s="251"/>
      <c r="BI13" s="251"/>
      <c r="BJ13" s="251"/>
      <c r="BK13" s="251"/>
      <c r="BL13" s="251"/>
      <c r="BM13" s="251"/>
    </row>
    <row r="14" spans="1:65" x14ac:dyDescent="0.25">
      <c r="A14" s="63">
        <v>6</v>
      </c>
      <c r="B14" s="77" t="s">
        <v>1040</v>
      </c>
      <c r="C14" s="78"/>
      <c r="D14" s="78"/>
      <c r="E14" s="78"/>
      <c r="F14" s="78"/>
      <c r="G14" s="78"/>
      <c r="H14" s="78"/>
      <c r="I14" s="78"/>
      <c r="J14" s="78"/>
      <c r="K14" s="78"/>
      <c r="L14" s="78"/>
      <c r="M14" s="78"/>
      <c r="N14" s="82"/>
      <c r="O14" s="80">
        <f>Design!P14</f>
        <v>0</v>
      </c>
      <c r="P14" s="80"/>
      <c r="Q14" s="80"/>
      <c r="R14" s="80"/>
      <c r="S14" s="80"/>
      <c r="T14" s="80"/>
      <c r="U14" s="80"/>
      <c r="V14" s="80"/>
      <c r="W14" s="80"/>
      <c r="X14" s="80"/>
      <c r="Y14" s="80"/>
      <c r="Z14" s="80"/>
      <c r="AA14" s="81"/>
      <c r="AB14" s="67" t="s">
        <v>1050</v>
      </c>
      <c r="AC14" s="68"/>
      <c r="AD14" s="68"/>
      <c r="AE14" s="68"/>
      <c r="AF14" s="68"/>
      <c r="AG14" s="68"/>
      <c r="AH14" s="68"/>
      <c r="AI14" s="68"/>
      <c r="AJ14" s="68"/>
      <c r="AK14" s="68"/>
      <c r="AL14" s="68"/>
      <c r="AM14" s="68"/>
      <c r="AN14" s="70"/>
      <c r="AO14" s="69">
        <f>Design!AP10</f>
        <v>0</v>
      </c>
      <c r="AP14" s="69"/>
      <c r="AQ14" s="69"/>
      <c r="AR14" s="69"/>
      <c r="AS14" s="69"/>
      <c r="AT14" s="69"/>
      <c r="AU14" s="69"/>
      <c r="AV14" s="69"/>
      <c r="AW14" s="69"/>
      <c r="AX14" s="69"/>
      <c r="AY14" s="69"/>
      <c r="AZ14" s="69"/>
      <c r="BA14" s="151"/>
      <c r="BB14" s="65"/>
      <c r="BC14" s="251"/>
      <c r="BD14" s="251"/>
      <c r="BE14" s="251"/>
      <c r="BF14" s="251"/>
      <c r="BG14" s="251"/>
      <c r="BH14" s="251"/>
      <c r="BI14" s="251"/>
      <c r="BJ14" s="251"/>
      <c r="BK14" s="251"/>
      <c r="BL14" s="251"/>
      <c r="BM14" s="251"/>
    </row>
    <row r="15" spans="1:65" x14ac:dyDescent="0.25">
      <c r="A15" s="63">
        <v>7</v>
      </c>
      <c r="B15" s="77" t="s">
        <v>1890</v>
      </c>
      <c r="C15" s="78"/>
      <c r="D15" s="78"/>
      <c r="E15" s="78"/>
      <c r="F15" s="78"/>
      <c r="G15" s="78"/>
      <c r="H15" s="78"/>
      <c r="I15" s="78"/>
      <c r="J15" s="78"/>
      <c r="K15" s="78"/>
      <c r="L15" s="78"/>
      <c r="M15" s="78"/>
      <c r="N15" s="82"/>
      <c r="O15" s="78" t="e">
        <f>Design!P43&amp;" FT3/HR"</f>
        <v>#N/A</v>
      </c>
      <c r="P15" s="78"/>
      <c r="Q15" s="78"/>
      <c r="R15" s="78"/>
      <c r="S15" s="78"/>
      <c r="T15" s="80" t="e">
        <f>"("&amp;Design!W43&amp;" LB/HR )"</f>
        <v>#N/A</v>
      </c>
      <c r="U15" s="80"/>
      <c r="V15" s="80"/>
      <c r="W15" s="80"/>
      <c r="X15" s="80"/>
      <c r="Y15" s="80"/>
      <c r="Z15" s="80"/>
      <c r="AA15" s="81"/>
      <c r="AB15" s="77" t="s">
        <v>1051</v>
      </c>
      <c r="AC15" s="78"/>
      <c r="AD15" s="78"/>
      <c r="AE15" s="78"/>
      <c r="AF15" s="78"/>
      <c r="AG15" s="78"/>
      <c r="AH15" s="78"/>
      <c r="AI15" s="78"/>
      <c r="AJ15" s="78"/>
      <c r="AK15" s="78"/>
      <c r="AL15" s="78"/>
      <c r="AM15" s="78"/>
      <c r="AN15" s="82"/>
      <c r="AO15" s="80" t="e">
        <f>Design!AP11&amp;" LB/FT3"</f>
        <v>#N/A</v>
      </c>
      <c r="AP15" s="80"/>
      <c r="AQ15" s="80"/>
      <c r="AR15" s="80"/>
      <c r="AS15" s="80"/>
      <c r="AT15" s="80"/>
      <c r="AU15" s="80"/>
      <c r="AV15" s="80"/>
      <c r="AW15" s="80"/>
      <c r="AX15" s="80"/>
      <c r="AY15" s="80"/>
      <c r="AZ15" s="80"/>
      <c r="BA15" s="81"/>
      <c r="BB15" s="65"/>
      <c r="BC15" s="251"/>
      <c r="BD15" s="251"/>
      <c r="BE15" s="251"/>
      <c r="BF15" s="251"/>
      <c r="BG15" s="251"/>
      <c r="BH15" s="251"/>
      <c r="BI15" s="251"/>
      <c r="BJ15" s="251"/>
      <c r="BK15" s="251"/>
      <c r="BL15" s="251"/>
      <c r="BM15" s="251"/>
    </row>
    <row r="16" spans="1:65" x14ac:dyDescent="0.25">
      <c r="A16" s="63">
        <v>8</v>
      </c>
      <c r="B16" s="77" t="s">
        <v>1138</v>
      </c>
      <c r="C16" s="78"/>
      <c r="D16" s="78"/>
      <c r="E16" s="78"/>
      <c r="F16" s="78"/>
      <c r="G16" s="78"/>
      <c r="H16" s="78"/>
      <c r="I16" s="78"/>
      <c r="J16" s="78"/>
      <c r="K16" s="78"/>
      <c r="L16" s="78"/>
      <c r="M16" s="78"/>
      <c r="N16" s="82"/>
      <c r="O16" s="80" t="e">
        <f>ROUND(Design!AO31,2)&amp;" RPM DESIGN CAPACITY"</f>
        <v>#N/A</v>
      </c>
      <c r="P16" s="80"/>
      <c r="Q16" s="80"/>
      <c r="R16" s="80"/>
      <c r="S16" s="80"/>
      <c r="T16" s="80"/>
      <c r="U16" s="80"/>
      <c r="V16" s="80"/>
      <c r="W16" s="80"/>
      <c r="X16" s="80"/>
      <c r="Y16" s="80"/>
      <c r="Z16" s="80"/>
      <c r="AA16" s="81"/>
      <c r="AB16" s="77" t="s">
        <v>1235</v>
      </c>
      <c r="AC16" s="78"/>
      <c r="AD16" s="78"/>
      <c r="AE16" s="78"/>
      <c r="AF16" s="78"/>
      <c r="AG16" s="78"/>
      <c r="AH16" s="78"/>
      <c r="AI16" s="78"/>
      <c r="AJ16" s="78"/>
      <c r="AK16" s="78"/>
      <c r="AL16" s="78"/>
      <c r="AM16" s="78"/>
      <c r="AN16" s="82"/>
      <c r="AO16" s="80" t="e">
        <f>Design!AP12&amp;" %"</f>
        <v>#N/A</v>
      </c>
      <c r="AP16" s="80"/>
      <c r="AQ16" s="80"/>
      <c r="AR16" s="80"/>
      <c r="AS16" s="80"/>
      <c r="AT16" s="80"/>
      <c r="AU16" s="80"/>
      <c r="AV16" s="80"/>
      <c r="AW16" s="80"/>
      <c r="AX16" s="80"/>
      <c r="AY16" s="80"/>
      <c r="AZ16" s="80"/>
      <c r="BA16" s="81"/>
      <c r="BB16" s="65"/>
      <c r="BC16" s="251"/>
      <c r="BD16" s="251"/>
      <c r="BE16" s="251"/>
      <c r="BF16" s="251"/>
      <c r="BG16" s="251"/>
      <c r="BH16" s="251"/>
      <c r="BI16" s="251"/>
      <c r="BJ16" s="251"/>
      <c r="BK16" s="251"/>
      <c r="BL16" s="251"/>
      <c r="BM16" s="251"/>
    </row>
    <row r="17" spans="1:65" x14ac:dyDescent="0.25">
      <c r="A17" s="63">
        <v>9</v>
      </c>
      <c r="B17" s="77" t="s">
        <v>1891</v>
      </c>
      <c r="C17" s="78"/>
      <c r="D17" s="78"/>
      <c r="E17" s="78"/>
      <c r="F17" s="78"/>
      <c r="G17" s="78"/>
      <c r="H17" s="78"/>
      <c r="I17" s="78"/>
      <c r="J17" s="78"/>
      <c r="K17" s="78"/>
      <c r="L17" s="78"/>
      <c r="M17" s="78"/>
      <c r="N17" s="82"/>
      <c r="O17" s="80" t="str">
        <f>Design!AJ20&amp;" "&amp;Design!AQ20&amp;" "</f>
        <v xml:space="preserve">  </v>
      </c>
      <c r="P17" s="80"/>
      <c r="Q17" s="80"/>
      <c r="R17" s="80"/>
      <c r="S17" s="89"/>
      <c r="T17" s="80"/>
      <c r="U17" s="114"/>
      <c r="V17" s="80"/>
      <c r="W17" s="80"/>
      <c r="X17" s="80"/>
      <c r="Y17" s="80"/>
      <c r="Z17" s="80"/>
      <c r="AA17" s="81"/>
      <c r="AB17" s="77" t="s">
        <v>1053</v>
      </c>
      <c r="AC17" s="78"/>
      <c r="AD17" s="78"/>
      <c r="AE17" s="78"/>
      <c r="AF17" s="78"/>
      <c r="AG17" s="78"/>
      <c r="AH17" s="78"/>
      <c r="AI17" s="78"/>
      <c r="AJ17" s="78"/>
      <c r="AK17" s="78"/>
      <c r="AL17" s="78"/>
      <c r="AM17" s="78"/>
      <c r="AN17" s="82"/>
      <c r="AO17" s="80" t="e">
        <f>Design!AP13</f>
        <v>#N/A</v>
      </c>
      <c r="AP17" s="80"/>
      <c r="AQ17" s="80"/>
      <c r="AR17" s="80"/>
      <c r="AS17" s="80"/>
      <c r="AT17" s="80"/>
      <c r="AU17" s="80"/>
      <c r="AV17" s="80"/>
      <c r="AW17" s="80"/>
      <c r="AX17" s="80"/>
      <c r="AY17" s="80"/>
      <c r="AZ17" s="80"/>
      <c r="BA17" s="81"/>
      <c r="BB17" s="65"/>
      <c r="BC17" s="251"/>
      <c r="BD17" s="251"/>
      <c r="BE17" s="251"/>
      <c r="BF17" s="251"/>
      <c r="BG17" s="251"/>
      <c r="BH17" s="251"/>
      <c r="BI17" s="251"/>
      <c r="BJ17" s="251"/>
      <c r="BK17" s="251"/>
      <c r="BL17" s="251"/>
      <c r="BM17" s="251"/>
    </row>
    <row r="18" spans="1:65" ht="14.25" customHeight="1" x14ac:dyDescent="0.25">
      <c r="A18" s="63">
        <v>10</v>
      </c>
      <c r="B18" s="77" t="s">
        <v>1892</v>
      </c>
      <c r="C18" s="78"/>
      <c r="D18" s="78"/>
      <c r="E18" s="78"/>
      <c r="F18" s="78"/>
      <c r="G18" s="78"/>
      <c r="H18" s="78"/>
      <c r="I18" s="78"/>
      <c r="J18" s="78"/>
      <c r="K18" s="78"/>
      <c r="L18" s="78"/>
      <c r="M18" s="78"/>
      <c r="N18" s="82"/>
      <c r="O18" s="80" t="str">
        <f>Design!AJ21&amp;" RPM / "&amp;Design!AQ21&amp;":1 RATIO"</f>
        <v xml:space="preserve"> RPM / :1 RATIO</v>
      </c>
      <c r="P18" s="80"/>
      <c r="Q18" s="80"/>
      <c r="R18" s="80"/>
      <c r="S18" s="80"/>
      <c r="T18" s="80"/>
      <c r="U18" s="80"/>
      <c r="V18" s="80"/>
      <c r="W18" s="80"/>
      <c r="X18" s="80"/>
      <c r="Y18" s="80"/>
      <c r="Z18" s="80"/>
      <c r="AA18" s="81"/>
      <c r="AB18" s="77" t="s">
        <v>1054</v>
      </c>
      <c r="AC18" s="78"/>
      <c r="AD18" s="78"/>
      <c r="AE18" s="78"/>
      <c r="AF18" s="78"/>
      <c r="AG18" s="78"/>
      <c r="AH18" s="78"/>
      <c r="AI18" s="78"/>
      <c r="AJ18" s="78"/>
      <c r="AK18" s="78"/>
      <c r="AL18" s="78"/>
      <c r="AM18" s="78"/>
      <c r="AN18" s="82"/>
      <c r="AO18" s="80" t="e">
        <f>Design!AP14</f>
        <v>#N/A</v>
      </c>
      <c r="AP18" s="80"/>
      <c r="AQ18" s="80"/>
      <c r="AR18" s="80"/>
      <c r="AS18" s="80"/>
      <c r="AT18" s="80"/>
      <c r="AU18" s="80"/>
      <c r="AV18" s="80"/>
      <c r="AW18" s="80"/>
      <c r="AX18" s="80"/>
      <c r="AY18" s="80"/>
      <c r="AZ18" s="80"/>
      <c r="BA18" s="81"/>
      <c r="BB18" s="65"/>
      <c r="BC18" s="251"/>
      <c r="BD18" s="251"/>
      <c r="BE18" s="251"/>
      <c r="BF18" s="251"/>
      <c r="BG18" s="251"/>
      <c r="BH18" s="251"/>
      <c r="BI18" s="251"/>
      <c r="BJ18" s="251"/>
      <c r="BK18" s="251"/>
      <c r="BL18" s="251"/>
      <c r="BM18" s="251"/>
    </row>
    <row r="19" spans="1:65" ht="14.25" customHeight="1" x14ac:dyDescent="0.25">
      <c r="A19" s="63">
        <v>11</v>
      </c>
      <c r="B19" s="77" t="s">
        <v>1893</v>
      </c>
      <c r="C19" s="78"/>
      <c r="D19" s="78"/>
      <c r="E19" s="78"/>
      <c r="F19" s="78"/>
      <c r="G19" s="78"/>
      <c r="H19" s="78"/>
      <c r="I19" s="78"/>
      <c r="J19" s="78"/>
      <c r="K19" s="78"/>
      <c r="L19" s="78"/>
      <c r="M19" s="78"/>
      <c r="N19" s="82"/>
      <c r="O19" s="80" t="str">
        <f>Design!AJ22&amp;" Ø"&amp;Design!AQ22&amp;""" / "&amp;Design!AJ23&amp;" / "&amp;Design!AQ23</f>
        <v xml:space="preserve"> Ø" /  / </v>
      </c>
      <c r="P19" s="80"/>
      <c r="Q19" s="80"/>
      <c r="R19" s="80"/>
      <c r="S19" s="80"/>
      <c r="T19" s="80"/>
      <c r="U19" s="80"/>
      <c r="V19" s="80"/>
      <c r="W19" s="80"/>
      <c r="X19" s="80"/>
      <c r="Y19" s="80"/>
      <c r="Z19" s="80"/>
      <c r="AA19" s="81"/>
      <c r="AB19" s="77" t="s">
        <v>1236</v>
      </c>
      <c r="AC19" s="78"/>
      <c r="AD19" s="78"/>
      <c r="AE19" s="78"/>
      <c r="AF19" s="78"/>
      <c r="AG19" s="78"/>
      <c r="AH19" s="78"/>
      <c r="AI19" s="78"/>
      <c r="AJ19" s="78"/>
      <c r="AK19" s="78"/>
      <c r="AL19" s="78"/>
      <c r="AM19" s="78"/>
      <c r="AN19" s="82"/>
      <c r="AO19" s="80" t="e">
        <f>Design!AP15</f>
        <v>#N/A</v>
      </c>
      <c r="AP19" s="80"/>
      <c r="AQ19" s="80"/>
      <c r="AR19" s="80"/>
      <c r="AS19" s="80"/>
      <c r="AT19" s="80"/>
      <c r="AU19" s="80"/>
      <c r="AV19" s="80"/>
      <c r="AW19" s="80"/>
      <c r="AX19" s="80"/>
      <c r="AY19" s="80"/>
      <c r="AZ19" s="80"/>
      <c r="BA19" s="81"/>
      <c r="BB19" s="65"/>
      <c r="BC19" s="251"/>
      <c r="BD19" s="251"/>
      <c r="BE19" s="251"/>
      <c r="BF19" s="251"/>
      <c r="BG19" s="251"/>
      <c r="BH19" s="251"/>
      <c r="BI19" s="251"/>
      <c r="BJ19" s="251"/>
      <c r="BK19" s="251"/>
      <c r="BL19" s="251"/>
      <c r="BM19" s="251"/>
    </row>
    <row r="20" spans="1:65" ht="14.25" customHeight="1" x14ac:dyDescent="0.25">
      <c r="A20" s="63">
        <v>12</v>
      </c>
      <c r="B20" s="77" t="s">
        <v>1134</v>
      </c>
      <c r="C20" s="78"/>
      <c r="D20" s="78"/>
      <c r="E20" s="78"/>
      <c r="F20" s="78"/>
      <c r="G20" s="78"/>
      <c r="H20" s="78"/>
      <c r="I20" s="78"/>
      <c r="J20" s="78"/>
      <c r="K20" s="78"/>
      <c r="L20" s="78"/>
      <c r="M20" s="78"/>
      <c r="N20" s="82"/>
      <c r="O20" s="80" t="str">
        <f>Design!AJ24&amp;" "&amp;Design!AQ24&amp;" / "&amp;Design!AJ25&amp;" HP"</f>
        <v xml:space="preserve">  /  HP</v>
      </c>
      <c r="P20" s="80"/>
      <c r="Q20" s="80"/>
      <c r="R20" s="80"/>
      <c r="S20" s="80"/>
      <c r="T20" s="80"/>
      <c r="U20" s="80"/>
      <c r="V20" s="80"/>
      <c r="W20" s="80"/>
      <c r="X20" s="80"/>
      <c r="Y20" s="80"/>
      <c r="Z20" s="80"/>
      <c r="AA20" s="81"/>
      <c r="AB20" s="77" t="s">
        <v>1055</v>
      </c>
      <c r="AC20" s="78"/>
      <c r="AD20" s="78"/>
      <c r="AE20" s="78"/>
      <c r="AF20" s="78"/>
      <c r="AG20" s="78"/>
      <c r="AH20" s="78"/>
      <c r="AI20" s="78"/>
      <c r="AJ20" s="78"/>
      <c r="AK20" s="78"/>
      <c r="AL20" s="78"/>
      <c r="AM20" s="78"/>
      <c r="AN20" s="82"/>
      <c r="AO20" s="80" t="str">
        <f>Design!AP16&amp;"°F MIN / "&amp;Design!AW16&amp;"°F MAX"</f>
        <v>°F MIN / °F MAX</v>
      </c>
      <c r="AP20" s="80"/>
      <c r="AQ20" s="80"/>
      <c r="AR20" s="80"/>
      <c r="AS20" s="80"/>
      <c r="AT20" s="80"/>
      <c r="AU20" s="80"/>
      <c r="AV20" s="80"/>
      <c r="AW20" s="80"/>
      <c r="AX20" s="80"/>
      <c r="AY20" s="80"/>
      <c r="AZ20" s="80"/>
      <c r="BA20" s="81"/>
      <c r="BB20" s="65"/>
      <c r="BC20" s="251"/>
      <c r="BD20" s="251"/>
      <c r="BE20" s="251"/>
      <c r="BF20" s="251"/>
      <c r="BG20" s="251"/>
      <c r="BH20" s="251"/>
      <c r="BI20" s="251"/>
      <c r="BJ20" s="251"/>
      <c r="BK20" s="251"/>
      <c r="BL20" s="251"/>
      <c r="BM20" s="251"/>
    </row>
    <row r="21" spans="1:65" ht="14.25" customHeight="1" x14ac:dyDescent="0.25">
      <c r="A21" s="63">
        <v>13</v>
      </c>
      <c r="B21" s="77" t="s">
        <v>1058</v>
      </c>
      <c r="C21" s="78"/>
      <c r="D21" s="78"/>
      <c r="E21" s="78"/>
      <c r="F21" s="78"/>
      <c r="G21" s="78"/>
      <c r="H21" s="78"/>
      <c r="I21" s="78"/>
      <c r="J21" s="78"/>
      <c r="K21" s="78"/>
      <c r="L21" s="78"/>
      <c r="M21" s="78"/>
      <c r="N21" s="82"/>
      <c r="O21" s="354" t="str">
        <f>Design!AJ28&amp;" / "&amp;Design!AJ29&amp;" / EXPLOSION PROOF: "&amp;Design!AJ27</f>
        <v xml:space="preserve"> /  / EXPLOSION PROOF: </v>
      </c>
      <c r="P21" s="355"/>
      <c r="Q21" s="355"/>
      <c r="R21" s="355"/>
      <c r="S21" s="355"/>
      <c r="T21" s="355"/>
      <c r="U21" s="355"/>
      <c r="V21" s="355"/>
      <c r="W21" s="355"/>
      <c r="X21" s="355"/>
      <c r="Y21" s="355"/>
      <c r="Z21" s="355"/>
      <c r="AA21" s="356"/>
      <c r="AB21" s="77" t="s">
        <v>1056</v>
      </c>
      <c r="AC21" s="78"/>
      <c r="AD21" s="78"/>
      <c r="AE21" s="78"/>
      <c r="AF21" s="78"/>
      <c r="AG21" s="78"/>
      <c r="AH21" s="78"/>
      <c r="AI21" s="78"/>
      <c r="AJ21" s="78"/>
      <c r="AK21" s="78"/>
      <c r="AL21" s="78"/>
      <c r="AM21" s="78"/>
      <c r="AN21" s="82"/>
      <c r="AO21" s="80" t="e">
        <f>Design!AP17</f>
        <v>#N/A</v>
      </c>
      <c r="AP21" s="80"/>
      <c r="AQ21" s="80"/>
      <c r="AR21" s="80"/>
      <c r="AS21" s="80"/>
      <c r="AT21" s="80"/>
      <c r="AU21" s="80"/>
      <c r="AV21" s="80"/>
      <c r="AW21" s="80"/>
      <c r="AX21" s="80"/>
      <c r="AY21" s="80"/>
      <c r="AZ21" s="80"/>
      <c r="BA21" s="81"/>
      <c r="BB21" s="65"/>
      <c r="BC21" s="251"/>
      <c r="BD21" s="251"/>
      <c r="BE21" s="251"/>
      <c r="BF21" s="251"/>
      <c r="BG21" s="251"/>
      <c r="BH21" s="251"/>
      <c r="BI21" s="251"/>
      <c r="BJ21" s="251"/>
      <c r="BK21" s="251"/>
      <c r="BL21" s="251"/>
      <c r="BM21" s="251"/>
    </row>
    <row r="22" spans="1:65" ht="14.25" customHeight="1" x14ac:dyDescent="0.25">
      <c r="A22" s="63">
        <v>14</v>
      </c>
      <c r="B22" s="96"/>
      <c r="C22" s="78"/>
      <c r="D22" s="78"/>
      <c r="E22" s="78"/>
      <c r="F22" s="78"/>
      <c r="G22" s="78"/>
      <c r="H22" s="78"/>
      <c r="I22" s="78"/>
      <c r="J22" s="78"/>
      <c r="K22" s="78"/>
      <c r="L22" s="78"/>
      <c r="M22" s="78"/>
      <c r="N22" s="82"/>
      <c r="O22" s="357"/>
      <c r="P22" s="358"/>
      <c r="Q22" s="358"/>
      <c r="R22" s="358"/>
      <c r="S22" s="358"/>
      <c r="T22" s="358"/>
      <c r="U22" s="358"/>
      <c r="V22" s="358"/>
      <c r="W22" s="358"/>
      <c r="X22" s="358"/>
      <c r="Y22" s="358"/>
      <c r="Z22" s="358"/>
      <c r="AA22" s="359"/>
      <c r="AB22" s="77" t="s">
        <v>1058</v>
      </c>
      <c r="AC22" s="78"/>
      <c r="AD22" s="78"/>
      <c r="AE22" s="78"/>
      <c r="AF22" s="78"/>
      <c r="AG22" s="78"/>
      <c r="AH22" s="78"/>
      <c r="AI22" s="78"/>
      <c r="AJ22" s="78"/>
      <c r="AK22" s="78"/>
      <c r="AL22" s="78"/>
      <c r="AM22" s="78"/>
      <c r="AN22" s="82"/>
      <c r="AO22" s="80" t="str">
        <f>Design!AP18</f>
        <v>--</v>
      </c>
      <c r="AP22" s="80"/>
      <c r="AQ22" s="80"/>
      <c r="AR22" s="80"/>
      <c r="AS22" s="80"/>
      <c r="AT22" s="80"/>
      <c r="AU22" s="80"/>
      <c r="AV22" s="80"/>
      <c r="AW22" s="80"/>
      <c r="AX22" s="80"/>
      <c r="AY22" s="80"/>
      <c r="AZ22" s="80"/>
      <c r="BA22" s="81"/>
      <c r="BB22" s="65"/>
      <c r="BC22" s="251"/>
      <c r="BD22" s="251"/>
      <c r="BE22" s="251"/>
      <c r="BF22" s="251"/>
      <c r="BG22" s="251"/>
      <c r="BH22" s="251"/>
      <c r="BI22" s="251"/>
      <c r="BJ22" s="251"/>
      <c r="BK22" s="251"/>
      <c r="BL22" s="251"/>
      <c r="BM22" s="251"/>
    </row>
    <row r="23" spans="1:65" ht="14.25" customHeight="1" x14ac:dyDescent="0.25">
      <c r="A23" s="63">
        <v>15</v>
      </c>
      <c r="B23" s="96"/>
      <c r="C23" s="78"/>
      <c r="D23" s="78"/>
      <c r="E23" s="78"/>
      <c r="F23" s="78"/>
      <c r="G23" s="78"/>
      <c r="H23" s="78"/>
      <c r="I23" s="78"/>
      <c r="J23" s="78"/>
      <c r="K23" s="78"/>
      <c r="L23" s="78"/>
      <c r="M23" s="78"/>
      <c r="N23" s="82"/>
      <c r="O23" s="357"/>
      <c r="P23" s="358"/>
      <c r="Q23" s="358"/>
      <c r="R23" s="358"/>
      <c r="S23" s="358"/>
      <c r="T23" s="358"/>
      <c r="U23" s="358"/>
      <c r="V23" s="358"/>
      <c r="W23" s="358"/>
      <c r="X23" s="358"/>
      <c r="Y23" s="358"/>
      <c r="Z23" s="358"/>
      <c r="AA23" s="359"/>
      <c r="AB23" s="77"/>
      <c r="AC23" s="78"/>
      <c r="AD23" s="78"/>
      <c r="AE23" s="78"/>
      <c r="AF23" s="78"/>
      <c r="AG23" s="78"/>
      <c r="AH23" s="78"/>
      <c r="AI23" s="78"/>
      <c r="AJ23" s="78"/>
      <c r="AK23" s="78"/>
      <c r="AL23" s="78"/>
      <c r="AM23" s="78"/>
      <c r="AN23" s="82"/>
      <c r="AO23" s="80"/>
      <c r="AP23" s="80"/>
      <c r="AQ23" s="80"/>
      <c r="AR23" s="80"/>
      <c r="AS23" s="80"/>
      <c r="AT23" s="80"/>
      <c r="AU23" s="80"/>
      <c r="AV23" s="80"/>
      <c r="AW23" s="80"/>
      <c r="AX23" s="80"/>
      <c r="AY23" s="80"/>
      <c r="AZ23" s="80"/>
      <c r="BA23" s="81"/>
      <c r="BB23" s="65"/>
      <c r="BC23" s="251"/>
      <c r="BD23" s="251"/>
      <c r="BE23" s="251"/>
      <c r="BF23" s="251"/>
      <c r="BG23" s="251"/>
      <c r="BH23" s="251"/>
      <c r="BI23" s="251"/>
      <c r="BJ23" s="251"/>
      <c r="BK23" s="251"/>
      <c r="BL23" s="251"/>
      <c r="BM23" s="251"/>
    </row>
    <row r="24" spans="1:65" ht="14.25" customHeight="1" x14ac:dyDescent="0.25">
      <c r="A24" s="63">
        <v>16</v>
      </c>
      <c r="B24" s="96"/>
      <c r="C24" s="78"/>
      <c r="D24" s="78"/>
      <c r="E24" s="78"/>
      <c r="F24" s="78"/>
      <c r="G24" s="78"/>
      <c r="H24" s="78"/>
      <c r="I24" s="78"/>
      <c r="J24" s="78"/>
      <c r="K24" s="78"/>
      <c r="L24" s="78"/>
      <c r="M24" s="78"/>
      <c r="N24" s="82"/>
      <c r="O24" s="357"/>
      <c r="P24" s="358"/>
      <c r="Q24" s="358"/>
      <c r="R24" s="358"/>
      <c r="S24" s="358"/>
      <c r="T24" s="358"/>
      <c r="U24" s="358"/>
      <c r="V24" s="358"/>
      <c r="W24" s="358"/>
      <c r="X24" s="358"/>
      <c r="Y24" s="358"/>
      <c r="Z24" s="358"/>
      <c r="AA24" s="359"/>
      <c r="AB24" s="77"/>
      <c r="AC24" s="78"/>
      <c r="AD24" s="78"/>
      <c r="AE24" s="78"/>
      <c r="AF24" s="78"/>
      <c r="AG24" s="78"/>
      <c r="AH24" s="78"/>
      <c r="AI24" s="78"/>
      <c r="AJ24" s="78"/>
      <c r="AK24" s="78"/>
      <c r="AL24" s="78"/>
      <c r="AM24" s="78"/>
      <c r="AN24" s="82"/>
      <c r="AO24" s="118"/>
      <c r="AP24" s="78"/>
      <c r="AQ24" s="78"/>
      <c r="AR24" s="78"/>
      <c r="AS24" s="78"/>
      <c r="AT24" s="78"/>
      <c r="AU24" s="78"/>
      <c r="AV24" s="78"/>
      <c r="AW24" s="78"/>
      <c r="AX24" s="78"/>
      <c r="AY24" s="78"/>
      <c r="AZ24" s="78"/>
      <c r="BA24" s="82"/>
      <c r="BB24" s="65"/>
      <c r="BC24" s="251"/>
      <c r="BD24" s="251"/>
      <c r="BE24" s="251"/>
      <c r="BF24" s="251"/>
      <c r="BG24" s="251"/>
      <c r="BH24" s="251"/>
      <c r="BI24" s="251"/>
      <c r="BJ24" s="251"/>
      <c r="BK24" s="251"/>
      <c r="BL24" s="251"/>
      <c r="BM24" s="251"/>
    </row>
    <row r="25" spans="1:65" ht="15.75" thickBot="1" x14ac:dyDescent="0.3">
      <c r="A25" s="63">
        <v>17</v>
      </c>
      <c r="B25" s="90"/>
      <c r="C25" s="91"/>
      <c r="D25" s="91"/>
      <c r="E25" s="91"/>
      <c r="F25" s="91"/>
      <c r="G25" s="91"/>
      <c r="H25" s="91"/>
      <c r="I25" s="91"/>
      <c r="J25" s="91"/>
      <c r="K25" s="91"/>
      <c r="L25" s="91"/>
      <c r="M25" s="91"/>
      <c r="N25" s="92"/>
      <c r="O25" s="360"/>
      <c r="P25" s="361"/>
      <c r="Q25" s="361"/>
      <c r="R25" s="361"/>
      <c r="S25" s="361"/>
      <c r="T25" s="361"/>
      <c r="U25" s="361"/>
      <c r="V25" s="361"/>
      <c r="W25" s="361"/>
      <c r="X25" s="361"/>
      <c r="Y25" s="361"/>
      <c r="Z25" s="361"/>
      <c r="AA25" s="362"/>
      <c r="AB25" s="97"/>
      <c r="AC25" s="91"/>
      <c r="AD25" s="91"/>
      <c r="AE25" s="91"/>
      <c r="AF25" s="91"/>
      <c r="AG25" s="91"/>
      <c r="AH25" s="91"/>
      <c r="AI25" s="91"/>
      <c r="AJ25" s="91"/>
      <c r="AK25" s="91"/>
      <c r="AL25" s="91"/>
      <c r="AM25" s="91"/>
      <c r="AN25" s="92"/>
      <c r="AO25" s="120"/>
      <c r="AP25" s="91"/>
      <c r="AQ25" s="91"/>
      <c r="AR25" s="91"/>
      <c r="AS25" s="91"/>
      <c r="AT25" s="91"/>
      <c r="AU25" s="91"/>
      <c r="AV25" s="91"/>
      <c r="AW25" s="91"/>
      <c r="AX25" s="91"/>
      <c r="AY25" s="91"/>
      <c r="AZ25" s="91"/>
      <c r="BA25" s="92"/>
      <c r="BB25" s="65"/>
      <c r="BC25" s="251"/>
      <c r="BD25" s="251"/>
      <c r="BE25" s="251"/>
      <c r="BF25" s="251"/>
      <c r="BG25" s="251"/>
      <c r="BH25" s="251"/>
      <c r="BI25" s="251"/>
      <c r="BJ25" s="251"/>
      <c r="BK25" s="251"/>
      <c r="BL25" s="251"/>
      <c r="BM25" s="251"/>
    </row>
    <row r="26" spans="1:65" ht="15.75" thickBot="1" x14ac:dyDescent="0.3">
      <c r="A26" s="63">
        <v>18</v>
      </c>
      <c r="B26" s="147" t="s">
        <v>1829</v>
      </c>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12"/>
      <c r="AQ26" s="112"/>
      <c r="AR26" s="112"/>
      <c r="AS26" s="112"/>
      <c r="AT26" s="112"/>
      <c r="AU26" s="112"/>
      <c r="AV26" s="112"/>
      <c r="AW26" s="112"/>
      <c r="AX26" s="112"/>
      <c r="AY26" s="112"/>
      <c r="AZ26" s="112"/>
      <c r="BA26" s="113"/>
      <c r="BB26" s="65"/>
      <c r="BC26" s="251"/>
      <c r="BD26" s="251"/>
      <c r="BE26" s="251"/>
      <c r="BF26" s="251"/>
      <c r="BG26" s="251"/>
      <c r="BH26" s="251"/>
      <c r="BI26" s="251"/>
      <c r="BJ26" s="251"/>
      <c r="BK26" s="251"/>
      <c r="BL26" s="251"/>
      <c r="BM26" s="251"/>
    </row>
    <row r="27" spans="1:65" x14ac:dyDescent="0.25">
      <c r="A27" s="63">
        <v>19</v>
      </c>
      <c r="B27" s="84" t="s">
        <v>1068</v>
      </c>
      <c r="C27" s="85"/>
      <c r="D27" s="85"/>
      <c r="E27" s="85"/>
      <c r="F27" s="85"/>
      <c r="G27" s="85"/>
      <c r="H27" s="85"/>
      <c r="I27" s="86"/>
      <c r="J27" s="84" t="s">
        <v>1067</v>
      </c>
      <c r="K27" s="85"/>
      <c r="L27" s="85"/>
      <c r="M27" s="85"/>
      <c r="N27" s="85"/>
      <c r="O27" s="85"/>
      <c r="P27" s="85"/>
      <c r="Q27" s="86"/>
      <c r="R27" s="84" t="s">
        <v>3</v>
      </c>
      <c r="S27" s="85"/>
      <c r="T27" s="85"/>
      <c r="U27" s="85"/>
      <c r="V27" s="85"/>
      <c r="W27" s="85"/>
      <c r="X27" s="85"/>
      <c r="Y27" s="86"/>
      <c r="Z27" s="84" t="s">
        <v>979</v>
      </c>
      <c r="AA27" s="85"/>
      <c r="AB27" s="85"/>
      <c r="AC27" s="85"/>
      <c r="AD27" s="85"/>
      <c r="AE27" s="85"/>
      <c r="AF27" s="85"/>
      <c r="AG27" s="86"/>
      <c r="AH27" s="84" t="s">
        <v>1000</v>
      </c>
      <c r="AI27" s="85"/>
      <c r="AJ27" s="85"/>
      <c r="AK27" s="85"/>
      <c r="AL27" s="85"/>
      <c r="AM27" s="85"/>
      <c r="AN27" s="85"/>
      <c r="AO27" s="85"/>
      <c r="AP27" s="84" t="s">
        <v>1072</v>
      </c>
      <c r="AQ27" s="85"/>
      <c r="AR27" s="85"/>
      <c r="AS27" s="85"/>
      <c r="AT27" s="85"/>
      <c r="AU27" s="85"/>
      <c r="AV27" s="85"/>
      <c r="AW27" s="85"/>
      <c r="AX27" s="88"/>
      <c r="AY27" s="85"/>
      <c r="AZ27" s="85"/>
      <c r="BA27" s="86"/>
      <c r="BB27" s="65"/>
      <c r="BC27" s="251"/>
      <c r="BD27" s="251"/>
      <c r="BE27" s="251"/>
      <c r="BF27" s="251"/>
      <c r="BG27" s="251"/>
      <c r="BH27" s="251"/>
      <c r="BI27" s="251"/>
      <c r="BJ27" s="251"/>
      <c r="BK27" s="251"/>
      <c r="BL27" s="251"/>
      <c r="BM27" s="251"/>
    </row>
    <row r="28" spans="1:65" x14ac:dyDescent="0.25">
      <c r="A28" s="63">
        <v>20</v>
      </c>
      <c r="B28" s="67" t="s">
        <v>907</v>
      </c>
      <c r="C28" s="68"/>
      <c r="D28" s="68"/>
      <c r="E28" s="68"/>
      <c r="F28" s="68"/>
      <c r="G28" s="68"/>
      <c r="H28" s="68"/>
      <c r="I28" s="70"/>
      <c r="J28" s="150">
        <f>Design!K78</f>
        <v>0</v>
      </c>
      <c r="K28" s="69"/>
      <c r="L28" s="69"/>
      <c r="M28" s="69"/>
      <c r="N28" s="69"/>
      <c r="O28" s="69"/>
      <c r="P28" s="69"/>
      <c r="Q28" s="151"/>
      <c r="R28" s="150">
        <f>Design!S78</f>
        <v>0</v>
      </c>
      <c r="S28" s="69"/>
      <c r="T28" s="69"/>
      <c r="U28" s="69"/>
      <c r="V28" s="69"/>
      <c r="W28" s="69"/>
      <c r="X28" s="69"/>
      <c r="Y28" s="151"/>
      <c r="Z28" s="150">
        <f>Design!AA78</f>
        <v>0</v>
      </c>
      <c r="AA28" s="69"/>
      <c r="AB28" s="69"/>
      <c r="AC28" s="69"/>
      <c r="AD28" s="69"/>
      <c r="AE28" s="69"/>
      <c r="AF28" s="69"/>
      <c r="AG28" s="151"/>
      <c r="AH28" s="154" t="s">
        <v>987</v>
      </c>
      <c r="AI28" s="69"/>
      <c r="AJ28" s="69"/>
      <c r="AK28" s="69"/>
      <c r="AL28" s="69"/>
      <c r="AM28" s="69"/>
      <c r="AN28" s="69"/>
      <c r="AO28" s="69"/>
      <c r="AP28" s="150" t="str">
        <f>Design!AQ78</f>
        <v>--</v>
      </c>
      <c r="AQ28" s="69"/>
      <c r="AR28" s="69"/>
      <c r="AS28" s="69"/>
      <c r="AT28" s="69"/>
      <c r="AU28" s="69"/>
      <c r="AV28" s="69"/>
      <c r="AW28" s="69"/>
      <c r="AX28" s="69"/>
      <c r="AY28" s="69"/>
      <c r="AZ28" s="69"/>
      <c r="BA28" s="151"/>
      <c r="BB28" s="65"/>
      <c r="BC28" s="251"/>
      <c r="BD28" s="251"/>
      <c r="BE28" s="251"/>
      <c r="BF28" s="251"/>
      <c r="BG28" s="251"/>
      <c r="BH28" s="251"/>
      <c r="BI28" s="251"/>
      <c r="BJ28" s="251"/>
      <c r="BK28" s="251"/>
      <c r="BL28" s="251"/>
      <c r="BM28" s="251"/>
    </row>
    <row r="29" spans="1:65" x14ac:dyDescent="0.25">
      <c r="A29" s="63">
        <v>21</v>
      </c>
      <c r="B29" s="77" t="s">
        <v>5</v>
      </c>
      <c r="C29" s="78"/>
      <c r="D29" s="78"/>
      <c r="E29" s="78"/>
      <c r="F29" s="78"/>
      <c r="G29" s="78"/>
      <c r="H29" s="78"/>
      <c r="I29" s="82"/>
      <c r="J29" s="79" t="str">
        <f>IF(Reference!P2="Y","None","Yes")</f>
        <v>Yes</v>
      </c>
      <c r="K29" s="80"/>
      <c r="L29" s="80"/>
      <c r="M29" s="80"/>
      <c r="N29" s="80"/>
      <c r="O29" s="80"/>
      <c r="P29" s="80"/>
      <c r="Q29" s="81"/>
      <c r="R29" s="79" t="str">
        <f>Design!J24</f>
        <v>None</v>
      </c>
      <c r="S29" s="80"/>
      <c r="T29" s="80"/>
      <c r="U29" s="80"/>
      <c r="V29" s="80"/>
      <c r="W29" s="80"/>
      <c r="X29" s="80"/>
      <c r="Y29" s="81"/>
      <c r="Z29" s="79" t="str">
        <f>Design!J53</f>
        <v>None</v>
      </c>
      <c r="AA29" s="80"/>
      <c r="AB29" s="80"/>
      <c r="AC29" s="80"/>
      <c r="AD29" s="80"/>
      <c r="AE29" s="80"/>
      <c r="AF29" s="80"/>
      <c r="AG29" s="81"/>
      <c r="AH29" s="87">
        <v>1</v>
      </c>
      <c r="AI29" s="80"/>
      <c r="AJ29" s="80"/>
      <c r="AK29" s="80"/>
      <c r="AL29" s="80"/>
      <c r="AM29" s="80"/>
      <c r="AN29" s="80"/>
      <c r="AO29" s="80"/>
      <c r="AP29" s="87" t="s">
        <v>987</v>
      </c>
      <c r="AQ29" s="80"/>
      <c r="AR29" s="80"/>
      <c r="AS29" s="80"/>
      <c r="AT29" s="80"/>
      <c r="AU29" s="80"/>
      <c r="AV29" s="80"/>
      <c r="AW29" s="80"/>
      <c r="AX29" s="152"/>
      <c r="AY29" s="80"/>
      <c r="AZ29" s="80"/>
      <c r="BA29" s="81"/>
      <c r="BB29" s="65"/>
      <c r="BC29" s="251"/>
      <c r="BD29" s="251"/>
      <c r="BE29" s="251"/>
      <c r="BF29" s="251"/>
      <c r="BG29" s="251"/>
      <c r="BH29" s="251"/>
      <c r="BI29" s="251"/>
      <c r="BJ29" s="251"/>
      <c r="BK29" s="251"/>
      <c r="BL29" s="251"/>
      <c r="BM29" s="251"/>
    </row>
    <row r="30" spans="1:65" x14ac:dyDescent="0.25">
      <c r="A30" s="63">
        <v>22</v>
      </c>
      <c r="B30" s="77" t="s">
        <v>1071</v>
      </c>
      <c r="C30" s="78"/>
      <c r="D30" s="78"/>
      <c r="E30" s="78"/>
      <c r="F30" s="78"/>
      <c r="G30" s="78"/>
      <c r="H30" s="78"/>
      <c r="I30" s="82"/>
      <c r="J30" s="79" t="str">
        <f>Design!J49</f>
        <v>Flange</v>
      </c>
      <c r="K30" s="80"/>
      <c r="L30" s="80"/>
      <c r="M30" s="80"/>
      <c r="N30" s="80"/>
      <c r="O30" s="80"/>
      <c r="P30" s="80"/>
      <c r="Q30" s="81"/>
      <c r="R30" s="79" t="str">
        <f>Design!J52</f>
        <v>None</v>
      </c>
      <c r="S30" s="80"/>
      <c r="T30" s="80"/>
      <c r="U30" s="80"/>
      <c r="V30" s="80"/>
      <c r="W30" s="80"/>
      <c r="X30" s="80"/>
      <c r="Y30" s="81"/>
      <c r="Z30" s="79" t="str">
        <f>Design!J53</f>
        <v>None</v>
      </c>
      <c r="AA30" s="80"/>
      <c r="AB30" s="80"/>
      <c r="AC30" s="80"/>
      <c r="AD30" s="80"/>
      <c r="AE30" s="80"/>
      <c r="AF30" s="80"/>
      <c r="AG30" s="81"/>
      <c r="AH30" s="87" t="s">
        <v>987</v>
      </c>
      <c r="AI30" s="80"/>
      <c r="AJ30" s="80"/>
      <c r="AK30" s="80"/>
      <c r="AL30" s="80"/>
      <c r="AM30" s="80"/>
      <c r="AN30" s="80"/>
      <c r="AO30" s="80"/>
      <c r="AP30" s="87" t="s">
        <v>987</v>
      </c>
      <c r="AQ30" s="80"/>
      <c r="AR30" s="80"/>
      <c r="AS30" s="80"/>
      <c r="AT30" s="80"/>
      <c r="AU30" s="80"/>
      <c r="AV30" s="80"/>
      <c r="AW30" s="80"/>
      <c r="AX30" s="152"/>
      <c r="AY30" s="80"/>
      <c r="AZ30" s="80"/>
      <c r="BA30" s="81"/>
      <c r="BB30" s="65"/>
      <c r="BC30" s="251"/>
      <c r="BD30" s="251"/>
      <c r="BE30" s="251"/>
      <c r="BF30" s="251"/>
      <c r="BG30" s="251"/>
      <c r="BH30" s="251"/>
      <c r="BI30" s="251"/>
      <c r="BJ30" s="251"/>
      <c r="BK30" s="251"/>
      <c r="BL30" s="251"/>
      <c r="BM30" s="251"/>
    </row>
    <row r="31" spans="1:65" x14ac:dyDescent="0.25">
      <c r="A31" s="63">
        <v>23</v>
      </c>
      <c r="B31" s="77" t="s">
        <v>1060</v>
      </c>
      <c r="C31" s="78"/>
      <c r="D31" s="78"/>
      <c r="E31" s="78"/>
      <c r="F31" s="78"/>
      <c r="G31" s="78"/>
      <c r="H31" s="78"/>
      <c r="I31" s="82"/>
      <c r="J31" s="79" t="s">
        <v>998</v>
      </c>
      <c r="K31" s="80"/>
      <c r="L31" s="80"/>
      <c r="M31" s="80"/>
      <c r="N31" s="80"/>
      <c r="O31" s="80"/>
      <c r="P31" s="80"/>
      <c r="Q31" s="81"/>
      <c r="R31" s="79" t="str">
        <f>Design!J50&amp;""""</f>
        <v>2.438"</v>
      </c>
      <c r="S31" s="80"/>
      <c r="T31" s="80"/>
      <c r="U31" s="80"/>
      <c r="V31" s="80"/>
      <c r="W31" s="80"/>
      <c r="X31" s="80"/>
      <c r="Y31" s="81"/>
      <c r="Z31" s="79" t="str">
        <f>Design!J51</f>
        <v>1045 CS</v>
      </c>
      <c r="AA31" s="80"/>
      <c r="AB31" s="80"/>
      <c r="AC31" s="80"/>
      <c r="AD31" s="80"/>
      <c r="AE31" s="80"/>
      <c r="AF31" s="80"/>
      <c r="AG31" s="81"/>
      <c r="AH31" s="79">
        <v>1</v>
      </c>
      <c r="AI31" s="80"/>
      <c r="AJ31" s="80"/>
      <c r="AK31" s="80"/>
      <c r="AL31" s="80"/>
      <c r="AM31" s="80"/>
      <c r="AN31" s="80"/>
      <c r="AO31" s="80"/>
      <c r="AP31" s="79" t="str">
        <f>IF(J30="Flange","--",Design!J56&amp;"X Ø"&amp;TEXT(Design!T72,"# #/##")&amp;""" HOLES")</f>
        <v>--</v>
      </c>
      <c r="AQ31" s="80"/>
      <c r="AR31" s="80"/>
      <c r="AS31" s="80"/>
      <c r="AT31" s="80"/>
      <c r="AU31" s="80"/>
      <c r="AV31" s="80"/>
      <c r="AW31" s="80"/>
      <c r="AX31" s="152"/>
      <c r="AY31" s="80"/>
      <c r="AZ31" s="80"/>
      <c r="BA31" s="81"/>
      <c r="BB31" s="65"/>
      <c r="BC31" s="251"/>
      <c r="BD31" s="251"/>
      <c r="BE31" s="251"/>
      <c r="BF31" s="251"/>
      <c r="BG31" s="251"/>
      <c r="BH31" s="251"/>
      <c r="BI31" s="251"/>
      <c r="BJ31" s="251"/>
      <c r="BK31" s="251"/>
      <c r="BL31" s="251"/>
      <c r="BM31" s="251"/>
    </row>
    <row r="32" spans="1:65" x14ac:dyDescent="0.25">
      <c r="A32" s="63">
        <v>24</v>
      </c>
      <c r="B32" s="77" t="s">
        <v>1059</v>
      </c>
      <c r="C32" s="78"/>
      <c r="D32" s="78"/>
      <c r="E32" s="78"/>
      <c r="F32" s="78"/>
      <c r="G32" s="78"/>
      <c r="H32" s="78"/>
      <c r="I32" s="82"/>
      <c r="J32" s="79" t="str">
        <f>IF(Design!T96&gt;0,"Yes","No")</f>
        <v>Yes</v>
      </c>
      <c r="K32" s="80"/>
      <c r="L32" s="80"/>
      <c r="M32" s="80"/>
      <c r="N32" s="80"/>
      <c r="O32" s="80"/>
      <c r="P32" s="80"/>
      <c r="Q32" s="81"/>
      <c r="R32" s="79" t="str">
        <f>IF(J32="Yes",Design!T65&amp;"""","--")</f>
        <v>2.438"</v>
      </c>
      <c r="S32" s="80"/>
      <c r="T32" s="80"/>
      <c r="U32" s="80"/>
      <c r="V32" s="80"/>
      <c r="W32" s="80"/>
      <c r="X32" s="80"/>
      <c r="Y32" s="81"/>
      <c r="Z32" s="79" t="str">
        <f>IF(J32="Yes",Design!J51,"No")</f>
        <v>1045 CS</v>
      </c>
      <c r="AA32" s="80"/>
      <c r="AB32" s="80"/>
      <c r="AC32" s="80"/>
      <c r="AD32" s="80"/>
      <c r="AE32" s="80"/>
      <c r="AF32" s="80"/>
      <c r="AG32" s="81"/>
      <c r="AH32" s="79" t="str">
        <f>IF(J32="Yes",Design!T96,"--")</f>
        <v>--</v>
      </c>
      <c r="AI32" s="80"/>
      <c r="AJ32" s="80"/>
      <c r="AK32" s="80"/>
      <c r="AL32" s="80"/>
      <c r="AM32" s="80"/>
      <c r="AN32" s="80"/>
      <c r="AO32" s="80"/>
      <c r="AP32" s="79" t="str">
        <f>IF(J32="Yes",IF(J30="Flange","--",Design!J56&amp;"X Ø"&amp;TEXT(Design!T72,"# #/##")&amp;""" HOLES EACH END"),"--")</f>
        <v>--</v>
      </c>
      <c r="AQ32" s="80"/>
      <c r="AR32" s="80"/>
      <c r="AS32" s="80"/>
      <c r="AT32" s="80"/>
      <c r="AU32" s="80"/>
      <c r="AV32" s="80"/>
      <c r="AW32" s="80"/>
      <c r="AX32" s="80"/>
      <c r="AY32" s="80"/>
      <c r="AZ32" s="80"/>
      <c r="BA32" s="81"/>
      <c r="BB32" s="65"/>
      <c r="BC32" s="251"/>
      <c r="BD32" s="251"/>
      <c r="BE32" s="251"/>
      <c r="BF32" s="251"/>
      <c r="BG32" s="251"/>
      <c r="BH32" s="251"/>
      <c r="BI32" s="251"/>
      <c r="BJ32" s="251"/>
      <c r="BK32" s="251"/>
      <c r="BL32" s="251"/>
      <c r="BM32" s="251"/>
    </row>
    <row r="33" spans="1:65" x14ac:dyDescent="0.25">
      <c r="A33" s="63">
        <v>25</v>
      </c>
      <c r="B33" s="77" t="s">
        <v>1061</v>
      </c>
      <c r="C33" s="78"/>
      <c r="D33" s="78"/>
      <c r="E33" s="78"/>
      <c r="F33" s="78"/>
      <c r="G33" s="78"/>
      <c r="H33" s="78"/>
      <c r="I33" s="82"/>
      <c r="J33" s="79" t="str">
        <f>IF(J28="Shafted","Yes","No")</f>
        <v>No</v>
      </c>
      <c r="K33" s="80"/>
      <c r="L33" s="80"/>
      <c r="M33" s="80"/>
      <c r="N33" s="80"/>
      <c r="O33" s="80"/>
      <c r="P33" s="80"/>
      <c r="Q33" s="81"/>
      <c r="R33" s="79" t="str">
        <f>IF(J33="Yes",Design!J50&amp;"""","--")</f>
        <v>--</v>
      </c>
      <c r="S33" s="80"/>
      <c r="T33" s="80"/>
      <c r="U33" s="80"/>
      <c r="V33" s="80"/>
      <c r="W33" s="80"/>
      <c r="X33" s="80"/>
      <c r="Y33" s="81"/>
      <c r="Z33" s="79" t="str">
        <f>IF(J33="Yes",Design!J51,"--")</f>
        <v>--</v>
      </c>
      <c r="AA33" s="80"/>
      <c r="AB33" s="80"/>
      <c r="AC33" s="80"/>
      <c r="AD33" s="80"/>
      <c r="AE33" s="80"/>
      <c r="AF33" s="80"/>
      <c r="AG33" s="81"/>
      <c r="AH33" s="79" t="str">
        <f>IF(J33="Yes","1","--")</f>
        <v>--</v>
      </c>
      <c r="AI33" s="80"/>
      <c r="AJ33" s="80"/>
      <c r="AK33" s="80"/>
      <c r="AL33" s="80"/>
      <c r="AM33" s="80"/>
      <c r="AN33" s="80"/>
      <c r="AO33" s="80"/>
      <c r="AP33" s="79" t="str">
        <f>IF(J30="Flange","--",Design!J56&amp;"X Ø"&amp;TEXT(Design!T72,"# #/##")&amp;""" HOLES")</f>
        <v>--</v>
      </c>
      <c r="AQ33" s="80"/>
      <c r="AR33" s="80"/>
      <c r="AS33" s="80"/>
      <c r="AT33" s="80"/>
      <c r="AU33" s="80"/>
      <c r="AV33" s="80"/>
      <c r="AW33" s="80"/>
      <c r="AX33" s="80"/>
      <c r="AY33" s="80"/>
      <c r="AZ33" s="80"/>
      <c r="BA33" s="81"/>
      <c r="BB33" s="65"/>
      <c r="BC33" s="251"/>
      <c r="BD33" s="251"/>
      <c r="BE33" s="251"/>
      <c r="BF33" s="251"/>
      <c r="BG33" s="251"/>
      <c r="BH33" s="251"/>
      <c r="BI33" s="251"/>
      <c r="BJ33" s="251"/>
      <c r="BK33" s="251"/>
      <c r="BL33" s="251"/>
      <c r="BM33" s="251"/>
    </row>
    <row r="34" spans="1:65" x14ac:dyDescent="0.25">
      <c r="A34" s="63">
        <v>26</v>
      </c>
      <c r="B34" s="77" t="s">
        <v>1062</v>
      </c>
      <c r="C34" s="78"/>
      <c r="D34" s="78"/>
      <c r="E34" s="78"/>
      <c r="F34" s="78"/>
      <c r="G34" s="78"/>
      <c r="H34" s="78"/>
      <c r="I34" s="82"/>
      <c r="J34" s="79">
        <f>IF(Design!K90="None","No",Design!K90)</f>
        <v>0</v>
      </c>
      <c r="K34" s="80"/>
      <c r="L34" s="80"/>
      <c r="M34" s="80"/>
      <c r="N34" s="80"/>
      <c r="O34" s="80"/>
      <c r="P34" s="80"/>
      <c r="Q34" s="81"/>
      <c r="R34" s="79">
        <f>IF(J34="No","--",Design!S90)</f>
        <v>0</v>
      </c>
      <c r="S34" s="80"/>
      <c r="T34" s="80"/>
      <c r="U34" s="80"/>
      <c r="V34" s="80"/>
      <c r="W34" s="80"/>
      <c r="X34" s="80"/>
      <c r="Y34" s="81"/>
      <c r="Z34" s="79">
        <f>IF(J34="No","--",Design!AA90)</f>
        <v>0</v>
      </c>
      <c r="AA34" s="80"/>
      <c r="AB34" s="80"/>
      <c r="AC34" s="80"/>
      <c r="AD34" s="80"/>
      <c r="AE34" s="80"/>
      <c r="AF34" s="80"/>
      <c r="AG34" s="81"/>
      <c r="AH34" s="79" t="str">
        <f>IF(J34="No","--","1")</f>
        <v>1</v>
      </c>
      <c r="AI34" s="80"/>
      <c r="AJ34" s="80"/>
      <c r="AK34" s="80"/>
      <c r="AL34" s="80"/>
      <c r="AM34" s="80"/>
      <c r="AN34" s="80"/>
      <c r="AO34" s="80"/>
      <c r="AP34" s="79">
        <f>IF(J34="No","--",Design!AQ90)</f>
        <v>0</v>
      </c>
      <c r="AQ34" s="80"/>
      <c r="AR34" s="80"/>
      <c r="AS34" s="80"/>
      <c r="AT34" s="80"/>
      <c r="AU34" s="80"/>
      <c r="AV34" s="80"/>
      <c r="AW34" s="80"/>
      <c r="AX34" s="80"/>
      <c r="AY34" s="80"/>
      <c r="AZ34" s="80"/>
      <c r="BA34" s="81"/>
      <c r="BB34" s="65"/>
      <c r="BC34" s="251"/>
      <c r="BD34" s="251"/>
      <c r="BE34" s="251"/>
      <c r="BF34" s="251"/>
      <c r="BG34" s="251"/>
      <c r="BH34" s="251"/>
      <c r="BI34" s="251"/>
      <c r="BJ34" s="251"/>
      <c r="BK34" s="251"/>
      <c r="BL34" s="251"/>
      <c r="BM34" s="251"/>
    </row>
    <row r="35" spans="1:65" x14ac:dyDescent="0.25">
      <c r="A35" s="63">
        <v>27</v>
      </c>
      <c r="B35" s="77" t="s">
        <v>1063</v>
      </c>
      <c r="C35" s="78"/>
      <c r="D35" s="78"/>
      <c r="E35" s="78"/>
      <c r="F35" s="78"/>
      <c r="G35" s="78"/>
      <c r="H35" s="78"/>
      <c r="I35" s="82"/>
      <c r="J35" s="79">
        <f>IF(Design!K79="None","No",Design!K78)</f>
        <v>0</v>
      </c>
      <c r="K35" s="80"/>
      <c r="L35" s="80"/>
      <c r="M35" s="80"/>
      <c r="N35" s="80"/>
      <c r="O35" s="80"/>
      <c r="P35" s="80"/>
      <c r="Q35" s="81"/>
      <c r="R35" s="79" t="str">
        <f>IF(J35="No","--",Design!S79)</f>
        <v>2.438"</v>
      </c>
      <c r="S35" s="80"/>
      <c r="T35" s="80"/>
      <c r="U35" s="80"/>
      <c r="V35" s="80"/>
      <c r="W35" s="80"/>
      <c r="X35" s="80"/>
      <c r="Y35" s="81"/>
      <c r="Z35" s="79">
        <f>IF(J35="No","--",Design!AA79)</f>
        <v>0</v>
      </c>
      <c r="AA35" s="80"/>
      <c r="AB35" s="80"/>
      <c r="AC35" s="80"/>
      <c r="AD35" s="80"/>
      <c r="AE35" s="80"/>
      <c r="AF35" s="80"/>
      <c r="AG35" s="81"/>
      <c r="AH35" s="79" t="str">
        <f>IF(J35="No","--",Design!AI79)</f>
        <v>--</v>
      </c>
      <c r="AI35" s="80"/>
      <c r="AJ35" s="80"/>
      <c r="AK35" s="80"/>
      <c r="AL35" s="80"/>
      <c r="AM35" s="80"/>
      <c r="AN35" s="80"/>
      <c r="AO35" s="80"/>
      <c r="AP35" s="79">
        <f>IF(J35="No","--",Design!AQ79)</f>
        <v>0</v>
      </c>
      <c r="AQ35" s="80"/>
      <c r="AR35" s="80"/>
      <c r="AS35" s="80"/>
      <c r="AT35" s="80"/>
      <c r="AU35" s="80"/>
      <c r="AV35" s="80"/>
      <c r="AW35" s="80"/>
      <c r="AX35" s="80"/>
      <c r="AY35" s="80"/>
      <c r="AZ35" s="80"/>
      <c r="BA35" s="81"/>
      <c r="BB35" s="65"/>
      <c r="BC35" s="251"/>
      <c r="BD35" s="251"/>
      <c r="BE35" s="251"/>
      <c r="BF35" s="251"/>
      <c r="BG35" s="251"/>
      <c r="BH35" s="251"/>
      <c r="BI35" s="251"/>
      <c r="BJ35" s="251"/>
      <c r="BK35" s="251"/>
      <c r="BL35" s="251"/>
      <c r="BM35" s="251"/>
    </row>
    <row r="36" spans="1:65" x14ac:dyDescent="0.25">
      <c r="A36" s="63">
        <v>28</v>
      </c>
      <c r="B36" s="77" t="s">
        <v>1064</v>
      </c>
      <c r="C36" s="78"/>
      <c r="D36" s="78"/>
      <c r="E36" s="78"/>
      <c r="F36" s="78"/>
      <c r="G36" s="78"/>
      <c r="H36" s="78"/>
      <c r="I36" s="82"/>
      <c r="J36" s="79">
        <f>IF(Design!K80="None","No",Design!K80)</f>
        <v>0</v>
      </c>
      <c r="K36" s="80"/>
      <c r="L36" s="80"/>
      <c r="M36" s="80"/>
      <c r="N36" s="80"/>
      <c r="O36" s="80"/>
      <c r="P36" s="80"/>
      <c r="Q36" s="81"/>
      <c r="R36" s="79" t="str">
        <f>IF(J36="No","--",Design!S80)</f>
        <v>2.438"</v>
      </c>
      <c r="S36" s="80"/>
      <c r="T36" s="80"/>
      <c r="U36" s="80"/>
      <c r="V36" s="80"/>
      <c r="W36" s="80"/>
      <c r="X36" s="80"/>
      <c r="Y36" s="81"/>
      <c r="Z36" s="79">
        <f>IF(J36="No","--",Design!AA80)</f>
        <v>0</v>
      </c>
      <c r="AA36" s="80"/>
      <c r="AB36" s="80"/>
      <c r="AC36" s="80"/>
      <c r="AD36" s="80"/>
      <c r="AE36" s="80"/>
      <c r="AF36" s="80"/>
      <c r="AG36" s="81"/>
      <c r="AH36" s="79" t="str">
        <f>IF(J36="No","--",Design!AI80)</f>
        <v>--</v>
      </c>
      <c r="AI36" s="80"/>
      <c r="AJ36" s="80"/>
      <c r="AK36" s="80"/>
      <c r="AL36" s="80"/>
      <c r="AM36" s="80"/>
      <c r="AN36" s="80"/>
      <c r="AO36" s="80"/>
      <c r="AP36" s="79">
        <f>IF(J36="No","--",Design!AQ80)</f>
        <v>0</v>
      </c>
      <c r="AQ36" s="80"/>
      <c r="AR36" s="80"/>
      <c r="AS36" s="80"/>
      <c r="AT36" s="80"/>
      <c r="AU36" s="80"/>
      <c r="AV36" s="80"/>
      <c r="AW36" s="80"/>
      <c r="AX36" s="80"/>
      <c r="AY36" s="80"/>
      <c r="AZ36" s="80"/>
      <c r="BA36" s="81"/>
      <c r="BB36" s="65"/>
      <c r="BC36" s="251"/>
      <c r="BD36" s="251"/>
      <c r="BE36" s="251"/>
      <c r="BF36" s="251"/>
      <c r="BG36" s="251"/>
      <c r="BH36" s="251"/>
      <c r="BI36" s="251"/>
      <c r="BJ36" s="251"/>
      <c r="BK36" s="251"/>
      <c r="BL36" s="251"/>
      <c r="BM36" s="251"/>
    </row>
    <row r="37" spans="1:65" x14ac:dyDescent="0.25">
      <c r="A37" s="63">
        <v>29</v>
      </c>
      <c r="B37" s="77" t="s">
        <v>1065</v>
      </c>
      <c r="C37" s="78"/>
      <c r="D37" s="78"/>
      <c r="E37" s="78"/>
      <c r="F37" s="78"/>
      <c r="G37" s="78"/>
      <c r="H37" s="78"/>
      <c r="I37" s="82"/>
      <c r="J37" s="79">
        <f>IF(Design!K81="None","No",Design!K81)</f>
        <v>0</v>
      </c>
      <c r="K37" s="80"/>
      <c r="L37" s="80"/>
      <c r="M37" s="80"/>
      <c r="N37" s="80"/>
      <c r="O37" s="80"/>
      <c r="P37" s="80"/>
      <c r="Q37" s="81"/>
      <c r="R37" s="79" t="str">
        <f>IF(J37="No","--",Design!S81)</f>
        <v>2.438"</v>
      </c>
      <c r="S37" s="80"/>
      <c r="T37" s="80"/>
      <c r="U37" s="80"/>
      <c r="V37" s="80"/>
      <c r="W37" s="80"/>
      <c r="X37" s="80"/>
      <c r="Y37" s="81"/>
      <c r="Z37" s="79">
        <f>IF(J37="No","--",Design!AA81)</f>
        <v>0</v>
      </c>
      <c r="AA37" s="80"/>
      <c r="AB37" s="80"/>
      <c r="AC37" s="80"/>
      <c r="AD37" s="80"/>
      <c r="AE37" s="80"/>
      <c r="AF37" s="80"/>
      <c r="AG37" s="81"/>
      <c r="AH37" s="79" t="str">
        <f>IF(J37="No","--",Design!AI81)</f>
        <v>--</v>
      </c>
      <c r="AI37" s="80"/>
      <c r="AJ37" s="80"/>
      <c r="AK37" s="80"/>
      <c r="AL37" s="80"/>
      <c r="AM37" s="80"/>
      <c r="AN37" s="80"/>
      <c r="AO37" s="80"/>
      <c r="AP37" s="79">
        <f>IF(J37="No","--",Design!AQ81)</f>
        <v>0</v>
      </c>
      <c r="AQ37" s="80"/>
      <c r="AR37" s="80"/>
      <c r="AS37" s="80"/>
      <c r="AT37" s="80"/>
      <c r="AU37" s="80"/>
      <c r="AV37" s="80"/>
      <c r="AW37" s="80"/>
      <c r="AX37" s="80"/>
      <c r="AY37" s="80"/>
      <c r="AZ37" s="80"/>
      <c r="BA37" s="81"/>
      <c r="BB37" s="65"/>
      <c r="BC37" s="251"/>
      <c r="BD37" s="251"/>
      <c r="BE37" s="251"/>
      <c r="BF37" s="251"/>
      <c r="BG37" s="251"/>
      <c r="BH37" s="251"/>
      <c r="BI37" s="251"/>
      <c r="BJ37" s="251"/>
      <c r="BK37" s="251"/>
      <c r="BL37" s="251"/>
      <c r="BM37" s="251"/>
    </row>
    <row r="38" spans="1:65" x14ac:dyDescent="0.25">
      <c r="A38" s="63">
        <v>30</v>
      </c>
      <c r="B38" s="77" t="s">
        <v>991</v>
      </c>
      <c r="C38" s="78"/>
      <c r="D38" s="78"/>
      <c r="E38" s="78"/>
      <c r="F38" s="78"/>
      <c r="G38" s="78"/>
      <c r="H38" s="78"/>
      <c r="I38" s="82"/>
      <c r="J38" s="79">
        <f>IF(Design!K82="None","No",Design!K82)</f>
        <v>0</v>
      </c>
      <c r="K38" s="80"/>
      <c r="L38" s="80"/>
      <c r="M38" s="80"/>
      <c r="N38" s="80"/>
      <c r="O38" s="80"/>
      <c r="P38" s="80"/>
      <c r="Q38" s="81"/>
      <c r="R38" s="79" t="str">
        <f>IF(J38="No","--",Design!T65&amp;"""")</f>
        <v>2.438"</v>
      </c>
      <c r="S38" s="80"/>
      <c r="T38" s="80"/>
      <c r="U38" s="80"/>
      <c r="V38" s="80"/>
      <c r="W38" s="80"/>
      <c r="X38" s="80"/>
      <c r="Y38" s="81"/>
      <c r="Z38" s="79">
        <f>IF(J38="No","--",Design!AA82)</f>
        <v>0</v>
      </c>
      <c r="AA38" s="80"/>
      <c r="AB38" s="80"/>
      <c r="AC38" s="80"/>
      <c r="AD38" s="80"/>
      <c r="AE38" s="80"/>
      <c r="AF38" s="80"/>
      <c r="AG38" s="81"/>
      <c r="AH38" s="79" t="str">
        <f>IF(J38="No","--",Design!AI82)</f>
        <v>--</v>
      </c>
      <c r="AI38" s="80"/>
      <c r="AJ38" s="80"/>
      <c r="AK38" s="80"/>
      <c r="AL38" s="80"/>
      <c r="AM38" s="80"/>
      <c r="AN38" s="80"/>
      <c r="AO38" s="80"/>
      <c r="AP38" s="79">
        <f>IF(J38="No","--",Design!AQ82)</f>
        <v>0</v>
      </c>
      <c r="AQ38" s="80"/>
      <c r="AR38" s="80"/>
      <c r="AS38" s="80"/>
      <c r="AT38" s="80"/>
      <c r="AU38" s="80"/>
      <c r="AV38" s="80"/>
      <c r="AW38" s="80"/>
      <c r="AX38" s="80"/>
      <c r="AY38" s="80"/>
      <c r="AZ38" s="80"/>
      <c r="BA38" s="81"/>
      <c r="BB38" s="65"/>
      <c r="BC38" s="251"/>
      <c r="BD38" s="251"/>
      <c r="BE38" s="251"/>
      <c r="BF38" s="251"/>
      <c r="BG38" s="251"/>
      <c r="BH38" s="251"/>
      <c r="BI38" s="251"/>
      <c r="BJ38" s="251"/>
      <c r="BK38" s="251"/>
      <c r="BL38" s="251"/>
      <c r="BM38" s="251"/>
    </row>
    <row r="39" spans="1:65" x14ac:dyDescent="0.25">
      <c r="A39" s="63">
        <v>31</v>
      </c>
      <c r="B39" s="77" t="s">
        <v>1066</v>
      </c>
      <c r="C39" s="78"/>
      <c r="D39" s="78"/>
      <c r="E39" s="78"/>
      <c r="F39" s="78"/>
      <c r="G39" s="78"/>
      <c r="H39" s="78"/>
      <c r="I39" s="82"/>
      <c r="J39" s="79">
        <f>IF(Design!K83="None","No",Design!K83)</f>
        <v>0</v>
      </c>
      <c r="K39" s="80"/>
      <c r="L39" s="80"/>
      <c r="M39" s="80"/>
      <c r="N39" s="80"/>
      <c r="O39" s="80"/>
      <c r="P39" s="80"/>
      <c r="Q39" s="81"/>
      <c r="R39" s="79" t="str">
        <f>IF(J39="No","--",Design!S83)</f>
        <v>2.438"</v>
      </c>
      <c r="S39" s="80"/>
      <c r="T39" s="80"/>
      <c r="U39" s="80"/>
      <c r="V39" s="80"/>
      <c r="W39" s="80"/>
      <c r="X39" s="80"/>
      <c r="Y39" s="81"/>
      <c r="Z39" s="79">
        <f>IF(J39="No","--",Design!AA83)</f>
        <v>0</v>
      </c>
      <c r="AA39" s="80"/>
      <c r="AB39" s="80"/>
      <c r="AC39" s="80"/>
      <c r="AD39" s="80"/>
      <c r="AE39" s="80"/>
      <c r="AF39" s="80"/>
      <c r="AG39" s="81"/>
      <c r="AH39" s="79">
        <f>IF(J39="No","--",1)</f>
        <v>1</v>
      </c>
      <c r="AI39" s="80"/>
      <c r="AJ39" s="80"/>
      <c r="AK39" s="80"/>
      <c r="AL39" s="80"/>
      <c r="AM39" s="80"/>
      <c r="AN39" s="80"/>
      <c r="AO39" s="80"/>
      <c r="AP39" s="79">
        <f>IF(J39="No","--",Design!AQ83)</f>
        <v>0</v>
      </c>
      <c r="AQ39" s="80"/>
      <c r="AR39" s="80"/>
      <c r="AS39" s="80"/>
      <c r="AT39" s="80"/>
      <c r="AU39" s="80"/>
      <c r="AV39" s="80"/>
      <c r="AW39" s="80"/>
      <c r="AX39" s="80"/>
      <c r="AY39" s="80"/>
      <c r="AZ39" s="80"/>
      <c r="BA39" s="81"/>
      <c r="BB39" s="65"/>
      <c r="BC39" s="251"/>
      <c r="BD39" s="251"/>
      <c r="BE39" s="251"/>
      <c r="BF39" s="251"/>
      <c r="BG39" s="251"/>
      <c r="BH39" s="251"/>
      <c r="BI39" s="251"/>
      <c r="BJ39" s="251"/>
      <c r="BK39" s="251"/>
      <c r="BL39" s="251"/>
      <c r="BM39" s="251"/>
    </row>
    <row r="40" spans="1:65" x14ac:dyDescent="0.25">
      <c r="A40" s="63">
        <v>32</v>
      </c>
      <c r="B40" s="77" t="s">
        <v>959</v>
      </c>
      <c r="C40" s="78"/>
      <c r="D40" s="78"/>
      <c r="E40" s="78"/>
      <c r="F40" s="78"/>
      <c r="G40" s="78"/>
      <c r="H40" s="78"/>
      <c r="I40" s="82"/>
      <c r="J40" s="79">
        <f>Design!K84</f>
        <v>0</v>
      </c>
      <c r="K40" s="80"/>
      <c r="L40" s="80"/>
      <c r="M40" s="80"/>
      <c r="N40" s="80"/>
      <c r="O40" s="80"/>
      <c r="P40" s="80"/>
      <c r="Q40" s="81"/>
      <c r="R40" s="79" t="str">
        <f>IF(ISBLANK(Design!S84),"--",Design!S84)</f>
        <v>10 ga</v>
      </c>
      <c r="S40" s="80"/>
      <c r="T40" s="80"/>
      <c r="U40" s="80"/>
      <c r="V40" s="80"/>
      <c r="W40" s="80"/>
      <c r="X40" s="80"/>
      <c r="Y40" s="81"/>
      <c r="Z40" s="79" t="str">
        <f>IF(ISBLANK(Design!AA84),"--",Design!AA84)</f>
        <v>--</v>
      </c>
      <c r="AA40" s="80"/>
      <c r="AB40" s="80"/>
      <c r="AC40" s="80"/>
      <c r="AD40" s="80"/>
      <c r="AE40" s="80"/>
      <c r="AF40" s="80"/>
      <c r="AG40" s="81"/>
      <c r="AH40" s="79" t="str">
        <f>IF(ISBLANK(Design!AI84),"--",Design!AI84)</f>
        <v>--</v>
      </c>
      <c r="AI40" s="80"/>
      <c r="AJ40" s="80"/>
      <c r="AK40" s="80"/>
      <c r="AL40" s="80"/>
      <c r="AM40" s="80"/>
      <c r="AN40" s="80"/>
      <c r="AO40" s="80"/>
      <c r="AP40" s="79" t="str">
        <f>IF(ISBLANK(Design!AQ84),"--",Design!AQ84)</f>
        <v>--</v>
      </c>
      <c r="AQ40" s="80"/>
      <c r="AR40" s="80"/>
      <c r="AS40" s="80"/>
      <c r="AT40" s="80"/>
      <c r="AU40" s="80"/>
      <c r="AV40" s="80"/>
      <c r="AW40" s="80"/>
      <c r="AX40" s="80"/>
      <c r="AY40" s="80"/>
      <c r="AZ40" s="80"/>
      <c r="BA40" s="81"/>
      <c r="BB40" s="65"/>
      <c r="BC40" s="251"/>
      <c r="BD40" s="251"/>
      <c r="BE40" s="251"/>
      <c r="BF40" s="251"/>
      <c r="BG40" s="251"/>
      <c r="BH40" s="251"/>
      <c r="BI40" s="251"/>
      <c r="BJ40" s="251"/>
      <c r="BK40" s="251"/>
      <c r="BL40" s="251"/>
      <c r="BM40" s="251"/>
    </row>
    <row r="41" spans="1:65" x14ac:dyDescent="0.25">
      <c r="A41" s="63">
        <v>33</v>
      </c>
      <c r="B41" s="77" t="s">
        <v>960</v>
      </c>
      <c r="C41" s="78"/>
      <c r="D41" s="78"/>
      <c r="E41" s="78"/>
      <c r="F41" s="78"/>
      <c r="G41" s="78"/>
      <c r="H41" s="78"/>
      <c r="I41" s="82"/>
      <c r="J41" s="79">
        <f>Design!K85</f>
        <v>0</v>
      </c>
      <c r="K41" s="80"/>
      <c r="L41" s="80"/>
      <c r="M41" s="80"/>
      <c r="N41" s="80"/>
      <c r="O41" s="80"/>
      <c r="P41" s="80"/>
      <c r="Q41" s="81"/>
      <c r="R41" s="79" t="str">
        <f>IF(ISBLANK(Design!S85),"--",Design!S85)</f>
        <v>12 ga</v>
      </c>
      <c r="S41" s="80"/>
      <c r="T41" s="80"/>
      <c r="U41" s="80"/>
      <c r="V41" s="80"/>
      <c r="W41" s="80"/>
      <c r="X41" s="80"/>
      <c r="Y41" s="81"/>
      <c r="Z41" s="79" t="str">
        <f>IF(ISBLANK(Design!AA85),"--",Design!AA85)</f>
        <v>--</v>
      </c>
      <c r="AA41" s="80"/>
      <c r="AB41" s="80"/>
      <c r="AC41" s="80"/>
      <c r="AD41" s="80"/>
      <c r="AE41" s="80"/>
      <c r="AF41" s="80"/>
      <c r="AG41" s="81"/>
      <c r="AH41" s="79" t="str">
        <f>IF(ISBLANK(Design!AI85),"--",Design!AI85)</f>
        <v>--</v>
      </c>
      <c r="AI41" s="80"/>
      <c r="AJ41" s="80"/>
      <c r="AK41" s="80"/>
      <c r="AL41" s="80"/>
      <c r="AM41" s="80"/>
      <c r="AN41" s="80"/>
      <c r="AO41" s="80"/>
      <c r="AP41" s="79" t="str">
        <f>IF(ISBLANK(Design!AQ85),"--",Design!AQ85)</f>
        <v>--</v>
      </c>
      <c r="AQ41" s="80"/>
      <c r="AR41" s="80"/>
      <c r="AS41" s="80"/>
      <c r="AT41" s="80"/>
      <c r="AU41" s="80"/>
      <c r="AV41" s="80"/>
      <c r="AW41" s="80"/>
      <c r="AX41" s="80"/>
      <c r="AY41" s="80"/>
      <c r="AZ41" s="80"/>
      <c r="BA41" s="81"/>
      <c r="BB41" s="65"/>
      <c r="BC41" s="251"/>
      <c r="BD41" s="251"/>
      <c r="BE41" s="251"/>
      <c r="BF41" s="251"/>
      <c r="BG41" s="251"/>
      <c r="BH41" s="251"/>
      <c r="BI41" s="251"/>
      <c r="BJ41" s="251"/>
      <c r="BK41" s="251"/>
      <c r="BL41" s="251"/>
      <c r="BM41" s="251"/>
    </row>
    <row r="42" spans="1:65" x14ac:dyDescent="0.25">
      <c r="A42" s="63">
        <v>34</v>
      </c>
      <c r="B42" s="77" t="s">
        <v>1069</v>
      </c>
      <c r="C42" s="78"/>
      <c r="D42" s="78"/>
      <c r="E42" s="78"/>
      <c r="F42" s="78"/>
      <c r="G42" s="78"/>
      <c r="H42" s="78"/>
      <c r="I42" s="82"/>
      <c r="J42" s="79" t="str">
        <f>IF(ISBLANK(Design!K86),"--",Design!K86)</f>
        <v>--</v>
      </c>
      <c r="K42" s="80"/>
      <c r="L42" s="80"/>
      <c r="M42" s="80"/>
      <c r="N42" s="80"/>
      <c r="O42" s="80"/>
      <c r="P42" s="80"/>
      <c r="Q42" s="81"/>
      <c r="R42" s="79" t="e">
        <f>IF(ISBLANK(Design!S86),"--",Design!S86)</f>
        <v>#N/A</v>
      </c>
      <c r="S42" s="80"/>
      <c r="T42" s="80"/>
      <c r="U42" s="80"/>
      <c r="V42" s="80"/>
      <c r="W42" s="80"/>
      <c r="X42" s="80"/>
      <c r="Y42" s="81"/>
      <c r="Z42" s="79" t="str">
        <f>IF(ISBLANK(Design!AA86),"--",Design!AA86)</f>
        <v>--</v>
      </c>
      <c r="AA42" s="80"/>
      <c r="AB42" s="80"/>
      <c r="AC42" s="80"/>
      <c r="AD42" s="80"/>
      <c r="AE42" s="80"/>
      <c r="AF42" s="80"/>
      <c r="AG42" s="81"/>
      <c r="AH42" s="79">
        <f>IF(ISBLANK(Design!AI86),"--",Design!AI86)</f>
        <v>1</v>
      </c>
      <c r="AI42" s="80"/>
      <c r="AJ42" s="80"/>
      <c r="AK42" s="80"/>
      <c r="AL42" s="80"/>
      <c r="AM42" s="80"/>
      <c r="AN42" s="80"/>
      <c r="AO42" s="80"/>
      <c r="AP42" s="79" t="str">
        <f>IF(ISBLANK(Design!AQ86),"--",Design!AQ86)</f>
        <v>--</v>
      </c>
      <c r="AQ42" s="80"/>
      <c r="AR42" s="80"/>
      <c r="AS42" s="80"/>
      <c r="AT42" s="80"/>
      <c r="AU42" s="80"/>
      <c r="AV42" s="80"/>
      <c r="AW42" s="80"/>
      <c r="AX42" s="80"/>
      <c r="AY42" s="80"/>
      <c r="AZ42" s="80"/>
      <c r="BA42" s="81"/>
      <c r="BB42" s="65"/>
      <c r="BC42" s="251"/>
      <c r="BD42" s="251"/>
      <c r="BE42" s="251"/>
      <c r="BF42" s="251"/>
      <c r="BG42" s="251"/>
      <c r="BH42" s="251"/>
      <c r="BI42" s="251"/>
      <c r="BJ42" s="251"/>
      <c r="BK42" s="251"/>
      <c r="BL42" s="251"/>
      <c r="BM42" s="251"/>
    </row>
    <row r="43" spans="1:65" x14ac:dyDescent="0.25">
      <c r="A43" s="63">
        <v>35</v>
      </c>
      <c r="B43" s="77" t="s">
        <v>1070</v>
      </c>
      <c r="C43" s="78"/>
      <c r="D43" s="78"/>
      <c r="E43" s="78"/>
      <c r="F43" s="78"/>
      <c r="G43" s="78"/>
      <c r="H43" s="78"/>
      <c r="I43" s="82"/>
      <c r="J43" s="79" t="str">
        <f>IF(ISBLANK(Design!K87),"--",Design!K87)</f>
        <v>--</v>
      </c>
      <c r="K43" s="80"/>
      <c r="L43" s="80"/>
      <c r="M43" s="80"/>
      <c r="N43" s="80"/>
      <c r="O43" s="80"/>
      <c r="P43" s="80"/>
      <c r="Q43" s="81"/>
      <c r="R43" s="79" t="e">
        <f>IF(ISBLANK(Design!S87),"--",Design!S87)</f>
        <v>#N/A</v>
      </c>
      <c r="S43" s="80"/>
      <c r="T43" s="80"/>
      <c r="U43" s="80"/>
      <c r="V43" s="80"/>
      <c r="W43" s="80"/>
      <c r="X43" s="80"/>
      <c r="Y43" s="81"/>
      <c r="Z43" s="79" t="str">
        <f>IF(ISBLANK(Design!AA87),"--",Design!AA87)</f>
        <v>--</v>
      </c>
      <c r="AA43" s="80"/>
      <c r="AB43" s="80"/>
      <c r="AC43" s="80"/>
      <c r="AD43" s="80"/>
      <c r="AE43" s="80"/>
      <c r="AF43" s="80"/>
      <c r="AG43" s="81"/>
      <c r="AH43" s="79">
        <f>IF(ISBLANK(Design!AI87),"--",Design!AI87)</f>
        <v>1</v>
      </c>
      <c r="AI43" s="80"/>
      <c r="AJ43" s="80"/>
      <c r="AK43" s="80"/>
      <c r="AL43" s="80"/>
      <c r="AM43" s="80"/>
      <c r="AN43" s="80"/>
      <c r="AO43" s="80"/>
      <c r="AP43" s="79" t="str">
        <f>IF(ISBLANK(Design!AQ87),"--",Design!AQ87)</f>
        <v>--</v>
      </c>
      <c r="AQ43" s="80"/>
      <c r="AR43" s="80"/>
      <c r="AS43" s="80"/>
      <c r="AT43" s="80"/>
      <c r="AU43" s="80"/>
      <c r="AV43" s="80"/>
      <c r="AW43" s="80"/>
      <c r="AX43" s="80"/>
      <c r="AY43" s="80"/>
      <c r="AZ43" s="80"/>
      <c r="BA43" s="81"/>
      <c r="BB43" s="65"/>
      <c r="BC43" s="251"/>
      <c r="BD43" s="251"/>
      <c r="BE43" s="251"/>
      <c r="BF43" s="251"/>
      <c r="BG43" s="251"/>
      <c r="BH43" s="251"/>
      <c r="BI43" s="251"/>
      <c r="BJ43" s="251"/>
      <c r="BK43" s="251"/>
      <c r="BL43" s="251"/>
      <c r="BM43" s="251"/>
    </row>
    <row r="44" spans="1:65" x14ac:dyDescent="0.25">
      <c r="A44" s="63">
        <v>36</v>
      </c>
      <c r="B44" s="77" t="s">
        <v>1001</v>
      </c>
      <c r="C44" s="78"/>
      <c r="D44" s="78"/>
      <c r="E44" s="78"/>
      <c r="F44" s="78"/>
      <c r="G44" s="78"/>
      <c r="H44" s="78"/>
      <c r="I44" s="82"/>
      <c r="J44" s="79" t="str">
        <f>IF(ISBLANK(Design!K88),"--",Design!K88)</f>
        <v>--</v>
      </c>
      <c r="K44" s="80"/>
      <c r="L44" s="80"/>
      <c r="M44" s="80"/>
      <c r="N44" s="80"/>
      <c r="O44" s="80"/>
      <c r="P44" s="80"/>
      <c r="Q44" s="81"/>
      <c r="R44" s="79" t="str">
        <f>IF(ISBLANK(Design!S88),"--",Design!S88)</f>
        <v>--</v>
      </c>
      <c r="S44" s="80"/>
      <c r="T44" s="80"/>
      <c r="U44" s="80"/>
      <c r="V44" s="80"/>
      <c r="W44" s="80"/>
      <c r="X44" s="80"/>
      <c r="Y44" s="81"/>
      <c r="Z44" s="79" t="str">
        <f>IF(ISBLANK(Design!AA88),"--",Design!AA88)</f>
        <v>--</v>
      </c>
      <c r="AA44" s="80"/>
      <c r="AB44" s="80"/>
      <c r="AC44" s="80"/>
      <c r="AD44" s="80"/>
      <c r="AE44" s="80"/>
      <c r="AF44" s="80"/>
      <c r="AG44" s="81"/>
      <c r="AH44" s="79" t="str">
        <f>IF(ISBLANK(Design!AI88),"--",Design!AI88)</f>
        <v>--</v>
      </c>
      <c r="AI44" s="80"/>
      <c r="AJ44" s="80"/>
      <c r="AK44" s="80"/>
      <c r="AL44" s="80"/>
      <c r="AM44" s="80"/>
      <c r="AN44" s="80"/>
      <c r="AO44" s="80"/>
      <c r="AP44" s="79" t="str">
        <f>IF(ISBLANK(Design!AQ88),"--",Design!AQ88)</f>
        <v>--</v>
      </c>
      <c r="AQ44" s="80"/>
      <c r="AR44" s="80"/>
      <c r="AS44" s="80"/>
      <c r="AT44" s="80"/>
      <c r="AU44" s="80"/>
      <c r="AV44" s="80"/>
      <c r="AW44" s="80"/>
      <c r="AX44" s="80"/>
      <c r="AY44" s="80"/>
      <c r="AZ44" s="80"/>
      <c r="BA44" s="81"/>
      <c r="BB44" s="65"/>
      <c r="BC44" s="251"/>
      <c r="BD44" s="251"/>
      <c r="BE44" s="251"/>
      <c r="BF44" s="251"/>
      <c r="BG44" s="251"/>
      <c r="BH44" s="251"/>
      <c r="BI44" s="251"/>
      <c r="BJ44" s="251"/>
      <c r="BK44" s="251"/>
      <c r="BL44" s="251"/>
      <c r="BM44" s="251"/>
    </row>
    <row r="45" spans="1:65" x14ac:dyDescent="0.25">
      <c r="A45" s="63">
        <v>37</v>
      </c>
      <c r="B45" s="77" t="s">
        <v>1015</v>
      </c>
      <c r="C45" s="78"/>
      <c r="D45" s="78"/>
      <c r="E45" s="78"/>
      <c r="F45" s="78"/>
      <c r="G45" s="78"/>
      <c r="H45" s="78"/>
      <c r="I45" s="82"/>
      <c r="J45" s="79" t="str">
        <f>IF(ISBLANK(Design!K89),"--",Design!K89)</f>
        <v>--</v>
      </c>
      <c r="K45" s="80"/>
      <c r="L45" s="80"/>
      <c r="M45" s="80"/>
      <c r="N45" s="80"/>
      <c r="O45" s="80"/>
      <c r="P45" s="80"/>
      <c r="Q45" s="81"/>
      <c r="R45" s="79" t="str">
        <f>IF(ISBLANK(Design!S89),"--",Design!S89)</f>
        <v>1/2</v>
      </c>
      <c r="S45" s="80"/>
      <c r="T45" s="80"/>
      <c r="U45" s="80"/>
      <c r="V45" s="80"/>
      <c r="W45" s="80"/>
      <c r="X45" s="80"/>
      <c r="Y45" s="81"/>
      <c r="Z45" s="79" t="str">
        <f>IF(ISBLANK(Design!AA89),"--",Design!AA89)</f>
        <v>--</v>
      </c>
      <c r="AA45" s="80"/>
      <c r="AB45" s="80"/>
      <c r="AC45" s="80"/>
      <c r="AD45" s="80"/>
      <c r="AE45" s="80"/>
      <c r="AF45" s="80"/>
      <c r="AG45" s="81"/>
      <c r="AH45" s="79" t="str">
        <f>IF(ISBLANK(Design!AI89),"--",Design!AI89)</f>
        <v>--</v>
      </c>
      <c r="AI45" s="80"/>
      <c r="AJ45" s="80"/>
      <c r="AK45" s="80"/>
      <c r="AL45" s="80"/>
      <c r="AM45" s="80"/>
      <c r="AN45" s="80"/>
      <c r="AO45" s="80"/>
      <c r="AP45" s="79" t="str">
        <f>IF(ISBLANK(Design!AQ89),"--",Design!AQ89)</f>
        <v>--</v>
      </c>
      <c r="AQ45" s="80"/>
      <c r="AR45" s="80"/>
      <c r="AS45" s="80"/>
      <c r="AT45" s="80"/>
      <c r="AU45" s="80"/>
      <c r="AV45" s="80"/>
      <c r="AW45" s="80"/>
      <c r="AX45" s="80"/>
      <c r="AY45" s="80"/>
      <c r="AZ45" s="80"/>
      <c r="BA45" s="81"/>
      <c r="BB45" s="65"/>
      <c r="BC45" s="251"/>
      <c r="BD45" s="251"/>
      <c r="BE45" s="251"/>
      <c r="BF45" s="251"/>
      <c r="BG45" s="251"/>
      <c r="BH45" s="251"/>
      <c r="BI45" s="251"/>
      <c r="BJ45" s="251"/>
      <c r="BK45" s="251"/>
      <c r="BL45" s="251"/>
      <c r="BM45" s="251"/>
    </row>
    <row r="46" spans="1:65" x14ac:dyDescent="0.25">
      <c r="A46" s="63">
        <v>38</v>
      </c>
      <c r="B46" s="157" t="s">
        <v>1837</v>
      </c>
      <c r="C46" s="78"/>
      <c r="D46" s="78"/>
      <c r="E46" s="78"/>
      <c r="F46" s="78"/>
      <c r="G46" s="78"/>
      <c r="H46" s="78"/>
      <c r="I46" s="82"/>
      <c r="J46" s="79" t="str">
        <f>IF(ISBLANK(Design!K90),"--",Design!K90)</f>
        <v>--</v>
      </c>
      <c r="K46" s="80"/>
      <c r="L46" s="80"/>
      <c r="M46" s="80"/>
      <c r="N46" s="80"/>
      <c r="O46" s="80"/>
      <c r="P46" s="80"/>
      <c r="Q46" s="81"/>
      <c r="R46" s="79" t="str">
        <f>IF(ISBLANK(Design!S90),"--",Design!S90)</f>
        <v>--</v>
      </c>
      <c r="S46" s="80"/>
      <c r="T46" s="80"/>
      <c r="U46" s="80"/>
      <c r="V46" s="80"/>
      <c r="W46" s="80"/>
      <c r="X46" s="80"/>
      <c r="Y46" s="81"/>
      <c r="Z46" s="79" t="str">
        <f>IF(ISBLANK(Design!AA90),"--",Design!AA90)</f>
        <v>--</v>
      </c>
      <c r="AA46" s="80"/>
      <c r="AB46" s="80"/>
      <c r="AC46" s="80"/>
      <c r="AD46" s="80"/>
      <c r="AE46" s="80"/>
      <c r="AF46" s="80"/>
      <c r="AG46" s="81"/>
      <c r="AH46" s="79" t="str">
        <f>IF(ISBLANK(Design!AI90),"--",Design!AI90)</f>
        <v>--</v>
      </c>
      <c r="AI46" s="80"/>
      <c r="AJ46" s="80"/>
      <c r="AK46" s="80"/>
      <c r="AL46" s="80"/>
      <c r="AM46" s="80"/>
      <c r="AN46" s="80"/>
      <c r="AO46" s="80"/>
      <c r="AP46" s="79" t="str">
        <f>IF(ISBLANK(Design!AQ90),"--",Design!AQ90)</f>
        <v>--</v>
      </c>
      <c r="AQ46" s="80"/>
      <c r="AR46" s="80"/>
      <c r="AS46" s="80"/>
      <c r="AT46" s="80"/>
      <c r="AU46" s="80"/>
      <c r="AV46" s="80"/>
      <c r="AW46" s="80"/>
      <c r="AX46" s="80"/>
      <c r="AY46" s="80"/>
      <c r="AZ46" s="80"/>
      <c r="BA46" s="81"/>
      <c r="BB46" s="65"/>
      <c r="BC46" s="251"/>
      <c r="BD46" s="251"/>
      <c r="BE46" s="251"/>
      <c r="BF46" s="251"/>
      <c r="BG46" s="251"/>
      <c r="BH46" s="251"/>
      <c r="BI46" s="251"/>
      <c r="BJ46" s="251"/>
      <c r="BK46" s="251"/>
      <c r="BL46" s="251"/>
      <c r="BM46" s="251"/>
    </row>
    <row r="47" spans="1:65" x14ac:dyDescent="0.25">
      <c r="A47" s="63">
        <v>39</v>
      </c>
      <c r="B47" s="236" t="s">
        <v>1942</v>
      </c>
      <c r="C47" s="78"/>
      <c r="D47" s="78"/>
      <c r="E47" s="78"/>
      <c r="F47" s="78"/>
      <c r="G47" s="78"/>
      <c r="H47" s="78"/>
      <c r="I47" s="82"/>
      <c r="J47" s="79">
        <f>Design!K91</f>
        <v>0</v>
      </c>
      <c r="K47" s="80"/>
      <c r="L47" s="80"/>
      <c r="M47" s="80"/>
      <c r="N47" s="80"/>
      <c r="O47" s="80"/>
      <c r="P47" s="80"/>
      <c r="Q47" s="81"/>
      <c r="R47" s="79" t="str">
        <f>Design!S91</f>
        <v>--</v>
      </c>
      <c r="S47" s="80"/>
      <c r="T47" s="80"/>
      <c r="U47" s="80"/>
      <c r="V47" s="80"/>
      <c r="W47" s="80"/>
      <c r="X47" s="80"/>
      <c r="Y47" s="81"/>
      <c r="Z47" s="79">
        <f>Design!AA91</f>
        <v>0</v>
      </c>
      <c r="AA47" s="80"/>
      <c r="AB47" s="80"/>
      <c r="AC47" s="80"/>
      <c r="AD47" s="80"/>
      <c r="AE47" s="80"/>
      <c r="AF47" s="80"/>
      <c r="AG47" s="81"/>
      <c r="AH47" s="79">
        <f>Design!AI91</f>
        <v>0</v>
      </c>
      <c r="AI47" s="80"/>
      <c r="AJ47" s="80"/>
      <c r="AK47" s="80"/>
      <c r="AL47" s="80"/>
      <c r="AM47" s="80"/>
      <c r="AN47" s="80"/>
      <c r="AO47" s="80"/>
      <c r="AP47" s="79">
        <f>Design!AQ91</f>
        <v>0</v>
      </c>
      <c r="AQ47" s="80"/>
      <c r="AR47" s="80"/>
      <c r="AS47" s="80"/>
      <c r="AT47" s="80"/>
      <c r="AU47" s="80"/>
      <c r="AV47" s="80"/>
      <c r="AW47" s="80"/>
      <c r="AX47" s="80"/>
      <c r="AY47" s="80"/>
      <c r="AZ47" s="80"/>
      <c r="BA47" s="81"/>
      <c r="BB47" s="65"/>
      <c r="BC47" s="251"/>
      <c r="BD47" s="251"/>
      <c r="BE47" s="251"/>
      <c r="BF47" s="251"/>
      <c r="BG47" s="251"/>
      <c r="BH47" s="251"/>
      <c r="BI47" s="251"/>
      <c r="BJ47" s="251"/>
      <c r="BK47" s="251"/>
      <c r="BL47" s="251"/>
      <c r="BM47" s="251"/>
    </row>
    <row r="48" spans="1:65" x14ac:dyDescent="0.25">
      <c r="A48" s="63">
        <v>40</v>
      </c>
      <c r="B48" s="236" t="s">
        <v>1943</v>
      </c>
      <c r="C48" s="78"/>
      <c r="D48" s="78"/>
      <c r="E48" s="78"/>
      <c r="F48" s="78"/>
      <c r="G48" s="78"/>
      <c r="H48" s="78"/>
      <c r="I48" s="82"/>
      <c r="J48" s="79">
        <f>Design!K92</f>
        <v>0</v>
      </c>
      <c r="K48" s="80"/>
      <c r="L48" s="80"/>
      <c r="M48" s="80"/>
      <c r="N48" s="80"/>
      <c r="O48" s="80"/>
      <c r="P48" s="80"/>
      <c r="Q48" s="81"/>
      <c r="R48" s="79" t="str">
        <f>Design!S92</f>
        <v>--</v>
      </c>
      <c r="S48" s="80"/>
      <c r="T48" s="80"/>
      <c r="U48" s="80"/>
      <c r="V48" s="80"/>
      <c r="W48" s="80"/>
      <c r="X48" s="80"/>
      <c r="Y48" s="81"/>
      <c r="Z48" s="79">
        <f>Design!AA92</f>
        <v>0</v>
      </c>
      <c r="AA48" s="80"/>
      <c r="AB48" s="80"/>
      <c r="AC48" s="80"/>
      <c r="AD48" s="80"/>
      <c r="AE48" s="80"/>
      <c r="AF48" s="80"/>
      <c r="AG48" s="81"/>
      <c r="AH48" s="79">
        <f>Design!AI92</f>
        <v>0</v>
      </c>
      <c r="AI48" s="80"/>
      <c r="AJ48" s="80"/>
      <c r="AK48" s="80"/>
      <c r="AL48" s="80"/>
      <c r="AM48" s="80"/>
      <c r="AN48" s="80"/>
      <c r="AO48" s="80"/>
      <c r="AP48" s="79">
        <f>Design!AQ92</f>
        <v>0</v>
      </c>
      <c r="AQ48" s="80"/>
      <c r="AR48" s="80"/>
      <c r="AS48" s="80"/>
      <c r="AT48" s="80"/>
      <c r="AU48" s="80"/>
      <c r="AV48" s="80"/>
      <c r="AW48" s="80"/>
      <c r="AX48" s="80"/>
      <c r="AY48" s="80"/>
      <c r="AZ48" s="80"/>
      <c r="BA48" s="81"/>
      <c r="BB48" s="65"/>
      <c r="BC48" s="251"/>
      <c r="BD48" s="251"/>
      <c r="BE48" s="251"/>
      <c r="BF48" s="251"/>
      <c r="BG48" s="251"/>
      <c r="BH48" s="251"/>
      <c r="BI48" s="251"/>
      <c r="BJ48" s="251"/>
      <c r="BK48" s="251"/>
      <c r="BL48" s="251"/>
      <c r="BM48" s="251"/>
    </row>
    <row r="49" spans="1:65" x14ac:dyDescent="0.25">
      <c r="A49" s="63">
        <v>41</v>
      </c>
      <c r="B49" s="77" t="str">
        <f>Design!C93</f>
        <v>OTHER1</v>
      </c>
      <c r="C49" s="78"/>
      <c r="D49" s="78"/>
      <c r="E49" s="78"/>
      <c r="F49" s="78"/>
      <c r="G49" s="78"/>
      <c r="H49" s="78"/>
      <c r="I49" s="82"/>
      <c r="J49" s="79" t="str">
        <f>IF(ISBLANK(Design!K93),"--",Design!K93)</f>
        <v>--</v>
      </c>
      <c r="K49" s="80"/>
      <c r="L49" s="80"/>
      <c r="M49" s="80"/>
      <c r="N49" s="80"/>
      <c r="O49" s="80"/>
      <c r="P49" s="80"/>
      <c r="Q49" s="81"/>
      <c r="R49" s="79" t="str">
        <f>IF(ISBLANK(Design!S93),"--",Design!S93)</f>
        <v>--</v>
      </c>
      <c r="S49" s="80"/>
      <c r="T49" s="80"/>
      <c r="U49" s="80"/>
      <c r="V49" s="80"/>
      <c r="W49" s="80"/>
      <c r="X49" s="80"/>
      <c r="Y49" s="81"/>
      <c r="Z49" s="79" t="str">
        <f>IF(ISBLANK(Design!AA93),"--",Design!AA93)</f>
        <v>--</v>
      </c>
      <c r="AA49" s="80"/>
      <c r="AB49" s="80"/>
      <c r="AC49" s="80"/>
      <c r="AD49" s="80"/>
      <c r="AE49" s="80"/>
      <c r="AF49" s="80"/>
      <c r="AG49" s="81"/>
      <c r="AH49" s="79" t="str">
        <f>IF(ISBLANK(Design!AI93),"--",Design!AI93)</f>
        <v>--</v>
      </c>
      <c r="AI49" s="80"/>
      <c r="AJ49" s="80"/>
      <c r="AK49" s="80"/>
      <c r="AL49" s="80"/>
      <c r="AM49" s="80"/>
      <c r="AN49" s="80"/>
      <c r="AO49" s="80"/>
      <c r="AP49" s="79" t="str">
        <f>IF(ISBLANK(Design!AQ93),"--",Design!AQ93)</f>
        <v>--</v>
      </c>
      <c r="AQ49" s="80"/>
      <c r="AR49" s="80"/>
      <c r="AS49" s="80"/>
      <c r="AT49" s="80"/>
      <c r="AU49" s="80"/>
      <c r="AV49" s="80"/>
      <c r="AW49" s="80"/>
      <c r="AX49" s="80"/>
      <c r="AY49" s="80"/>
      <c r="AZ49" s="80"/>
      <c r="BA49" s="81"/>
      <c r="BB49" s="65"/>
      <c r="BC49" s="251"/>
      <c r="BD49" s="251"/>
      <c r="BE49" s="251"/>
      <c r="BF49" s="251"/>
      <c r="BG49" s="251"/>
      <c r="BH49" s="251"/>
      <c r="BI49" s="251"/>
      <c r="BJ49" s="251"/>
      <c r="BK49" s="251"/>
      <c r="BL49" s="251"/>
      <c r="BM49" s="251"/>
    </row>
    <row r="50" spans="1:65" x14ac:dyDescent="0.25">
      <c r="A50" s="63">
        <v>42</v>
      </c>
      <c r="B50" s="119" t="str">
        <f>Design!C94</f>
        <v>OTHER2</v>
      </c>
      <c r="C50" s="110"/>
      <c r="D50" s="110"/>
      <c r="E50" s="110"/>
      <c r="F50" s="110"/>
      <c r="G50" s="110"/>
      <c r="H50" s="110"/>
      <c r="I50" s="116"/>
      <c r="J50" s="79" t="str">
        <f>IF(ISBLANK(Design!K94),"--",Design!K94)</f>
        <v>--</v>
      </c>
      <c r="K50" s="80"/>
      <c r="L50" s="80"/>
      <c r="M50" s="80"/>
      <c r="N50" s="80"/>
      <c r="O50" s="80"/>
      <c r="P50" s="80"/>
      <c r="Q50" s="81"/>
      <c r="R50" s="79" t="str">
        <f>IF(ISBLANK(Design!S94),"--",Design!S94)</f>
        <v>--</v>
      </c>
      <c r="S50" s="80"/>
      <c r="T50" s="80"/>
      <c r="U50" s="80"/>
      <c r="V50" s="80"/>
      <c r="W50" s="80"/>
      <c r="X50" s="80"/>
      <c r="Y50" s="81"/>
      <c r="Z50" s="79" t="str">
        <f>IF(ISBLANK(Design!AA94),"--",Design!AA94)</f>
        <v>--</v>
      </c>
      <c r="AA50" s="80"/>
      <c r="AB50" s="80"/>
      <c r="AC50" s="80"/>
      <c r="AD50" s="80"/>
      <c r="AE50" s="80"/>
      <c r="AF50" s="80"/>
      <c r="AG50" s="81"/>
      <c r="AH50" s="79" t="str">
        <f>IF(ISBLANK(Design!AI94),"--",Design!AI94)</f>
        <v>--</v>
      </c>
      <c r="AI50" s="80"/>
      <c r="AJ50" s="80"/>
      <c r="AK50" s="80"/>
      <c r="AL50" s="80"/>
      <c r="AM50" s="80"/>
      <c r="AN50" s="80"/>
      <c r="AO50" s="80"/>
      <c r="AP50" s="79" t="str">
        <f>IF(ISBLANK(Design!AQ94),"--",Design!AQ94)</f>
        <v>--</v>
      </c>
      <c r="AQ50" s="80"/>
      <c r="AR50" s="80"/>
      <c r="AS50" s="80"/>
      <c r="AT50" s="80"/>
      <c r="AU50" s="80"/>
      <c r="AV50" s="80"/>
      <c r="AW50" s="80"/>
      <c r="AX50" s="80"/>
      <c r="AY50" s="80"/>
      <c r="AZ50" s="80"/>
      <c r="BA50" s="81"/>
      <c r="BB50" s="65"/>
      <c r="BC50" s="251"/>
      <c r="BD50" s="251"/>
      <c r="BE50" s="251"/>
      <c r="BF50" s="251"/>
      <c r="BG50" s="251"/>
      <c r="BH50" s="251"/>
      <c r="BI50" s="251"/>
      <c r="BJ50" s="251"/>
      <c r="BK50" s="251"/>
      <c r="BL50" s="251"/>
      <c r="BM50" s="251"/>
    </row>
    <row r="51" spans="1:65" ht="15.75" thickBot="1" x14ac:dyDescent="0.3">
      <c r="A51" s="63">
        <v>43</v>
      </c>
      <c r="B51" s="111"/>
      <c r="C51" s="110"/>
      <c r="D51" s="110"/>
      <c r="E51" s="110"/>
      <c r="F51" s="110"/>
      <c r="G51" s="110"/>
      <c r="H51" s="110"/>
      <c r="I51" s="116"/>
      <c r="J51" s="148"/>
      <c r="K51" s="126"/>
      <c r="L51" s="126"/>
      <c r="M51" s="126"/>
      <c r="N51" s="126"/>
      <c r="O51" s="126"/>
      <c r="P51" s="126"/>
      <c r="Q51" s="149"/>
      <c r="R51" s="148"/>
      <c r="S51" s="126"/>
      <c r="T51" s="126"/>
      <c r="U51" s="126"/>
      <c r="V51" s="126"/>
      <c r="W51" s="126"/>
      <c r="X51" s="126"/>
      <c r="Y51" s="149"/>
      <c r="Z51" s="148"/>
      <c r="AA51" s="126"/>
      <c r="AB51" s="126"/>
      <c r="AC51" s="126"/>
      <c r="AD51" s="126"/>
      <c r="AE51" s="126"/>
      <c r="AF51" s="126"/>
      <c r="AG51" s="149"/>
      <c r="AH51" s="148"/>
      <c r="AI51" s="126"/>
      <c r="AJ51" s="126"/>
      <c r="AK51" s="126"/>
      <c r="AL51" s="126"/>
      <c r="AM51" s="126"/>
      <c r="AN51" s="126"/>
      <c r="AO51" s="126"/>
      <c r="AP51" s="159"/>
      <c r="AQ51" s="121"/>
      <c r="AR51" s="121"/>
      <c r="AS51" s="121"/>
      <c r="AT51" s="121"/>
      <c r="AU51" s="121"/>
      <c r="AV51" s="121"/>
      <c r="AW51" s="121"/>
      <c r="AX51" s="121"/>
      <c r="AY51" s="121"/>
      <c r="AZ51" s="121"/>
      <c r="BA51" s="160"/>
      <c r="BB51" s="65"/>
      <c r="BC51" s="251"/>
      <c r="BD51" s="251"/>
      <c r="BE51" s="251"/>
      <c r="BF51" s="251"/>
      <c r="BG51" s="251"/>
      <c r="BH51" s="251"/>
      <c r="BI51" s="251"/>
      <c r="BJ51" s="251"/>
      <c r="BK51" s="251"/>
      <c r="BL51" s="251"/>
      <c r="BM51" s="251"/>
    </row>
    <row r="52" spans="1:65" x14ac:dyDescent="0.25">
      <c r="A52" s="63">
        <v>44</v>
      </c>
      <c r="B52" s="115"/>
      <c r="C52" s="72"/>
      <c r="D52" s="72"/>
      <c r="E52" s="72"/>
      <c r="F52" s="72"/>
      <c r="G52" s="72"/>
      <c r="H52" s="72"/>
      <c r="I52" s="7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58"/>
      <c r="BB52" s="65"/>
      <c r="BC52" s="251"/>
      <c r="BD52" s="251"/>
      <c r="BE52" s="251"/>
      <c r="BF52" s="251"/>
      <c r="BG52" s="251"/>
      <c r="BH52" s="251"/>
      <c r="BI52" s="251"/>
      <c r="BJ52" s="251"/>
      <c r="BK52" s="251"/>
      <c r="BL52" s="251"/>
      <c r="BM52" s="251"/>
    </row>
    <row r="53" spans="1:65" ht="15.75" thickBot="1" x14ac:dyDescent="0.3">
      <c r="A53" s="63">
        <v>45</v>
      </c>
      <c r="B53" s="97"/>
      <c r="C53" s="91"/>
      <c r="D53" s="91"/>
      <c r="E53" s="91"/>
      <c r="F53" s="91"/>
      <c r="G53" s="91"/>
      <c r="H53" s="91"/>
      <c r="I53" s="91"/>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53"/>
      <c r="BB53" s="66"/>
      <c r="BC53" s="251"/>
      <c r="BD53" s="251"/>
      <c r="BE53" s="251"/>
      <c r="BF53" s="251"/>
      <c r="BG53" s="251"/>
      <c r="BH53" s="251"/>
      <c r="BI53" s="251"/>
      <c r="BJ53" s="251"/>
      <c r="BK53" s="251"/>
      <c r="BL53" s="251"/>
      <c r="BM53" s="251"/>
    </row>
    <row r="54" spans="1:65"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row>
    <row r="55" spans="1:65"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row>
    <row r="56" spans="1:65"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row>
    <row r="57" spans="1:65"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row>
    <row r="58" spans="1:65"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row>
    <row r="59" spans="1:65"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row>
    <row r="60" spans="1:65"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row>
    <row r="61" spans="1:65"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row>
    <row r="62" spans="1:65"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row>
  </sheetData>
  <mergeCells count="3">
    <mergeCell ref="AJ5:AN5"/>
    <mergeCell ref="AJ7:AN7"/>
    <mergeCell ref="O21:AA25"/>
  </mergeCells>
  <pageMargins left="0.7" right="0.7" top="0.75" bottom="0.75" header="0.3" footer="0.3"/>
  <pageSetup scale="55" fitToHeight="0" orientation="portrait" r:id="rId1"/>
  <ignoredErrors>
    <ignoredError sqref="R34"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ECD8-F14D-4120-A345-FF63627C395B}">
  <sheetPr codeName="Sheet4"/>
  <dimension ref="B1:BC11"/>
  <sheetViews>
    <sheetView zoomScaleNormal="100" workbookViewId="0">
      <selection activeCell="AX27" sqref="AX27"/>
    </sheetView>
  </sheetViews>
  <sheetFormatPr defaultRowHeight="15" x14ac:dyDescent="0.25"/>
  <cols>
    <col min="1" max="68" width="3" customWidth="1"/>
  </cols>
  <sheetData>
    <row r="1" spans="2:55" ht="15.75" thickBot="1" x14ac:dyDescent="0.3"/>
    <row r="2" spans="2:55" ht="18.75" x14ac:dyDescent="0.3">
      <c r="B2" s="1"/>
      <c r="C2" s="2"/>
      <c r="D2" s="2"/>
      <c r="E2" s="2"/>
      <c r="F2" s="2"/>
      <c r="G2" s="2"/>
      <c r="H2" s="2"/>
      <c r="I2" s="2"/>
      <c r="J2" s="2"/>
      <c r="K2" s="2"/>
      <c r="L2" s="2"/>
      <c r="M2" s="2"/>
      <c r="N2" s="2"/>
      <c r="O2" s="3"/>
      <c r="P2" s="48" t="s">
        <v>1014</v>
      </c>
      <c r="Q2" s="44"/>
      <c r="R2" s="44"/>
      <c r="S2" s="44"/>
      <c r="T2" s="44"/>
      <c r="U2" s="44"/>
      <c r="V2" s="44"/>
      <c r="W2" s="44"/>
      <c r="X2" s="44"/>
      <c r="Y2" s="44"/>
      <c r="Z2" s="44"/>
      <c r="AA2" s="44"/>
      <c r="AB2" s="44"/>
      <c r="AC2" s="44"/>
      <c r="AD2" s="44"/>
      <c r="AE2" s="44"/>
      <c r="AF2" s="44"/>
      <c r="AG2" s="44"/>
      <c r="AH2" s="44"/>
      <c r="AI2" s="44"/>
      <c r="AJ2" s="44"/>
      <c r="AK2" s="44"/>
      <c r="AL2" s="44"/>
      <c r="AM2" s="44"/>
      <c r="AN2" s="44"/>
      <c r="AO2" s="45"/>
      <c r="AP2" s="1"/>
      <c r="AQ2" s="2"/>
      <c r="AR2" s="2"/>
      <c r="AS2" s="2"/>
      <c r="AT2" s="2"/>
      <c r="AU2" s="2"/>
      <c r="AV2" s="2"/>
      <c r="AW2" s="2"/>
      <c r="AX2" s="2"/>
      <c r="AY2" s="2"/>
      <c r="AZ2" s="2"/>
      <c r="BA2" s="2"/>
      <c r="BB2" s="2"/>
      <c r="BC2" s="3"/>
    </row>
    <row r="3" spans="2:55" ht="19.5" thickBot="1" x14ac:dyDescent="0.35">
      <c r="B3" s="4"/>
      <c r="C3" s="5"/>
      <c r="D3" s="5"/>
      <c r="E3" s="5"/>
      <c r="F3" s="5"/>
      <c r="G3" s="5"/>
      <c r="H3" s="5"/>
      <c r="I3" s="5"/>
      <c r="J3" s="5"/>
      <c r="K3" s="5"/>
      <c r="L3" s="5"/>
      <c r="M3" s="5"/>
      <c r="N3" s="5"/>
      <c r="O3" s="6"/>
      <c r="P3" s="49" t="s">
        <v>1035</v>
      </c>
      <c r="Q3" s="46"/>
      <c r="R3" s="46"/>
      <c r="S3" s="46"/>
      <c r="T3" s="46"/>
      <c r="U3" s="46"/>
      <c r="V3" s="46"/>
      <c r="W3" s="46"/>
      <c r="X3" s="46"/>
      <c r="Y3" s="46"/>
      <c r="Z3" s="46"/>
      <c r="AA3" s="46"/>
      <c r="AB3" s="46"/>
      <c r="AC3" s="46"/>
      <c r="AD3" s="46"/>
      <c r="AE3" s="46"/>
      <c r="AF3" s="46"/>
      <c r="AG3" s="46"/>
      <c r="AH3" s="46"/>
      <c r="AI3" s="46"/>
      <c r="AJ3" s="46"/>
      <c r="AK3" s="46"/>
      <c r="AL3" s="46"/>
      <c r="AM3" s="46"/>
      <c r="AN3" s="46"/>
      <c r="AO3" s="47"/>
      <c r="AP3" s="4"/>
      <c r="AQ3" s="5"/>
      <c r="AR3" s="5"/>
      <c r="AS3" s="5"/>
      <c r="AT3" s="5"/>
      <c r="AU3" s="5"/>
      <c r="AV3" s="5"/>
      <c r="AW3" s="5"/>
      <c r="AX3" s="5"/>
      <c r="AY3" s="5"/>
      <c r="AZ3" s="5"/>
      <c r="BA3" s="5"/>
      <c r="BB3" s="5"/>
      <c r="BC3" s="6"/>
    </row>
    <row r="4" spans="2:55" x14ac:dyDescent="0.25">
      <c r="B4" s="4"/>
      <c r="C4" s="5"/>
      <c r="D4" s="5"/>
      <c r="E4" s="5"/>
      <c r="F4" s="5"/>
      <c r="G4" s="5"/>
      <c r="H4" s="5"/>
      <c r="I4" s="5"/>
      <c r="J4" s="5"/>
      <c r="K4" s="5"/>
      <c r="L4" s="5"/>
      <c r="M4" s="5"/>
      <c r="N4" s="5"/>
      <c r="O4" s="5"/>
      <c r="P4" s="50" t="s">
        <v>1024</v>
      </c>
      <c r="Q4" s="33"/>
      <c r="R4" s="33"/>
      <c r="S4" s="33"/>
      <c r="T4" s="34"/>
      <c r="U4" s="35"/>
      <c r="V4" s="33"/>
      <c r="W4" s="33"/>
      <c r="X4" s="33"/>
      <c r="Y4" s="33"/>
      <c r="Z4" s="33"/>
      <c r="AA4" s="33"/>
      <c r="AB4" s="33"/>
      <c r="AC4" s="33"/>
      <c r="AD4" s="33"/>
      <c r="AE4" s="33"/>
      <c r="AF4" s="34"/>
      <c r="AG4" s="53" t="s">
        <v>1028</v>
      </c>
      <c r="AH4" s="33"/>
      <c r="AI4" s="33"/>
      <c r="AJ4" s="34"/>
      <c r="AK4" s="35"/>
      <c r="AL4" s="33"/>
      <c r="AM4" s="33"/>
      <c r="AN4" s="33"/>
      <c r="AO4" s="36"/>
      <c r="AP4" s="5"/>
      <c r="AQ4" s="5"/>
      <c r="AR4" s="5"/>
      <c r="AS4" s="5"/>
      <c r="AT4" s="5"/>
      <c r="AU4" s="5"/>
      <c r="AV4" s="5"/>
      <c r="AW4" s="5"/>
      <c r="AX4" s="5"/>
      <c r="AY4" s="5"/>
      <c r="AZ4" s="5"/>
      <c r="BA4" s="5"/>
      <c r="BB4" s="5"/>
      <c r="BC4" s="6"/>
    </row>
    <row r="5" spans="2:55" x14ac:dyDescent="0.25">
      <c r="B5" s="4"/>
      <c r="C5" s="5"/>
      <c r="D5" s="5"/>
      <c r="E5" s="5"/>
      <c r="F5" s="5"/>
      <c r="G5" s="5"/>
      <c r="H5" s="5"/>
      <c r="I5" s="5"/>
      <c r="J5" s="5"/>
      <c r="K5" s="5"/>
      <c r="L5" s="5"/>
      <c r="M5" s="5"/>
      <c r="N5" s="5"/>
      <c r="O5" s="5"/>
      <c r="P5" s="51" t="s">
        <v>1025</v>
      </c>
      <c r="Q5" s="31"/>
      <c r="R5" s="31"/>
      <c r="S5" s="31"/>
      <c r="T5" s="32"/>
      <c r="U5" s="30"/>
      <c r="V5" s="31"/>
      <c r="W5" s="31"/>
      <c r="X5" s="31"/>
      <c r="Y5" s="31"/>
      <c r="Z5" s="31"/>
      <c r="AA5" s="31"/>
      <c r="AB5" s="31"/>
      <c r="AC5" s="31"/>
      <c r="AD5" s="31"/>
      <c r="AE5" s="31"/>
      <c r="AF5" s="32"/>
      <c r="AG5" s="54" t="s">
        <v>1029</v>
      </c>
      <c r="AH5" s="31"/>
      <c r="AI5" s="31"/>
      <c r="AJ5" s="32"/>
      <c r="AK5" s="30"/>
      <c r="AL5" s="31"/>
      <c r="AM5" s="31"/>
      <c r="AN5" s="31"/>
      <c r="AO5" s="37"/>
      <c r="AP5" s="5"/>
      <c r="AQ5" s="5"/>
      <c r="AR5" s="5"/>
      <c r="AS5" s="5"/>
      <c r="AT5" s="5"/>
      <c r="AU5" s="5"/>
      <c r="AV5" s="5"/>
      <c r="AW5" s="5"/>
      <c r="AX5" s="5"/>
      <c r="AY5" s="5"/>
      <c r="AZ5" s="5"/>
      <c r="BA5" s="5"/>
      <c r="BB5" s="5"/>
      <c r="BC5" s="6"/>
    </row>
    <row r="6" spans="2:55" x14ac:dyDescent="0.25">
      <c r="B6" s="4"/>
      <c r="C6" s="5"/>
      <c r="D6" s="5"/>
      <c r="E6" s="5"/>
      <c r="F6" s="5"/>
      <c r="G6" s="5"/>
      <c r="H6" s="5"/>
      <c r="I6" s="5"/>
      <c r="J6" s="5"/>
      <c r="K6" s="5"/>
      <c r="L6" s="5"/>
      <c r="M6" s="5"/>
      <c r="N6" s="5"/>
      <c r="O6" s="5"/>
      <c r="P6" s="51" t="s">
        <v>1026</v>
      </c>
      <c r="Q6" s="31"/>
      <c r="R6" s="31"/>
      <c r="S6" s="31"/>
      <c r="T6" s="32"/>
      <c r="U6" s="30"/>
      <c r="V6" s="31"/>
      <c r="W6" s="31"/>
      <c r="X6" s="31"/>
      <c r="Y6" s="31"/>
      <c r="Z6" s="31"/>
      <c r="AA6" s="31"/>
      <c r="AB6" s="31"/>
      <c r="AC6" s="31"/>
      <c r="AD6" s="31"/>
      <c r="AE6" s="31"/>
      <c r="AF6" s="32"/>
      <c r="AG6" s="54" t="s">
        <v>1030</v>
      </c>
      <c r="AH6" s="31"/>
      <c r="AI6" s="31"/>
      <c r="AJ6" s="32"/>
      <c r="AK6" s="30"/>
      <c r="AL6" s="31"/>
      <c r="AM6" s="31"/>
      <c r="AN6" s="31"/>
      <c r="AO6" s="37"/>
      <c r="AP6" s="5"/>
      <c r="AQ6" s="5"/>
      <c r="AR6" s="5"/>
      <c r="AS6" s="5"/>
      <c r="AT6" s="5"/>
      <c r="AU6" s="5"/>
      <c r="AV6" s="5"/>
      <c r="AW6" s="5"/>
      <c r="AX6" s="5"/>
      <c r="AY6" s="5"/>
      <c r="AZ6" s="5"/>
      <c r="BA6" s="5"/>
      <c r="BB6" s="5"/>
      <c r="BC6" s="6"/>
    </row>
    <row r="7" spans="2:55" x14ac:dyDescent="0.25">
      <c r="B7" s="4"/>
      <c r="C7" s="5"/>
      <c r="D7" s="5"/>
      <c r="E7" s="5"/>
      <c r="F7" s="5"/>
      <c r="G7" s="5"/>
      <c r="H7" s="5"/>
      <c r="I7" s="5"/>
      <c r="J7" s="5"/>
      <c r="K7" s="5"/>
      <c r="L7" s="5"/>
      <c r="M7" s="5"/>
      <c r="N7" s="5"/>
      <c r="O7" s="5"/>
      <c r="P7" s="51" t="s">
        <v>1027</v>
      </c>
      <c r="Q7" s="31"/>
      <c r="R7" s="31"/>
      <c r="S7" s="31"/>
      <c r="T7" s="32"/>
      <c r="U7" s="30"/>
      <c r="V7" s="31"/>
      <c r="W7" s="31"/>
      <c r="X7" s="31"/>
      <c r="Y7" s="31"/>
      <c r="Z7" s="31"/>
      <c r="AA7" s="31"/>
      <c r="AB7" s="31"/>
      <c r="AC7" s="31"/>
      <c r="AD7" s="31"/>
      <c r="AE7" s="31"/>
      <c r="AF7" s="32"/>
      <c r="AG7" s="55" t="s">
        <v>1031</v>
      </c>
      <c r="AH7" s="43"/>
      <c r="AI7" s="43"/>
      <c r="AJ7" s="42"/>
      <c r="AK7" s="30"/>
      <c r="AL7" s="31"/>
      <c r="AM7" s="31"/>
      <c r="AN7" s="31"/>
      <c r="AO7" s="37"/>
      <c r="AP7" s="5"/>
      <c r="AQ7" s="5"/>
      <c r="AR7" s="5"/>
      <c r="AS7" s="5"/>
      <c r="AT7" s="5"/>
      <c r="AU7" s="5"/>
      <c r="AV7" s="5"/>
      <c r="AW7" s="5"/>
      <c r="AX7" s="5"/>
      <c r="AY7" s="5"/>
      <c r="AZ7" s="5"/>
      <c r="BA7" s="5"/>
      <c r="BB7" s="5"/>
      <c r="BC7" s="6"/>
    </row>
    <row r="8" spans="2:55" ht="15.75" thickBot="1" x14ac:dyDescent="0.3">
      <c r="B8" s="4"/>
      <c r="C8" s="7"/>
      <c r="D8" s="7"/>
      <c r="E8" s="7"/>
      <c r="F8" s="7"/>
      <c r="G8" s="7"/>
      <c r="H8" s="7"/>
      <c r="I8" s="7"/>
      <c r="J8" s="7"/>
      <c r="K8" s="7"/>
      <c r="L8" s="7"/>
      <c r="M8" s="7"/>
      <c r="N8" s="7"/>
      <c r="O8" s="7"/>
      <c r="P8" s="52" t="s">
        <v>1034</v>
      </c>
      <c r="Q8" s="38"/>
      <c r="R8" s="38"/>
      <c r="S8" s="38"/>
      <c r="T8" s="39"/>
      <c r="U8" s="7"/>
      <c r="V8" s="7"/>
      <c r="W8" s="7"/>
      <c r="X8" s="7"/>
      <c r="Y8" s="7"/>
      <c r="Z8" s="7"/>
      <c r="AA8" s="7"/>
      <c r="AB8" s="7"/>
      <c r="AC8" s="7"/>
      <c r="AD8" s="7"/>
      <c r="AE8" s="7"/>
      <c r="AF8" s="7"/>
      <c r="AG8" s="56" t="s">
        <v>1032</v>
      </c>
      <c r="AH8" s="38"/>
      <c r="AI8" s="38"/>
      <c r="AJ8" s="39"/>
      <c r="AK8" s="41"/>
      <c r="AL8" s="40"/>
      <c r="AM8" s="57" t="s">
        <v>1033</v>
      </c>
      <c r="AN8" s="7"/>
      <c r="AO8" s="8"/>
      <c r="AP8" s="7"/>
      <c r="AQ8" s="7"/>
      <c r="AR8" s="7"/>
      <c r="AS8" s="7"/>
      <c r="AT8" s="7"/>
      <c r="AU8" s="7"/>
      <c r="AV8" s="7"/>
      <c r="AW8" s="7"/>
      <c r="AX8" s="7"/>
      <c r="AY8" s="7"/>
      <c r="AZ8" s="7"/>
      <c r="BA8" s="7"/>
      <c r="BB8" s="7"/>
      <c r="BC8" s="8"/>
    </row>
    <row r="9" spans="2:55" ht="15.75" thickBot="1" x14ac:dyDescent="0.3">
      <c r="B9" s="62">
        <v>1</v>
      </c>
      <c r="C9" s="61" t="s">
        <v>1036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2" t="s">
        <v>1037</v>
      </c>
    </row>
    <row r="10" spans="2:55" x14ac:dyDescent="0.25">
      <c r="B10" s="63">
        <v>2</v>
      </c>
      <c r="C10" s="1"/>
      <c r="D10" s="2"/>
      <c r="E10" s="2"/>
      <c r="F10" s="2"/>
      <c r="G10" s="2"/>
      <c r="H10" s="2"/>
      <c r="I10" s="2"/>
      <c r="J10" s="2"/>
      <c r="K10" s="2"/>
      <c r="L10" s="2"/>
      <c r="M10" s="2"/>
      <c r="N10" s="2"/>
      <c r="O10" s="3"/>
      <c r="P10" s="1"/>
      <c r="Q10" s="2"/>
      <c r="R10" s="2"/>
      <c r="S10" s="2"/>
      <c r="T10" s="2"/>
      <c r="U10" s="2"/>
      <c r="V10" s="2"/>
      <c r="W10" s="2"/>
      <c r="X10" s="2"/>
      <c r="Y10" s="2"/>
      <c r="Z10" s="2"/>
      <c r="AA10" s="2"/>
      <c r="AB10" s="3"/>
      <c r="AC10" s="1"/>
      <c r="AD10" s="2"/>
      <c r="AE10" s="2"/>
      <c r="AF10" s="2"/>
      <c r="AG10" s="2"/>
      <c r="AH10" s="2"/>
      <c r="AI10" s="2"/>
      <c r="AJ10" s="2"/>
      <c r="AK10" s="2"/>
      <c r="AL10" s="2"/>
      <c r="AM10" s="2"/>
      <c r="AN10" s="2"/>
      <c r="AO10" s="3"/>
      <c r="AP10" s="1"/>
      <c r="AQ10" s="2"/>
      <c r="AR10" s="2"/>
      <c r="AS10" s="2"/>
      <c r="AT10" s="2"/>
      <c r="AU10" s="2"/>
      <c r="AV10" s="2"/>
      <c r="AW10" s="2"/>
      <c r="AX10" s="2"/>
      <c r="AY10" s="2"/>
      <c r="AZ10" s="2"/>
      <c r="BA10" s="2"/>
      <c r="BB10" s="3"/>
      <c r="BC10" s="65"/>
    </row>
    <row r="11" spans="2:55" x14ac:dyDescent="0.25">
      <c r="B11" s="63">
        <v>3</v>
      </c>
      <c r="C11" s="4"/>
      <c r="D11" s="5"/>
      <c r="E11" s="5"/>
      <c r="F11" s="5"/>
      <c r="G11" s="5"/>
      <c r="H11" s="5"/>
      <c r="I11" s="5"/>
      <c r="J11" s="5"/>
      <c r="K11" s="5"/>
      <c r="L11" s="5"/>
      <c r="M11" s="5"/>
      <c r="N11" s="5"/>
      <c r="O11" s="6"/>
      <c r="P11" s="4"/>
      <c r="Q11" s="5"/>
      <c r="R11" s="5"/>
      <c r="S11" s="5"/>
      <c r="T11" s="5"/>
      <c r="U11" s="5"/>
      <c r="V11" s="5"/>
      <c r="W11" s="5"/>
      <c r="X11" s="5"/>
      <c r="Y11" s="5"/>
      <c r="Z11" s="5"/>
      <c r="AA11" s="5"/>
      <c r="AB11" s="6"/>
      <c r="AC11" s="4"/>
      <c r="AD11" s="5"/>
      <c r="AE11" s="5"/>
      <c r="AF11" s="5"/>
      <c r="AG11" s="5"/>
      <c r="AH11" s="5"/>
      <c r="AI11" s="5"/>
      <c r="AJ11" s="5"/>
      <c r="AK11" s="5"/>
      <c r="AL11" s="5"/>
      <c r="AM11" s="5"/>
      <c r="AN11" s="5"/>
      <c r="AO11" s="6"/>
      <c r="AP11" s="4"/>
      <c r="AQ11" s="5"/>
      <c r="AR11" s="5"/>
      <c r="AS11" s="5"/>
      <c r="AT11" s="5"/>
      <c r="AU11" s="5"/>
      <c r="AV11" s="5"/>
      <c r="AW11" s="5"/>
      <c r="AX11" s="5"/>
      <c r="AY11" s="5"/>
      <c r="AZ11" s="5"/>
      <c r="BA11" s="5"/>
      <c r="BB11" s="6"/>
      <c r="BC11" s="6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3514-8627-450D-950F-8C7EF7FFA72F}">
  <dimension ref="A1:W21"/>
  <sheetViews>
    <sheetView zoomScale="190" zoomScaleNormal="190" workbookViewId="0">
      <selection activeCell="B10" sqref="B10"/>
    </sheetView>
  </sheetViews>
  <sheetFormatPr defaultRowHeight="15" x14ac:dyDescent="0.25"/>
  <cols>
    <col min="1" max="1" width="39.28515625" customWidth="1"/>
    <col min="2" max="2" width="9.140625" customWidth="1"/>
    <col min="3" max="3" width="8.28515625" customWidth="1"/>
  </cols>
  <sheetData>
    <row r="1" spans="1:23" ht="18.75" x14ac:dyDescent="0.3">
      <c r="A1" s="293" t="s">
        <v>1996</v>
      </c>
    </row>
    <row r="2" spans="1:23" x14ac:dyDescent="0.25">
      <c r="A2" s="294" t="s">
        <v>1997</v>
      </c>
    </row>
    <row r="3" spans="1:23" x14ac:dyDescent="0.25">
      <c r="A3" t="s">
        <v>1998</v>
      </c>
      <c r="B3" s="295">
        <f>Design!AJ25</f>
        <v>0</v>
      </c>
      <c r="C3" t="s">
        <v>724</v>
      </c>
    </row>
    <row r="4" spans="1:23" x14ac:dyDescent="0.25">
      <c r="A4" t="s">
        <v>1999</v>
      </c>
      <c r="B4" s="295">
        <f>Design!AJ21</f>
        <v>0</v>
      </c>
      <c r="C4" t="s">
        <v>2000</v>
      </c>
    </row>
    <row r="5" spans="1:23" x14ac:dyDescent="0.25">
      <c r="A5" t="s">
        <v>2026</v>
      </c>
      <c r="B5" s="295">
        <f>Design!J21</f>
        <v>0</v>
      </c>
      <c r="C5" t="s">
        <v>2001</v>
      </c>
    </row>
    <row r="6" spans="1:23" x14ac:dyDescent="0.25">
      <c r="A6" t="s">
        <v>2027</v>
      </c>
      <c r="B6" s="301" t="e">
        <f>Design!P31</f>
        <v>#N/A</v>
      </c>
      <c r="C6" t="s">
        <v>2001</v>
      </c>
    </row>
    <row r="7" spans="1:23" x14ac:dyDescent="0.25">
      <c r="A7" t="s">
        <v>2002</v>
      </c>
      <c r="B7" s="301">
        <f>Design!O22</f>
        <v>0</v>
      </c>
      <c r="C7" t="s">
        <v>2001</v>
      </c>
    </row>
    <row r="9" spans="1:23" x14ac:dyDescent="0.25">
      <c r="A9" s="294" t="s">
        <v>2003</v>
      </c>
    </row>
    <row r="10" spans="1:23" x14ac:dyDescent="0.25">
      <c r="A10" t="s">
        <v>2004</v>
      </c>
      <c r="B10" s="296" t="e">
        <f>(B3*63025)/B4</f>
        <v>#DIV/0!</v>
      </c>
      <c r="C10" t="s">
        <v>2005</v>
      </c>
      <c r="W10" s="297"/>
    </row>
    <row r="11" spans="1:23" x14ac:dyDescent="0.25">
      <c r="A11" t="s">
        <v>2006</v>
      </c>
      <c r="B11" s="296" t="e">
        <f>(B5+B6)/2</f>
        <v>#N/A</v>
      </c>
      <c r="C11" t="s">
        <v>2001</v>
      </c>
    </row>
    <row r="12" spans="1:23" x14ac:dyDescent="0.25">
      <c r="A12" t="s">
        <v>2007</v>
      </c>
      <c r="B12" s="295" t="e">
        <f>VLOOKUP(Design!AP10,Reference!ES4:ET13,2,FALSE)</f>
        <v>#N/A</v>
      </c>
      <c r="C12" s="298" t="s">
        <v>2008</v>
      </c>
      <c r="D12" t="s">
        <v>2009</v>
      </c>
    </row>
    <row r="14" spans="1:23" x14ac:dyDescent="0.25">
      <c r="A14" s="294" t="s">
        <v>2010</v>
      </c>
    </row>
    <row r="15" spans="1:23" x14ac:dyDescent="0.25">
      <c r="A15" t="s">
        <v>2011</v>
      </c>
      <c r="B15" s="299" t="e">
        <f>DEGREES((B7)/(PI()*B5))</f>
        <v>#DIV/0!</v>
      </c>
      <c r="C15" t="s">
        <v>2012</v>
      </c>
    </row>
    <row r="16" spans="1:23" x14ac:dyDescent="0.25">
      <c r="A16" t="s">
        <v>2013</v>
      </c>
      <c r="B16" s="296" t="e">
        <f>DEGREES(ATAN(B12))</f>
        <v>#N/A</v>
      </c>
      <c r="C16" t="s">
        <v>2012</v>
      </c>
    </row>
    <row r="17" spans="1:3" x14ac:dyDescent="0.25">
      <c r="A17" t="s">
        <v>2014</v>
      </c>
      <c r="B17" s="300" t="e">
        <f>(B10/(B11/2))*TAN(RADIANS(B15+B16))</f>
        <v>#DIV/0!</v>
      </c>
      <c r="C17" s="300" t="s">
        <v>2015</v>
      </c>
    </row>
    <row r="19" spans="1:3" x14ac:dyDescent="0.25">
      <c r="A19" s="294" t="s">
        <v>2016</v>
      </c>
    </row>
    <row r="20" spans="1:3" x14ac:dyDescent="0.25">
      <c r="A20" t="s">
        <v>2017</v>
      </c>
    </row>
    <row r="21" spans="1:3" x14ac:dyDescent="0.25">
      <c r="A21" t="s">
        <v>2018</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7EAB-6DED-48D0-B752-3A7DC4CF8ABB}">
  <sheetPr codeName="Sheet5"/>
  <dimension ref="A1:ET129"/>
  <sheetViews>
    <sheetView zoomScaleNormal="100" workbookViewId="0">
      <selection activeCell="DI2" sqref="DI2"/>
    </sheetView>
  </sheetViews>
  <sheetFormatPr defaultColWidth="4.7109375" defaultRowHeight="15" zeroHeight="1" x14ac:dyDescent="0.25"/>
  <cols>
    <col min="1" max="1" width="2.7109375" customWidth="1"/>
    <col min="2" max="2" width="3.28515625" customWidth="1"/>
    <col min="3" max="54" width="3" customWidth="1"/>
    <col min="55" max="55" width="3.28515625" customWidth="1"/>
    <col min="56" max="65" width="4.7109375" customWidth="1"/>
    <col min="16384" max="16384" width="4.140625" customWidth="1"/>
  </cols>
  <sheetData>
    <row r="1" spans="1:150" ht="15.75" thickBot="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row>
    <row r="2" spans="1:150" ht="18.75" x14ac:dyDescent="0.3">
      <c r="A2" s="5"/>
      <c r="B2" s="1"/>
      <c r="C2" s="2"/>
      <c r="D2" s="2"/>
      <c r="E2" s="2"/>
      <c r="F2" s="2"/>
      <c r="G2" s="2"/>
      <c r="H2" s="2"/>
      <c r="I2" s="2"/>
      <c r="J2" s="2"/>
      <c r="K2" s="2"/>
      <c r="L2" s="2"/>
      <c r="M2" s="2"/>
      <c r="N2" s="2"/>
      <c r="O2" s="3"/>
      <c r="P2" s="48" t="s">
        <v>1014</v>
      </c>
      <c r="Q2" s="44"/>
      <c r="R2" s="44"/>
      <c r="S2" s="44"/>
      <c r="T2" s="44"/>
      <c r="U2" s="44"/>
      <c r="V2" s="44"/>
      <c r="W2" s="44"/>
      <c r="X2" s="44"/>
      <c r="Y2" s="44"/>
      <c r="Z2" s="44"/>
      <c r="AA2" s="44"/>
      <c r="AB2" s="44"/>
      <c r="AC2" s="44"/>
      <c r="AD2" s="44"/>
      <c r="AE2" s="44"/>
      <c r="AF2" s="44"/>
      <c r="AG2" s="44"/>
      <c r="AH2" s="44"/>
      <c r="AI2" s="44"/>
      <c r="AJ2" s="44"/>
      <c r="AK2" s="44"/>
      <c r="AL2" s="44"/>
      <c r="AM2" s="44"/>
      <c r="AN2" s="44"/>
      <c r="AO2" s="45"/>
      <c r="AP2" s="1"/>
      <c r="AQ2" s="2"/>
      <c r="AR2" s="2"/>
      <c r="AS2" s="2"/>
      <c r="AT2" s="2"/>
      <c r="AU2" s="2"/>
      <c r="AV2" s="2"/>
      <c r="AW2" s="2"/>
      <c r="AX2" s="2"/>
      <c r="AY2" s="2"/>
      <c r="AZ2" s="2"/>
      <c r="BA2" s="2"/>
      <c r="BB2" s="2"/>
      <c r="BC2" s="3"/>
      <c r="BD2" s="5"/>
    </row>
    <row r="3" spans="1:150" ht="19.5" thickBot="1" x14ac:dyDescent="0.35">
      <c r="A3" s="5"/>
      <c r="B3" s="4"/>
      <c r="C3" s="5"/>
      <c r="D3" s="5"/>
      <c r="E3" s="5"/>
      <c r="F3" s="5"/>
      <c r="G3" s="5"/>
      <c r="H3" s="5"/>
      <c r="I3" s="5"/>
      <c r="J3" s="5"/>
      <c r="K3" s="5"/>
      <c r="L3" s="5"/>
      <c r="M3" s="5"/>
      <c r="N3" s="5"/>
      <c r="O3" s="6"/>
      <c r="P3" s="49" t="s">
        <v>1861</v>
      </c>
      <c r="Q3" s="46"/>
      <c r="R3" s="46"/>
      <c r="S3" s="46"/>
      <c r="T3" s="46"/>
      <c r="U3" s="46"/>
      <c r="V3" s="46"/>
      <c r="W3" s="46"/>
      <c r="X3" s="46"/>
      <c r="Y3" s="46"/>
      <c r="Z3" s="46"/>
      <c r="AA3" s="46"/>
      <c r="AB3" s="46"/>
      <c r="AC3" s="46"/>
      <c r="AD3" s="46"/>
      <c r="AE3" s="46"/>
      <c r="AF3" s="46"/>
      <c r="AG3" s="46"/>
      <c r="AH3" s="46"/>
      <c r="AI3" s="46"/>
      <c r="AJ3" s="46"/>
      <c r="AK3" s="46"/>
      <c r="AL3" s="46"/>
      <c r="AM3" s="46"/>
      <c r="AN3" s="46"/>
      <c r="AO3" s="47"/>
      <c r="AP3" s="4"/>
      <c r="AQ3" s="5"/>
      <c r="AR3" s="5"/>
      <c r="AS3" s="5"/>
      <c r="AT3" s="5"/>
      <c r="AU3" s="5"/>
      <c r="AV3" s="5"/>
      <c r="AW3" s="5"/>
      <c r="AX3" s="5"/>
      <c r="AY3" s="5"/>
      <c r="AZ3" s="5"/>
      <c r="BA3" s="5"/>
      <c r="BB3" s="5"/>
      <c r="BC3" s="6"/>
      <c r="BD3" s="5"/>
    </row>
    <row r="4" spans="1:150" x14ac:dyDescent="0.25">
      <c r="A4" s="5"/>
      <c r="B4" s="4"/>
      <c r="C4" s="5"/>
      <c r="D4" s="5"/>
      <c r="E4" s="5"/>
      <c r="F4" s="5"/>
      <c r="G4" s="5"/>
      <c r="H4" s="5"/>
      <c r="I4" s="5"/>
      <c r="J4" s="5"/>
      <c r="K4" s="5"/>
      <c r="L4" s="5"/>
      <c r="M4" s="5"/>
      <c r="N4" s="5"/>
      <c r="O4" s="5"/>
      <c r="P4" s="50" t="s">
        <v>1851</v>
      </c>
      <c r="Q4" s="33"/>
      <c r="R4" s="33"/>
      <c r="S4" s="33"/>
      <c r="T4" s="34"/>
      <c r="U4" s="162">
        <f>Design!U4</f>
        <v>0</v>
      </c>
      <c r="V4" s="133"/>
      <c r="W4" s="133"/>
      <c r="X4" s="133"/>
      <c r="Y4" s="133"/>
      <c r="Z4" s="133"/>
      <c r="AA4" s="133"/>
      <c r="AB4" s="133"/>
      <c r="AC4" s="133"/>
      <c r="AD4" s="133"/>
      <c r="AE4" s="133"/>
      <c r="AF4" s="134"/>
      <c r="AG4" s="53" t="s">
        <v>1028</v>
      </c>
      <c r="AH4" s="33"/>
      <c r="AI4" s="33"/>
      <c r="AJ4" s="34"/>
      <c r="AK4" s="140">
        <f>Design!AK4</f>
        <v>0</v>
      </c>
      <c r="AL4" s="133"/>
      <c r="AM4" s="133"/>
      <c r="AN4" s="133"/>
      <c r="AO4" s="141"/>
      <c r="AP4" s="5"/>
      <c r="AQ4" s="5"/>
      <c r="AR4" s="5"/>
      <c r="AS4" s="5"/>
      <c r="AT4" s="5"/>
      <c r="AU4" s="5"/>
      <c r="AV4" s="5"/>
      <c r="AW4" s="5"/>
      <c r="AX4" s="5"/>
      <c r="AY4" s="5"/>
      <c r="AZ4" s="5"/>
      <c r="BA4" s="5"/>
      <c r="BB4" s="5"/>
      <c r="BC4" s="6"/>
      <c r="BD4" s="5"/>
    </row>
    <row r="5" spans="1:150" x14ac:dyDescent="0.25">
      <c r="A5" s="5"/>
      <c r="B5" s="4"/>
      <c r="C5" s="5"/>
      <c r="D5" s="5"/>
      <c r="E5" s="5"/>
      <c r="F5" s="5"/>
      <c r="G5" s="5"/>
      <c r="H5" s="5"/>
      <c r="I5" s="5"/>
      <c r="J5" s="5"/>
      <c r="K5" s="5"/>
      <c r="L5" s="5"/>
      <c r="M5" s="5"/>
      <c r="N5" s="5"/>
      <c r="O5" s="5"/>
      <c r="P5" s="51" t="s">
        <v>1025</v>
      </c>
      <c r="Q5" s="31"/>
      <c r="R5" s="31"/>
      <c r="S5" s="31"/>
      <c r="T5" s="32"/>
      <c r="U5" s="135">
        <f>Design!U5</f>
        <v>0</v>
      </c>
      <c r="V5" s="136"/>
      <c r="W5" s="136"/>
      <c r="X5" s="136"/>
      <c r="Y5" s="136"/>
      <c r="Z5" s="136"/>
      <c r="AA5" s="136"/>
      <c r="AB5" s="136"/>
      <c r="AC5" s="136"/>
      <c r="AD5" s="136"/>
      <c r="AE5" s="136"/>
      <c r="AF5" s="137"/>
      <c r="AG5" s="54" t="s">
        <v>1029</v>
      </c>
      <c r="AH5" s="31"/>
      <c r="AI5" s="31"/>
      <c r="AJ5" s="32"/>
      <c r="AK5" s="337">
        <f>Design!AK5</f>
        <v>0</v>
      </c>
      <c r="AL5" s="338"/>
      <c r="AM5" s="338"/>
      <c r="AN5" s="338"/>
      <c r="AO5" s="339"/>
      <c r="AP5" s="5"/>
      <c r="AQ5" s="5"/>
      <c r="AR5" s="5"/>
      <c r="AS5" s="5"/>
      <c r="AT5" s="5"/>
      <c r="AU5" s="5"/>
      <c r="AV5" s="5"/>
      <c r="AW5" s="5"/>
      <c r="AX5" s="5"/>
      <c r="AY5" s="5"/>
      <c r="AZ5" s="5"/>
      <c r="BA5" s="5"/>
      <c r="BB5" s="5"/>
      <c r="BC5" s="6"/>
      <c r="BD5" s="5"/>
    </row>
    <row r="6" spans="1:150" x14ac:dyDescent="0.25">
      <c r="A6" s="5"/>
      <c r="B6" s="4"/>
      <c r="C6" s="5"/>
      <c r="D6" s="5"/>
      <c r="E6" s="5"/>
      <c r="F6" s="5"/>
      <c r="G6" s="5"/>
      <c r="H6" s="5"/>
      <c r="I6" s="5"/>
      <c r="J6" s="5"/>
      <c r="K6" s="5"/>
      <c r="L6" s="5"/>
      <c r="M6" s="5"/>
      <c r="N6" s="5"/>
      <c r="O6" s="5"/>
      <c r="P6" s="51" t="s">
        <v>1026</v>
      </c>
      <c r="Q6" s="31"/>
      <c r="R6" s="31"/>
      <c r="S6" s="31"/>
      <c r="T6" s="32"/>
      <c r="U6" s="135">
        <f>Design!U6</f>
        <v>0</v>
      </c>
      <c r="V6" s="136"/>
      <c r="W6" s="136"/>
      <c r="X6" s="136"/>
      <c r="Y6" s="136"/>
      <c r="Z6" s="136"/>
      <c r="AA6" s="136"/>
      <c r="AB6" s="136"/>
      <c r="AC6" s="136"/>
      <c r="AD6" s="136"/>
      <c r="AE6" s="136"/>
      <c r="AF6" s="137"/>
      <c r="AG6" s="54" t="s">
        <v>1030</v>
      </c>
      <c r="AH6" s="31"/>
      <c r="AI6" s="31"/>
      <c r="AJ6" s="32"/>
      <c r="AK6" s="163">
        <f>Design!AK6</f>
        <v>0</v>
      </c>
      <c r="AL6" s="164"/>
      <c r="AM6" s="164"/>
      <c r="AN6" s="164"/>
      <c r="AO6" s="165"/>
      <c r="AP6" s="5"/>
      <c r="AQ6" s="5"/>
      <c r="AR6" s="5"/>
      <c r="AS6" s="5"/>
      <c r="AT6" s="5"/>
      <c r="AU6" s="5"/>
      <c r="AV6" s="5"/>
      <c r="AW6" s="5"/>
      <c r="AX6" s="5"/>
      <c r="AY6" s="5"/>
      <c r="AZ6" s="5"/>
      <c r="BA6" s="5"/>
      <c r="BB6" s="5"/>
      <c r="BC6" s="6"/>
      <c r="BD6" s="5"/>
    </row>
    <row r="7" spans="1:150" x14ac:dyDescent="0.25">
      <c r="A7" s="5"/>
      <c r="B7" s="4"/>
      <c r="C7" s="5"/>
      <c r="D7" s="5"/>
      <c r="E7" s="5"/>
      <c r="F7" s="5"/>
      <c r="G7" s="5"/>
      <c r="H7" s="5"/>
      <c r="I7" s="5"/>
      <c r="J7" s="5"/>
      <c r="K7" s="5"/>
      <c r="L7" s="5"/>
      <c r="M7" s="5"/>
      <c r="N7" s="5"/>
      <c r="O7" s="5"/>
      <c r="P7" s="51" t="s">
        <v>1027</v>
      </c>
      <c r="Q7" s="31"/>
      <c r="R7" s="31"/>
      <c r="S7" s="31"/>
      <c r="T7" s="32"/>
      <c r="U7" s="135">
        <f>Design!U7</f>
        <v>0</v>
      </c>
      <c r="V7" s="136"/>
      <c r="W7" s="136"/>
      <c r="X7" s="136"/>
      <c r="Y7" s="136"/>
      <c r="Z7" s="136"/>
      <c r="AA7" s="136"/>
      <c r="AB7" s="136"/>
      <c r="AC7" s="136"/>
      <c r="AD7" s="136"/>
      <c r="AE7" s="136"/>
      <c r="AF7" s="137"/>
      <c r="AG7" s="55" t="s">
        <v>1031</v>
      </c>
      <c r="AH7" s="43"/>
      <c r="AI7" s="43"/>
      <c r="AJ7" s="42"/>
      <c r="AK7" s="337">
        <f>Design!AK7</f>
        <v>0</v>
      </c>
      <c r="AL7" s="338"/>
      <c r="AM7" s="338"/>
      <c r="AN7" s="338"/>
      <c r="AO7" s="339"/>
      <c r="AP7" s="5"/>
      <c r="AQ7" s="5"/>
      <c r="AR7" s="5"/>
      <c r="AS7" s="5"/>
      <c r="AT7" s="5"/>
      <c r="AU7" s="5"/>
      <c r="AV7" s="5"/>
      <c r="AW7" s="5"/>
      <c r="AX7" s="5"/>
      <c r="AY7" s="5"/>
      <c r="AZ7" s="5"/>
      <c r="BA7" s="5"/>
      <c r="BB7" s="5"/>
      <c r="BC7" s="6"/>
      <c r="BD7" s="5"/>
    </row>
    <row r="8" spans="1:150" ht="15.75" thickBot="1" x14ac:dyDescent="0.3">
      <c r="A8" s="5"/>
      <c r="B8" s="4"/>
      <c r="C8" s="7"/>
      <c r="D8" s="7"/>
      <c r="E8" s="7"/>
      <c r="F8" s="7"/>
      <c r="G8" s="7"/>
      <c r="H8" s="7"/>
      <c r="I8" s="7"/>
      <c r="J8" s="7"/>
      <c r="K8" s="7"/>
      <c r="L8" s="7"/>
      <c r="M8" s="7"/>
      <c r="N8" s="7"/>
      <c r="O8" s="7"/>
      <c r="P8" s="52" t="s">
        <v>1034</v>
      </c>
      <c r="Q8" s="38"/>
      <c r="R8" s="38"/>
      <c r="S8" s="38"/>
      <c r="T8" s="39"/>
      <c r="U8" s="138">
        <f>Design!U8</f>
        <v>0</v>
      </c>
      <c r="V8" s="139"/>
      <c r="W8" s="139"/>
      <c r="X8" s="139"/>
      <c r="Y8" s="139"/>
      <c r="Z8" s="139"/>
      <c r="AA8" s="139"/>
      <c r="AB8" s="139"/>
      <c r="AC8" s="139"/>
      <c r="AD8" s="139"/>
      <c r="AE8" s="139"/>
      <c r="AF8" s="139"/>
      <c r="AG8" s="56" t="s">
        <v>1032</v>
      </c>
      <c r="AH8" s="38"/>
      <c r="AI8" s="38"/>
      <c r="AJ8" s="39"/>
      <c r="AK8" s="142">
        <v>1</v>
      </c>
      <c r="AL8" s="166"/>
      <c r="AM8" s="57" t="s">
        <v>1033</v>
      </c>
      <c r="AN8" s="138">
        <v>1</v>
      </c>
      <c r="AO8" s="167"/>
      <c r="AP8" s="7"/>
      <c r="AQ8" s="7"/>
      <c r="AR8" s="7"/>
      <c r="AS8" s="7"/>
      <c r="AT8" s="7"/>
      <c r="AU8" s="7"/>
      <c r="AV8" s="7"/>
      <c r="AW8" s="7"/>
      <c r="AX8" s="7"/>
      <c r="AY8" s="7"/>
      <c r="AZ8" s="7"/>
      <c r="BA8" s="7"/>
      <c r="BB8" s="7"/>
      <c r="BC8" s="6"/>
      <c r="BD8" s="5"/>
    </row>
    <row r="9" spans="1:150" ht="15.75" thickBot="1" x14ac:dyDescent="0.3">
      <c r="A9" s="5"/>
      <c r="B9" s="62">
        <v>1</v>
      </c>
      <c r="C9" s="117" t="s">
        <v>1862</v>
      </c>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62" t="s">
        <v>953</v>
      </c>
      <c r="BD9" s="5"/>
    </row>
    <row r="10" spans="1:150" x14ac:dyDescent="0.25">
      <c r="A10" s="161"/>
      <c r="B10" s="63">
        <v>2</v>
      </c>
      <c r="C10" s="115" t="s">
        <v>953</v>
      </c>
      <c r="D10" s="72" t="s">
        <v>1079</v>
      </c>
      <c r="E10" s="365">
        <v>3</v>
      </c>
      <c r="F10" s="365"/>
      <c r="G10" s="72"/>
      <c r="H10" s="72" t="s">
        <v>1866</v>
      </c>
      <c r="I10" s="72"/>
      <c r="J10" s="72"/>
      <c r="K10" s="72"/>
      <c r="L10" s="72"/>
      <c r="M10" s="72"/>
      <c r="N10" s="72"/>
      <c r="O10" s="72"/>
      <c r="P10" s="72"/>
      <c r="Q10" s="72"/>
      <c r="R10" s="72"/>
      <c r="S10" s="72"/>
      <c r="T10" s="72"/>
      <c r="U10" s="72"/>
      <c r="V10" s="72"/>
      <c r="W10" s="72"/>
      <c r="X10" s="72"/>
      <c r="Y10" s="72"/>
      <c r="Z10" s="72"/>
      <c r="AA10" s="72"/>
      <c r="AB10" s="76"/>
      <c r="AC10" s="115" t="s">
        <v>1869</v>
      </c>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6"/>
      <c r="BC10" s="65"/>
      <c r="BD10" s="161"/>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row>
    <row r="11" spans="1:150" ht="18" x14ac:dyDescent="0.35">
      <c r="A11" s="5"/>
      <c r="B11" s="63">
        <v>3</v>
      </c>
      <c r="C11" s="96" t="s">
        <v>1863</v>
      </c>
      <c r="D11" s="78" t="s">
        <v>1079</v>
      </c>
      <c r="E11" s="307">
        <v>2.5</v>
      </c>
      <c r="F11" s="307"/>
      <c r="G11" s="78"/>
      <c r="H11" s="78" t="s">
        <v>1866</v>
      </c>
      <c r="I11" s="78"/>
      <c r="J11" s="78"/>
      <c r="K11" s="78"/>
      <c r="L11" s="78"/>
      <c r="M11" s="78"/>
      <c r="N11" s="78"/>
      <c r="O11" s="78"/>
      <c r="P11" s="78"/>
      <c r="Q11" s="78"/>
      <c r="R11" s="78"/>
      <c r="S11" s="78"/>
      <c r="T11" s="78"/>
      <c r="U11" s="78"/>
      <c r="V11" s="78"/>
      <c r="W11" s="78"/>
      <c r="X11" s="78"/>
      <c r="Y11" s="78"/>
      <c r="Z11" s="78"/>
      <c r="AA11" s="78"/>
      <c r="AB11" s="82"/>
      <c r="AC11" s="96" t="s">
        <v>1870</v>
      </c>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82"/>
      <c r="BC11" s="65"/>
      <c r="BD11" s="5"/>
    </row>
    <row r="12" spans="1:150" ht="18.75" thickBot="1" x14ac:dyDescent="0.4">
      <c r="A12" s="5"/>
      <c r="B12" s="63">
        <v>4</v>
      </c>
      <c r="C12" s="96" t="s">
        <v>1864</v>
      </c>
      <c r="D12" s="78" t="s">
        <v>1079</v>
      </c>
      <c r="E12" s="307">
        <v>1.5</v>
      </c>
      <c r="F12" s="307"/>
      <c r="G12" s="78"/>
      <c r="H12" s="78" t="s">
        <v>1871</v>
      </c>
      <c r="I12" s="78"/>
      <c r="J12" s="78"/>
      <c r="K12" s="78"/>
      <c r="L12" s="78"/>
      <c r="M12" s="78"/>
      <c r="N12" s="78"/>
      <c r="O12" s="78"/>
      <c r="P12" s="78"/>
      <c r="Q12" s="78"/>
      <c r="R12" s="78"/>
      <c r="S12" s="78"/>
      <c r="T12" s="78"/>
      <c r="U12" s="78"/>
      <c r="V12" s="78"/>
      <c r="W12" s="78"/>
      <c r="X12" s="78"/>
      <c r="Y12" s="78"/>
      <c r="Z12" s="78"/>
      <c r="AA12" s="78"/>
      <c r="AB12" s="82"/>
      <c r="AC12" s="96" t="s">
        <v>1868</v>
      </c>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82"/>
      <c r="BC12" s="65"/>
      <c r="BD12" s="5"/>
    </row>
    <row r="13" spans="1:150" ht="18.75" thickBot="1" x14ac:dyDescent="0.4">
      <c r="A13" s="5"/>
      <c r="B13" s="63">
        <v>5</v>
      </c>
      <c r="C13" s="96" t="s">
        <v>1865</v>
      </c>
      <c r="D13" s="78" t="s">
        <v>1079</v>
      </c>
      <c r="E13" s="366">
        <v>0.5</v>
      </c>
      <c r="F13" s="367"/>
      <c r="G13" s="78"/>
      <c r="H13" s="78" t="s">
        <v>1874</v>
      </c>
      <c r="I13" s="78"/>
      <c r="J13" s="78"/>
      <c r="K13" s="78"/>
      <c r="L13" s="78"/>
      <c r="M13" s="78"/>
      <c r="N13" s="78"/>
      <c r="O13" s="173" t="s">
        <v>1867</v>
      </c>
      <c r="P13" s="78"/>
      <c r="Q13" s="78"/>
      <c r="R13" s="78"/>
      <c r="S13" s="78"/>
      <c r="T13" s="78"/>
      <c r="U13" s="78"/>
      <c r="V13" s="78"/>
      <c r="W13" s="78"/>
      <c r="X13" s="78"/>
      <c r="Y13" s="78"/>
      <c r="Z13" s="78"/>
      <c r="AA13" s="78"/>
      <c r="AB13" s="82"/>
      <c r="AC13" s="96"/>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82"/>
      <c r="BC13" s="65"/>
      <c r="BD13" s="5"/>
    </row>
    <row r="14" spans="1:150" ht="15.75" thickBot="1" x14ac:dyDescent="0.3">
      <c r="A14" s="5"/>
      <c r="B14" s="63">
        <v>6</v>
      </c>
      <c r="C14" s="96"/>
      <c r="D14" s="78"/>
      <c r="E14" s="110"/>
      <c r="F14" s="110"/>
      <c r="G14" s="78"/>
      <c r="H14" s="78"/>
      <c r="I14" s="78"/>
      <c r="J14" s="78"/>
      <c r="K14" s="78"/>
      <c r="L14" s="78"/>
      <c r="M14" s="78"/>
      <c r="N14" s="78"/>
      <c r="O14" s="78"/>
      <c r="P14" s="78"/>
      <c r="Q14" s="78"/>
      <c r="R14" s="78"/>
      <c r="S14" s="78"/>
      <c r="T14" s="78"/>
      <c r="U14" s="78"/>
      <c r="V14" s="78"/>
      <c r="W14" s="78"/>
      <c r="X14" s="78"/>
      <c r="Y14" s="78"/>
      <c r="Z14" s="78"/>
      <c r="AA14" s="78"/>
      <c r="AB14" s="82"/>
      <c r="AC14" s="96"/>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82"/>
      <c r="BC14" s="65"/>
      <c r="BD14" s="5"/>
    </row>
    <row r="15" spans="1:150" ht="18.75" thickBot="1" x14ac:dyDescent="0.4">
      <c r="A15" s="5"/>
      <c r="B15" s="63">
        <v>7</v>
      </c>
      <c r="C15" s="96" t="s">
        <v>1872</v>
      </c>
      <c r="D15" s="78" t="s">
        <v>1079</v>
      </c>
      <c r="E15" s="363">
        <f>((0.4*E11*E13)/(E10/E12))*3</f>
        <v>0.75</v>
      </c>
      <c r="F15" s="364"/>
      <c r="G15" s="78"/>
      <c r="H15" s="78"/>
      <c r="I15" s="78"/>
      <c r="J15" s="78"/>
      <c r="K15" s="78"/>
      <c r="L15" s="78"/>
      <c r="M15" s="78"/>
      <c r="N15" s="78"/>
      <c r="O15" s="78"/>
      <c r="P15" s="78"/>
      <c r="Q15" s="78"/>
      <c r="R15" s="78"/>
      <c r="S15" s="78"/>
      <c r="T15" s="78"/>
      <c r="U15" s="78"/>
      <c r="V15" s="78"/>
      <c r="W15" s="78"/>
      <c r="X15" s="78"/>
      <c r="Y15" s="78"/>
      <c r="Z15" s="78"/>
      <c r="AA15" s="78"/>
      <c r="AB15" s="82"/>
      <c r="AC15" s="96"/>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82"/>
      <c r="BC15" s="65"/>
      <c r="BD15" s="5"/>
    </row>
    <row r="16" spans="1:150" ht="18.75" thickBot="1" x14ac:dyDescent="0.4">
      <c r="A16" s="5"/>
      <c r="B16" s="63">
        <v>8</v>
      </c>
      <c r="C16" s="96" t="s">
        <v>1873</v>
      </c>
      <c r="D16" s="78" t="s">
        <v>1079</v>
      </c>
      <c r="E16" s="363">
        <f>((0.4*E11*E13)/(E10/E12))*3</f>
        <v>0.75</v>
      </c>
      <c r="F16" s="364"/>
      <c r="G16" s="78"/>
      <c r="H16" s="78"/>
      <c r="I16" s="78"/>
      <c r="J16" s="78"/>
      <c r="K16" s="78"/>
      <c r="L16" s="78"/>
      <c r="M16" s="78"/>
      <c r="N16" s="78"/>
      <c r="O16" s="78"/>
      <c r="P16" s="78"/>
      <c r="Q16" s="78"/>
      <c r="R16" s="78"/>
      <c r="S16" s="78"/>
      <c r="T16" s="78"/>
      <c r="U16" s="78"/>
      <c r="V16" s="78"/>
      <c r="W16" s="78"/>
      <c r="X16" s="78"/>
      <c r="Y16" s="78"/>
      <c r="Z16" s="78"/>
      <c r="AA16" s="78"/>
      <c r="AB16" s="82"/>
      <c r="AC16" s="96"/>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82"/>
      <c r="BC16" s="65"/>
      <c r="BD16" s="5"/>
    </row>
    <row r="17" spans="1:56" x14ac:dyDescent="0.25">
      <c r="A17" s="5"/>
      <c r="B17" s="63">
        <v>9</v>
      </c>
      <c r="C17" s="96"/>
      <c r="D17" s="78"/>
      <c r="E17" s="78"/>
      <c r="F17" s="78"/>
      <c r="G17" s="78"/>
      <c r="H17" s="78"/>
      <c r="I17" s="78"/>
      <c r="J17" s="78"/>
      <c r="K17" s="78"/>
      <c r="L17" s="78"/>
      <c r="M17" s="78"/>
      <c r="N17" s="78"/>
      <c r="O17" s="78"/>
      <c r="P17" s="78"/>
      <c r="Q17" s="78"/>
      <c r="R17" s="78"/>
      <c r="S17" s="78"/>
      <c r="T17" s="78"/>
      <c r="U17" s="78"/>
      <c r="V17" s="78"/>
      <c r="W17" s="78"/>
      <c r="X17" s="78"/>
      <c r="Y17" s="78"/>
      <c r="Z17" s="78"/>
      <c r="AA17" s="78"/>
      <c r="AB17" s="82"/>
      <c r="AC17" s="96"/>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82"/>
      <c r="BC17" s="65"/>
      <c r="BD17" s="5"/>
    </row>
    <row r="18" spans="1:56" ht="15.75" thickBot="1" x14ac:dyDescent="0.3">
      <c r="A18" s="5"/>
      <c r="B18" s="63">
        <v>10</v>
      </c>
      <c r="C18" s="97"/>
      <c r="D18" s="91"/>
      <c r="E18" s="91"/>
      <c r="F18" s="91"/>
      <c r="G18" s="91"/>
      <c r="H18" s="91"/>
      <c r="I18" s="91"/>
      <c r="J18" s="91"/>
      <c r="K18" s="91"/>
      <c r="L18" s="91"/>
      <c r="M18" s="91"/>
      <c r="N18" s="91"/>
      <c r="O18" s="91"/>
      <c r="P18" s="91"/>
      <c r="Q18" s="91"/>
      <c r="R18" s="91"/>
      <c r="S18" s="91"/>
      <c r="T18" s="91"/>
      <c r="U18" s="91"/>
      <c r="V18" s="91"/>
      <c r="W18" s="91"/>
      <c r="X18" s="91"/>
      <c r="Y18" s="91"/>
      <c r="Z18" s="91"/>
      <c r="AA18" s="91"/>
      <c r="AB18" s="92"/>
      <c r="AC18" s="97"/>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2"/>
      <c r="BC18" s="65"/>
      <c r="BD18" s="5"/>
    </row>
    <row r="19" spans="1:56" x14ac:dyDescent="0.25">
      <c r="A19" s="5"/>
      <c r="B19" s="63">
        <v>11</v>
      </c>
      <c r="C19" s="170"/>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58"/>
      <c r="BC19" s="58"/>
      <c r="BD19" s="5"/>
    </row>
    <row r="20" spans="1:56" ht="15.75" thickBot="1" x14ac:dyDescent="0.3">
      <c r="A20" s="5"/>
      <c r="B20" s="64">
        <v>12</v>
      </c>
      <c r="C20" s="172" t="s">
        <v>1980</v>
      </c>
      <c r="D20" s="120"/>
      <c r="E20" s="120"/>
      <c r="F20" s="120"/>
      <c r="G20" s="120"/>
      <c r="H20" s="120"/>
      <c r="I20" s="120"/>
      <c r="J20" s="120"/>
      <c r="K20" s="120"/>
      <c r="L20" s="120"/>
      <c r="M20" s="120"/>
      <c r="N20" s="120"/>
      <c r="O20" s="120"/>
      <c r="P20" s="120"/>
      <c r="Q20" s="171"/>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53"/>
      <c r="BC20" s="59"/>
      <c r="BD20" s="5"/>
    </row>
    <row r="21" spans="1:5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row>
    <row r="22" spans="1:56" ht="1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row>
    <row r="23" spans="1:5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5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row>
    <row r="26" spans="1:56" x14ac:dyDescent="0.25"/>
    <row r="27" spans="1:56" x14ac:dyDescent="0.25"/>
    <row r="28" spans="1:56" x14ac:dyDescent="0.25"/>
    <row r="29" spans="1:56" x14ac:dyDescent="0.25"/>
    <row r="30" spans="1:56" x14ac:dyDescent="0.25"/>
    <row r="31" spans="1:56" x14ac:dyDescent="0.25"/>
    <row r="32" spans="1:56"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ht="15" customHeight="1" x14ac:dyDescent="0.25"/>
    <row r="50" x14ac:dyDescent="0.25"/>
    <row r="51" ht="15" customHeight="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sheetData>
  <dataConsolidate link="1"/>
  <mergeCells count="8">
    <mergeCell ref="E15:F15"/>
    <mergeCell ref="E16:F16"/>
    <mergeCell ref="AK5:AO5"/>
    <mergeCell ref="AK7:AO7"/>
    <mergeCell ref="E10:F10"/>
    <mergeCell ref="E11:F11"/>
    <mergeCell ref="E12:F12"/>
    <mergeCell ref="E13:F13"/>
  </mergeCells>
  <phoneticPr fontId="18" type="noConversion"/>
  <hyperlinks>
    <hyperlink ref="O13" r:id="rId1" xr:uid="{FE0B5AB2-CFD1-4901-9506-A5C87BB9918C}"/>
  </hyperlinks>
  <pageMargins left="0.7" right="0.7" top="0.75" bottom="0.75" header="0.3" footer="0.3"/>
  <pageSetup scale="52" fitToHeight="0" orientation="portrait" r:id="rId2"/>
  <colBreaks count="1" manualBreakCount="1">
    <brk id="56" max="1048575" man="1"/>
  </col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5917-4A32-48E6-893A-6A7BD67A963D}">
  <sheetPr codeName="Sheet6"/>
  <dimension ref="A2:BP37"/>
  <sheetViews>
    <sheetView zoomScale="70" zoomScaleNormal="70" workbookViewId="0">
      <selection activeCell="L3" sqref="L3"/>
    </sheetView>
  </sheetViews>
  <sheetFormatPr defaultRowHeight="15" x14ac:dyDescent="0.25"/>
  <cols>
    <col min="3" max="3" width="11.140625" bestFit="1" customWidth="1"/>
    <col min="15" max="15" width="14" bestFit="1" customWidth="1"/>
    <col min="17" max="17" width="16" customWidth="1"/>
    <col min="34" max="34" width="14.42578125" customWidth="1"/>
    <col min="44" max="44" width="18.28515625" customWidth="1"/>
    <col min="48" max="48" width="13.85546875" bestFit="1" customWidth="1"/>
    <col min="49" max="49" width="13.28515625" bestFit="1" customWidth="1"/>
  </cols>
  <sheetData>
    <row r="2" spans="1:68" x14ac:dyDescent="0.25">
      <c r="A2" t="s">
        <v>997</v>
      </c>
      <c r="B2" t="s">
        <v>985</v>
      </c>
      <c r="C2" t="s">
        <v>59</v>
      </c>
      <c r="D2" t="s">
        <v>49</v>
      </c>
      <c r="E2" t="s">
        <v>56</v>
      </c>
      <c r="F2" t="s">
        <v>1237</v>
      </c>
      <c r="K2" t="s">
        <v>994</v>
      </c>
      <c r="L2" t="s">
        <v>51</v>
      </c>
      <c r="M2" t="s">
        <v>50</v>
      </c>
      <c r="N2" t="s">
        <v>52</v>
      </c>
      <c r="O2" t="s">
        <v>53</v>
      </c>
      <c r="P2" t="s">
        <v>80</v>
      </c>
      <c r="Q2" t="s">
        <v>15</v>
      </c>
      <c r="R2" t="s">
        <v>54</v>
      </c>
      <c r="S2" t="s">
        <v>55</v>
      </c>
      <c r="U2" t="s">
        <v>126</v>
      </c>
      <c r="V2" t="s">
        <v>755</v>
      </c>
      <c r="W2" t="s">
        <v>756</v>
      </c>
      <c r="X2" t="s">
        <v>758</v>
      </c>
      <c r="Y2" t="s">
        <v>757</v>
      </c>
      <c r="Z2" t="s">
        <v>769</v>
      </c>
      <c r="AA2" t="s">
        <v>988</v>
      </c>
      <c r="AB2" t="s">
        <v>1831</v>
      </c>
      <c r="AC2" t="s">
        <v>989</v>
      </c>
      <c r="AD2" t="s">
        <v>774</v>
      </c>
      <c r="AE2" t="s">
        <v>775</v>
      </c>
      <c r="AG2" t="s">
        <v>1940</v>
      </c>
      <c r="AH2" t="s">
        <v>776</v>
      </c>
      <c r="AI2" t="s">
        <v>777</v>
      </c>
      <c r="AJ2" t="s">
        <v>778</v>
      </c>
      <c r="AK2" t="s">
        <v>779</v>
      </c>
      <c r="AL2" t="s">
        <v>1256</v>
      </c>
      <c r="AM2" t="s">
        <v>1255</v>
      </c>
      <c r="AN2" t="s">
        <v>787</v>
      </c>
      <c r="AO2" t="s">
        <v>1242</v>
      </c>
      <c r="AP2" t="s">
        <v>1018</v>
      </c>
      <c r="AQ2" t="s">
        <v>1022</v>
      </c>
      <c r="AR2" t="s">
        <v>788</v>
      </c>
      <c r="AS2" t="s">
        <v>1018</v>
      </c>
      <c r="AT2" t="s">
        <v>789</v>
      </c>
      <c r="AU2" t="s">
        <v>1018</v>
      </c>
      <c r="AV2" t="s">
        <v>790</v>
      </c>
      <c r="AW2" t="s">
        <v>791</v>
      </c>
      <c r="AX2" t="s">
        <v>792</v>
      </c>
      <c r="AY2" t="s">
        <v>793</v>
      </c>
      <c r="AZ2" t="s">
        <v>1002</v>
      </c>
      <c r="BA2" t="s">
        <v>794</v>
      </c>
      <c r="BB2" t="s">
        <v>1006</v>
      </c>
      <c r="BC2" t="s">
        <v>795</v>
      </c>
      <c r="BD2" t="s">
        <v>1010</v>
      </c>
      <c r="BE2" t="s">
        <v>1251</v>
      </c>
      <c r="BF2" t="s">
        <v>1252</v>
      </c>
      <c r="BG2" t="s">
        <v>1839</v>
      </c>
      <c r="BH2" t="s">
        <v>1942</v>
      </c>
      <c r="BI2" t="s">
        <v>1943</v>
      </c>
      <c r="BJ2" t="s">
        <v>1944</v>
      </c>
    </row>
    <row r="3" spans="1:68" x14ac:dyDescent="0.25">
      <c r="A3" t="s">
        <v>998</v>
      </c>
      <c r="B3" t="s">
        <v>98</v>
      </c>
      <c r="C3" s="9">
        <v>6</v>
      </c>
      <c r="D3" t="s">
        <v>1913</v>
      </c>
      <c r="E3" t="s">
        <v>65</v>
      </c>
      <c r="F3" t="s">
        <v>1895</v>
      </c>
      <c r="K3" t="s">
        <v>995</v>
      </c>
      <c r="L3" t="s">
        <v>68</v>
      </c>
      <c r="M3" t="s">
        <v>71</v>
      </c>
      <c r="N3" t="s">
        <v>76</v>
      </c>
      <c r="O3" t="s">
        <v>95</v>
      </c>
      <c r="P3" t="s">
        <v>81</v>
      </c>
      <c r="Q3" t="s">
        <v>17</v>
      </c>
      <c r="R3" t="s">
        <v>98</v>
      </c>
      <c r="S3" t="s">
        <v>32</v>
      </c>
      <c r="U3" t="s">
        <v>146</v>
      </c>
      <c r="V3" t="s">
        <v>728</v>
      </c>
      <c r="W3">
        <v>1</v>
      </c>
      <c r="X3" t="s">
        <v>752</v>
      </c>
      <c r="Y3" t="s">
        <v>770</v>
      </c>
      <c r="Z3" t="s">
        <v>754</v>
      </c>
      <c r="AA3" s="10">
        <v>1</v>
      </c>
      <c r="AB3" s="10" t="s">
        <v>1834</v>
      </c>
      <c r="AC3" t="s">
        <v>1234</v>
      </c>
      <c r="AD3" s="10">
        <v>1</v>
      </c>
      <c r="AE3" s="10" t="s">
        <v>32</v>
      </c>
      <c r="AF3" s="21">
        <v>0</v>
      </c>
      <c r="AG3" s="21" t="s">
        <v>32</v>
      </c>
      <c r="AH3">
        <v>0.1875</v>
      </c>
      <c r="AI3" s="9">
        <v>1</v>
      </c>
      <c r="AJ3" t="s">
        <v>780</v>
      </c>
      <c r="AK3" t="s">
        <v>780</v>
      </c>
      <c r="AL3" t="s">
        <v>32</v>
      </c>
      <c r="AM3" t="s">
        <v>32</v>
      </c>
      <c r="AN3" t="s">
        <v>32</v>
      </c>
      <c r="AP3" t="s">
        <v>32</v>
      </c>
      <c r="AQ3" t="s">
        <v>32</v>
      </c>
      <c r="AR3" t="s">
        <v>32</v>
      </c>
      <c r="AS3" t="s">
        <v>32</v>
      </c>
      <c r="AT3" t="s">
        <v>32</v>
      </c>
      <c r="AU3" t="s">
        <v>32</v>
      </c>
      <c r="AV3" t="s">
        <v>814</v>
      </c>
      <c r="AW3" t="s">
        <v>32</v>
      </c>
      <c r="AX3" t="s">
        <v>818</v>
      </c>
      <c r="AY3" t="s">
        <v>32</v>
      </c>
      <c r="AZ3" t="s">
        <v>1003</v>
      </c>
      <c r="BA3" t="s">
        <v>818</v>
      </c>
      <c r="BB3" t="s">
        <v>1007</v>
      </c>
      <c r="BC3" t="s">
        <v>818</v>
      </c>
      <c r="BD3" t="s">
        <v>0</v>
      </c>
      <c r="BE3" t="s">
        <v>32</v>
      </c>
      <c r="BF3" t="s">
        <v>32</v>
      </c>
      <c r="BG3" t="s">
        <v>32</v>
      </c>
      <c r="BH3" t="s">
        <v>999</v>
      </c>
      <c r="BI3" t="s">
        <v>999</v>
      </c>
      <c r="BJ3" t="s">
        <v>1021</v>
      </c>
    </row>
    <row r="4" spans="1:68" x14ac:dyDescent="0.25">
      <c r="A4" t="s">
        <v>999</v>
      </c>
      <c r="B4" t="s">
        <v>986</v>
      </c>
      <c r="C4" s="9">
        <v>9</v>
      </c>
      <c r="D4" t="s">
        <v>46</v>
      </c>
      <c r="E4" t="s">
        <v>66</v>
      </c>
      <c r="F4" t="s">
        <v>1897</v>
      </c>
      <c r="K4" t="s">
        <v>996</v>
      </c>
      <c r="L4" t="s">
        <v>1963</v>
      </c>
      <c r="M4" t="s">
        <v>72</v>
      </c>
      <c r="N4" t="s">
        <v>77</v>
      </c>
      <c r="O4" t="s">
        <v>96</v>
      </c>
      <c r="P4" t="s">
        <v>82</v>
      </c>
      <c r="Q4" s="12" t="s">
        <v>18</v>
      </c>
      <c r="R4" t="s">
        <v>99</v>
      </c>
      <c r="S4" t="s">
        <v>101</v>
      </c>
      <c r="U4" t="s">
        <v>1265</v>
      </c>
      <c r="V4" t="s">
        <v>729</v>
      </c>
      <c r="W4">
        <v>1.5</v>
      </c>
      <c r="X4" t="s">
        <v>759</v>
      </c>
      <c r="Y4" t="s">
        <v>753</v>
      </c>
      <c r="Z4" t="s">
        <v>762</v>
      </c>
      <c r="AA4" s="10">
        <v>1.1879999999999999</v>
      </c>
      <c r="AB4" s="10" t="s">
        <v>1830</v>
      </c>
      <c r="AC4" t="s">
        <v>990</v>
      </c>
      <c r="AD4" s="10">
        <v>1.1879999999999999</v>
      </c>
      <c r="AE4" s="19">
        <v>0.375</v>
      </c>
      <c r="AF4" s="21">
        <v>1</v>
      </c>
      <c r="AG4" s="19">
        <v>0.25</v>
      </c>
      <c r="AH4">
        <v>0.25</v>
      </c>
      <c r="AI4" s="9">
        <v>1.75</v>
      </c>
      <c r="AJ4" t="s">
        <v>781</v>
      </c>
      <c r="AK4" t="s">
        <v>781</v>
      </c>
      <c r="AL4" t="s">
        <v>810</v>
      </c>
      <c r="AM4" s="11" t="s">
        <v>785</v>
      </c>
      <c r="AN4" t="s">
        <v>797</v>
      </c>
      <c r="AP4" t="s">
        <v>1019</v>
      </c>
      <c r="AQ4">
        <v>220</v>
      </c>
      <c r="AR4" t="s">
        <v>803</v>
      </c>
      <c r="AS4" t="s">
        <v>1019</v>
      </c>
      <c r="AT4" t="s">
        <v>796</v>
      </c>
      <c r="AU4" t="s">
        <v>1019</v>
      </c>
      <c r="AV4" t="s">
        <v>817</v>
      </c>
      <c r="AW4" t="s">
        <v>818</v>
      </c>
      <c r="AX4" t="s">
        <v>745</v>
      </c>
      <c r="AY4" t="s">
        <v>819</v>
      </c>
      <c r="AZ4" t="s">
        <v>1004</v>
      </c>
      <c r="BA4" t="s">
        <v>745</v>
      </c>
      <c r="BB4" t="s">
        <v>1008</v>
      </c>
      <c r="BC4" t="s">
        <v>745</v>
      </c>
      <c r="BD4" t="s">
        <v>1011</v>
      </c>
      <c r="BE4" t="s">
        <v>1248</v>
      </c>
      <c r="BF4" t="s">
        <v>1248</v>
      </c>
      <c r="BG4" t="s">
        <v>1840</v>
      </c>
      <c r="BH4" t="s">
        <v>1945</v>
      </c>
      <c r="BI4" t="s">
        <v>1946</v>
      </c>
      <c r="BJ4" t="s">
        <v>1020</v>
      </c>
    </row>
    <row r="5" spans="1:68" x14ac:dyDescent="0.25">
      <c r="C5" s="9">
        <v>10</v>
      </c>
      <c r="D5" t="s">
        <v>47</v>
      </c>
      <c r="E5" t="s">
        <v>67</v>
      </c>
      <c r="F5" t="s">
        <v>1896</v>
      </c>
      <c r="K5" t="s">
        <v>1828</v>
      </c>
      <c r="L5" t="s">
        <v>1965</v>
      </c>
      <c r="M5" t="s">
        <v>73</v>
      </c>
      <c r="N5" t="s">
        <v>78</v>
      </c>
      <c r="O5" t="s">
        <v>97</v>
      </c>
      <c r="P5" t="s">
        <v>83</v>
      </c>
      <c r="Q5" s="11" t="s">
        <v>19</v>
      </c>
      <c r="R5" t="s">
        <v>100</v>
      </c>
      <c r="S5" t="s">
        <v>102</v>
      </c>
      <c r="U5" t="s">
        <v>1281</v>
      </c>
      <c r="V5" t="s">
        <v>57</v>
      </c>
      <c r="W5">
        <v>2</v>
      </c>
      <c r="X5" t="s">
        <v>760</v>
      </c>
      <c r="Y5" t="s">
        <v>771</v>
      </c>
      <c r="Z5" t="s">
        <v>763</v>
      </c>
      <c r="AA5" s="10">
        <v>1.25</v>
      </c>
      <c r="AB5" s="10" t="s">
        <v>1832</v>
      </c>
      <c r="AD5" s="10">
        <v>1.25</v>
      </c>
      <c r="AE5" s="19">
        <v>0.5</v>
      </c>
      <c r="AF5" s="21">
        <v>2</v>
      </c>
      <c r="AG5" s="19">
        <v>0.375</v>
      </c>
      <c r="AH5">
        <v>0.375</v>
      </c>
      <c r="AI5" s="9">
        <v>2</v>
      </c>
      <c r="AJ5" t="s">
        <v>782</v>
      </c>
      <c r="AK5" t="s">
        <v>782</v>
      </c>
      <c r="AL5" t="s">
        <v>1257</v>
      </c>
      <c r="AM5" s="11" t="s">
        <v>786</v>
      </c>
      <c r="AN5" t="s">
        <v>798</v>
      </c>
      <c r="AP5" t="s">
        <v>818</v>
      </c>
      <c r="AQ5">
        <v>226</v>
      </c>
      <c r="AR5" t="s">
        <v>804</v>
      </c>
      <c r="AS5" t="s">
        <v>818</v>
      </c>
      <c r="AT5" t="s">
        <v>821</v>
      </c>
      <c r="AU5" t="s">
        <v>818</v>
      </c>
      <c r="AV5" t="s">
        <v>815</v>
      </c>
      <c r="AW5" t="s">
        <v>745</v>
      </c>
      <c r="AX5" t="s">
        <v>747</v>
      </c>
      <c r="AY5" t="s">
        <v>820</v>
      </c>
      <c r="AZ5" t="s">
        <v>1005</v>
      </c>
      <c r="BA5" t="s">
        <v>747</v>
      </c>
      <c r="BB5" t="s">
        <v>1009</v>
      </c>
      <c r="BC5" t="s">
        <v>747</v>
      </c>
      <c r="BD5" t="s">
        <v>1012</v>
      </c>
      <c r="BE5" t="s">
        <v>1249</v>
      </c>
      <c r="BF5" t="s">
        <v>1249</v>
      </c>
      <c r="BG5" t="s">
        <v>1841</v>
      </c>
      <c r="BH5" t="s">
        <v>1947</v>
      </c>
      <c r="BI5" t="s">
        <v>1948</v>
      </c>
      <c r="BJ5" t="s">
        <v>1949</v>
      </c>
    </row>
    <row r="6" spans="1:68" x14ac:dyDescent="0.25">
      <c r="C6" s="9">
        <v>12</v>
      </c>
      <c r="D6" t="s">
        <v>48</v>
      </c>
      <c r="F6" t="s">
        <v>1899</v>
      </c>
      <c r="L6" t="s">
        <v>1964</v>
      </c>
      <c r="M6" t="s">
        <v>74</v>
      </c>
      <c r="N6" t="s">
        <v>79</v>
      </c>
      <c r="P6" t="s">
        <v>84</v>
      </c>
      <c r="Q6" t="s">
        <v>24</v>
      </c>
      <c r="R6" t="s">
        <v>29</v>
      </c>
      <c r="S6" t="s">
        <v>103</v>
      </c>
      <c r="U6" t="s">
        <v>147</v>
      </c>
      <c r="V6" t="s">
        <v>730</v>
      </c>
      <c r="W6">
        <v>3</v>
      </c>
      <c r="X6" t="s">
        <v>761</v>
      </c>
      <c r="Y6" t="s">
        <v>772</v>
      </c>
      <c r="Z6" t="s">
        <v>767</v>
      </c>
      <c r="AA6" s="10">
        <v>1.375</v>
      </c>
      <c r="AB6" s="10" t="s">
        <v>1833</v>
      </c>
      <c r="AD6" s="10">
        <v>1.375</v>
      </c>
      <c r="AE6" s="19">
        <v>0.625</v>
      </c>
      <c r="AF6" s="21">
        <v>3</v>
      </c>
      <c r="AG6" s="19">
        <v>0.5</v>
      </c>
      <c r="AH6" t="s">
        <v>965</v>
      </c>
      <c r="AI6" s="9">
        <v>2.5</v>
      </c>
      <c r="AJ6" t="s">
        <v>783</v>
      </c>
      <c r="AK6" t="s">
        <v>783</v>
      </c>
      <c r="AM6" s="11" t="s">
        <v>1258</v>
      </c>
      <c r="AN6" t="s">
        <v>801</v>
      </c>
      <c r="AP6" t="s">
        <v>1020</v>
      </c>
      <c r="AQ6">
        <v>216</v>
      </c>
      <c r="AR6" t="s">
        <v>805</v>
      </c>
      <c r="AS6" t="s">
        <v>1020</v>
      </c>
      <c r="AT6" t="s">
        <v>822</v>
      </c>
      <c r="AU6" t="s">
        <v>1020</v>
      </c>
      <c r="AV6" t="s">
        <v>1915</v>
      </c>
      <c r="AW6" t="s">
        <v>747</v>
      </c>
      <c r="AX6" t="s">
        <v>1017</v>
      </c>
      <c r="AY6" t="s">
        <v>745</v>
      </c>
      <c r="AZ6" t="s">
        <v>70</v>
      </c>
      <c r="BB6" t="s">
        <v>1886</v>
      </c>
      <c r="BD6" t="s">
        <v>1013</v>
      </c>
      <c r="BE6" t="s">
        <v>1250</v>
      </c>
      <c r="BF6" t="s">
        <v>1250</v>
      </c>
      <c r="BG6" t="s">
        <v>1842</v>
      </c>
      <c r="BI6" t="s">
        <v>1950</v>
      </c>
    </row>
    <row r="7" spans="1:68" x14ac:dyDescent="0.25">
      <c r="C7" s="9">
        <v>14</v>
      </c>
      <c r="D7" t="s">
        <v>1909</v>
      </c>
      <c r="F7" t="s">
        <v>1898</v>
      </c>
      <c r="L7" t="s">
        <v>1966</v>
      </c>
      <c r="M7" t="s">
        <v>75</v>
      </c>
      <c r="P7" t="s">
        <v>85</v>
      </c>
      <c r="R7" s="22" t="s">
        <v>27</v>
      </c>
      <c r="S7" t="s">
        <v>104</v>
      </c>
      <c r="U7" t="s">
        <v>148</v>
      </c>
      <c r="V7" t="s">
        <v>731</v>
      </c>
      <c r="W7">
        <v>5</v>
      </c>
      <c r="Z7" t="s">
        <v>768</v>
      </c>
      <c r="AA7" s="10">
        <v>1.4379999999999999</v>
      </c>
      <c r="AB7" s="10"/>
      <c r="AD7" s="10">
        <v>1.4379999999999999</v>
      </c>
      <c r="AE7" s="19">
        <v>0.75</v>
      </c>
      <c r="AF7" s="21"/>
      <c r="AG7" s="21"/>
      <c r="AH7" t="s">
        <v>966</v>
      </c>
      <c r="AI7" s="9">
        <v>3</v>
      </c>
      <c r="AJ7" s="11" t="s">
        <v>784</v>
      </c>
      <c r="AK7" s="11" t="s">
        <v>1875</v>
      </c>
      <c r="AL7" s="11"/>
      <c r="AM7" s="11"/>
      <c r="AN7" t="s">
        <v>799</v>
      </c>
      <c r="AQ7">
        <v>70</v>
      </c>
      <c r="AR7" t="s">
        <v>806</v>
      </c>
      <c r="AT7" t="s">
        <v>823</v>
      </c>
      <c r="AU7" t="s">
        <v>1021</v>
      </c>
      <c r="AV7" t="s">
        <v>745</v>
      </c>
      <c r="AW7" t="s">
        <v>1016</v>
      </c>
      <c r="AX7" t="s">
        <v>1878</v>
      </c>
      <c r="AY7" t="s">
        <v>747</v>
      </c>
      <c r="BB7" t="s">
        <v>32</v>
      </c>
      <c r="BD7" t="s">
        <v>1886</v>
      </c>
      <c r="BI7" t="s">
        <v>1951</v>
      </c>
      <c r="BP7" s="9"/>
    </row>
    <row r="8" spans="1:68" x14ac:dyDescent="0.25">
      <c r="C8" s="9">
        <v>16</v>
      </c>
      <c r="D8" t="s">
        <v>1910</v>
      </c>
      <c r="L8" t="s">
        <v>1967</v>
      </c>
      <c r="P8" t="s">
        <v>86</v>
      </c>
      <c r="R8" s="22" t="s">
        <v>28</v>
      </c>
      <c r="S8" t="s">
        <v>6</v>
      </c>
      <c r="U8" t="s">
        <v>149</v>
      </c>
      <c r="V8" t="s">
        <v>732</v>
      </c>
      <c r="W8">
        <v>7.5</v>
      </c>
      <c r="Z8" t="s">
        <v>764</v>
      </c>
      <c r="AA8" s="10">
        <v>1.5</v>
      </c>
      <c r="AB8" s="10"/>
      <c r="AD8" s="10">
        <v>1.5</v>
      </c>
      <c r="AE8" s="19">
        <v>0.875</v>
      </c>
      <c r="AH8" t="s">
        <v>967</v>
      </c>
      <c r="AI8" s="9">
        <v>3.5</v>
      </c>
      <c r="AJ8" s="11" t="s">
        <v>785</v>
      </c>
      <c r="AK8" s="175" t="s">
        <v>784</v>
      </c>
      <c r="AL8" s="11"/>
      <c r="AM8" s="11"/>
      <c r="AN8" t="s">
        <v>800</v>
      </c>
      <c r="AQ8" t="s">
        <v>1023</v>
      </c>
      <c r="AR8" t="s">
        <v>807</v>
      </c>
      <c r="AV8" t="s">
        <v>747</v>
      </c>
      <c r="AX8" t="s">
        <v>1919</v>
      </c>
      <c r="BD8" t="s">
        <v>32</v>
      </c>
    </row>
    <row r="9" spans="1:68" x14ac:dyDescent="0.25">
      <c r="C9" s="9">
        <v>18</v>
      </c>
      <c r="L9" t="s">
        <v>1968</v>
      </c>
      <c r="P9" t="s">
        <v>87</v>
      </c>
      <c r="R9" s="22" t="s">
        <v>827</v>
      </c>
      <c r="S9" t="s">
        <v>105</v>
      </c>
      <c r="U9" t="s">
        <v>150</v>
      </c>
      <c r="V9" t="s">
        <v>733</v>
      </c>
      <c r="W9">
        <v>10</v>
      </c>
      <c r="Z9" t="s">
        <v>765</v>
      </c>
      <c r="AA9" s="10">
        <v>1.9379999999999999</v>
      </c>
      <c r="AB9" s="10"/>
      <c r="AD9">
        <v>1.9379999999999999</v>
      </c>
      <c r="AE9" s="19">
        <v>1</v>
      </c>
      <c r="AH9" t="s">
        <v>961</v>
      </c>
      <c r="AI9" s="9">
        <v>4</v>
      </c>
      <c r="AJ9" s="11" t="s">
        <v>786</v>
      </c>
      <c r="AK9" s="11" t="s">
        <v>785</v>
      </c>
      <c r="AL9" s="11"/>
      <c r="AM9" s="11"/>
      <c r="AN9" t="s">
        <v>802</v>
      </c>
      <c r="AR9" t="s">
        <v>1995</v>
      </c>
      <c r="AV9" t="s">
        <v>1922</v>
      </c>
    </row>
    <row r="10" spans="1:68" x14ac:dyDescent="0.25">
      <c r="C10" s="9">
        <v>20</v>
      </c>
      <c r="L10" t="s">
        <v>1969</v>
      </c>
      <c r="P10" t="s">
        <v>88</v>
      </c>
      <c r="R10" s="22" t="s">
        <v>828</v>
      </c>
      <c r="S10" t="s">
        <v>106</v>
      </c>
      <c r="U10" t="s">
        <v>1311</v>
      </c>
      <c r="V10" t="s">
        <v>734</v>
      </c>
      <c r="W10">
        <v>12.3</v>
      </c>
      <c r="Z10" t="s">
        <v>766</v>
      </c>
      <c r="AA10" s="10">
        <v>2</v>
      </c>
      <c r="AB10" s="10"/>
      <c r="AD10" s="10">
        <v>2</v>
      </c>
      <c r="AE10" s="19">
        <v>1.125</v>
      </c>
      <c r="AH10" t="s">
        <v>962</v>
      </c>
      <c r="AI10" s="9"/>
      <c r="AK10" s="11" t="s">
        <v>786</v>
      </c>
      <c r="AR10" t="s">
        <v>811</v>
      </c>
      <c r="AV10" t="s">
        <v>1923</v>
      </c>
    </row>
    <row r="11" spans="1:68" x14ac:dyDescent="0.25">
      <c r="C11" s="9">
        <v>24</v>
      </c>
      <c r="L11" t="s">
        <v>1976</v>
      </c>
      <c r="P11" t="s">
        <v>89</v>
      </c>
      <c r="R11" s="22" t="s">
        <v>829</v>
      </c>
      <c r="S11" t="s">
        <v>107</v>
      </c>
      <c r="U11" t="s">
        <v>151</v>
      </c>
      <c r="V11" t="s">
        <v>735</v>
      </c>
      <c r="W11">
        <v>15</v>
      </c>
      <c r="AA11" s="10">
        <v>2.375</v>
      </c>
      <c r="AB11" s="10"/>
      <c r="AD11" s="10">
        <v>2.375</v>
      </c>
      <c r="AE11" s="19">
        <v>1.25</v>
      </c>
      <c r="AH11" t="s">
        <v>963</v>
      </c>
      <c r="AI11" s="9"/>
      <c r="AR11" t="s">
        <v>812</v>
      </c>
      <c r="AV11" t="s">
        <v>1924</v>
      </c>
    </row>
    <row r="12" spans="1:68" x14ac:dyDescent="0.25">
      <c r="L12" t="s">
        <v>1977</v>
      </c>
      <c r="P12" t="s">
        <v>90</v>
      </c>
      <c r="R12" s="22" t="s">
        <v>830</v>
      </c>
      <c r="S12" t="s">
        <v>108</v>
      </c>
      <c r="U12" t="s">
        <v>152</v>
      </c>
      <c r="V12" t="s">
        <v>736</v>
      </c>
      <c r="W12">
        <v>20</v>
      </c>
      <c r="AA12" s="10">
        <v>2.4380000000000002</v>
      </c>
      <c r="AB12" s="10"/>
      <c r="AD12" s="10">
        <v>2.4380000000000002</v>
      </c>
      <c r="AH12" s="9" t="s">
        <v>964</v>
      </c>
      <c r="AI12" s="9"/>
      <c r="AR12" t="s">
        <v>809</v>
      </c>
    </row>
    <row r="13" spans="1:68" x14ac:dyDescent="0.25">
      <c r="L13" t="s">
        <v>70</v>
      </c>
      <c r="P13" t="s">
        <v>91</v>
      </c>
      <c r="S13" t="s">
        <v>109</v>
      </c>
      <c r="U13" t="s">
        <v>153</v>
      </c>
      <c r="V13" t="s">
        <v>737</v>
      </c>
      <c r="W13">
        <v>25</v>
      </c>
      <c r="AA13" s="10">
        <v>2.75</v>
      </c>
      <c r="AB13" s="10"/>
      <c r="AD13" s="10">
        <v>2.75</v>
      </c>
      <c r="AI13" s="9"/>
      <c r="AR13" t="s">
        <v>813</v>
      </c>
    </row>
    <row r="14" spans="1:68" x14ac:dyDescent="0.25">
      <c r="P14" t="s">
        <v>92</v>
      </c>
      <c r="S14" t="s">
        <v>110</v>
      </c>
      <c r="U14" t="s">
        <v>154</v>
      </c>
      <c r="V14" t="s">
        <v>738</v>
      </c>
      <c r="W14">
        <v>30</v>
      </c>
      <c r="AA14" s="10">
        <v>2.875</v>
      </c>
      <c r="AB14" s="10"/>
      <c r="AD14" s="10">
        <v>2.875</v>
      </c>
      <c r="AI14" s="9"/>
      <c r="AR14" t="s">
        <v>810</v>
      </c>
    </row>
    <row r="15" spans="1:68" x14ac:dyDescent="0.25">
      <c r="P15" t="s">
        <v>93</v>
      </c>
      <c r="S15" t="s">
        <v>111</v>
      </c>
      <c r="U15" t="s">
        <v>155</v>
      </c>
      <c r="AA15" s="10">
        <v>2.9380000000000002</v>
      </c>
      <c r="AB15" s="10"/>
      <c r="AD15" s="10">
        <v>2.9380000000000002</v>
      </c>
      <c r="AI15" s="9"/>
    </row>
    <row r="16" spans="1:68" x14ac:dyDescent="0.25">
      <c r="P16" t="s">
        <v>94</v>
      </c>
      <c r="S16" t="s">
        <v>112</v>
      </c>
      <c r="U16" t="s">
        <v>156</v>
      </c>
      <c r="AA16" s="10">
        <v>3</v>
      </c>
      <c r="AB16" s="10"/>
      <c r="AD16" s="10">
        <v>3</v>
      </c>
      <c r="AI16" s="9"/>
    </row>
    <row r="17" spans="16:34" x14ac:dyDescent="0.25">
      <c r="P17" s="11" t="s">
        <v>987</v>
      </c>
      <c r="S17" t="s">
        <v>113</v>
      </c>
      <c r="U17" t="s">
        <v>157</v>
      </c>
      <c r="AA17" s="10">
        <v>3.25</v>
      </c>
      <c r="AB17" s="10"/>
      <c r="AD17" s="10">
        <v>3.25</v>
      </c>
    </row>
    <row r="18" spans="16:34" x14ac:dyDescent="0.25">
      <c r="S18" t="s">
        <v>114</v>
      </c>
      <c r="U18" t="s">
        <v>158</v>
      </c>
      <c r="AA18" s="10">
        <v>3.4380000000000002</v>
      </c>
      <c r="AB18" s="10"/>
      <c r="AD18" s="10">
        <v>3.4380000000000002</v>
      </c>
    </row>
    <row r="19" spans="16:34" x14ac:dyDescent="0.25">
      <c r="S19" t="s">
        <v>115</v>
      </c>
      <c r="U19" t="s">
        <v>127</v>
      </c>
      <c r="AA19" s="10">
        <v>3.625</v>
      </c>
      <c r="AB19" s="10"/>
      <c r="AD19" s="10">
        <v>3.625</v>
      </c>
    </row>
    <row r="20" spans="16:34" x14ac:dyDescent="0.25">
      <c r="S20" t="s">
        <v>116</v>
      </c>
      <c r="U20" t="s">
        <v>128</v>
      </c>
      <c r="AA20" s="10">
        <v>3.75</v>
      </c>
      <c r="AB20" s="10"/>
      <c r="AD20" s="10">
        <v>3.75</v>
      </c>
    </row>
    <row r="21" spans="16:34" x14ac:dyDescent="0.25">
      <c r="S21" t="s">
        <v>117</v>
      </c>
      <c r="U21" t="s">
        <v>129</v>
      </c>
      <c r="AA21" s="10">
        <v>3.875</v>
      </c>
      <c r="AB21" s="10"/>
      <c r="AD21" s="10">
        <v>3.875</v>
      </c>
    </row>
    <row r="22" spans="16:34" x14ac:dyDescent="0.25">
      <c r="S22" t="s">
        <v>118</v>
      </c>
      <c r="U22" t="s">
        <v>130</v>
      </c>
      <c r="AA22" s="10">
        <v>4</v>
      </c>
      <c r="AB22" s="10"/>
      <c r="AD22" s="10">
        <v>4</v>
      </c>
    </row>
    <row r="23" spans="16:34" x14ac:dyDescent="0.25">
      <c r="S23" t="s">
        <v>119</v>
      </c>
      <c r="U23" t="s">
        <v>131</v>
      </c>
      <c r="AA23" s="10">
        <v>4.5</v>
      </c>
      <c r="AB23" s="10"/>
      <c r="AD23" s="10">
        <v>4.5</v>
      </c>
      <c r="AH23" s="9">
        <v>0.25</v>
      </c>
    </row>
    <row r="24" spans="16:34" x14ac:dyDescent="0.25">
      <c r="U24" t="s">
        <v>132</v>
      </c>
      <c r="AA24" s="10"/>
      <c r="AB24" s="10"/>
      <c r="AH24" s="9">
        <v>0.375</v>
      </c>
    </row>
    <row r="25" spans="16:34" x14ac:dyDescent="0.25">
      <c r="U25" t="s">
        <v>133</v>
      </c>
      <c r="AA25" s="10"/>
      <c r="AB25" s="10"/>
      <c r="AH25" s="9">
        <v>0.5</v>
      </c>
    </row>
    <row r="26" spans="16:34" x14ac:dyDescent="0.25">
      <c r="U26" t="s">
        <v>134</v>
      </c>
      <c r="AA26" s="10"/>
      <c r="AB26" s="10"/>
      <c r="AH26" s="9">
        <v>0.625</v>
      </c>
    </row>
    <row r="27" spans="16:34" x14ac:dyDescent="0.25">
      <c r="U27" t="s">
        <v>135</v>
      </c>
      <c r="AH27" s="9">
        <v>0.75</v>
      </c>
    </row>
    <row r="28" spans="16:34" x14ac:dyDescent="0.25">
      <c r="U28" t="s">
        <v>136</v>
      </c>
      <c r="AH28" s="9">
        <v>1</v>
      </c>
    </row>
    <row r="29" spans="16:34" x14ac:dyDescent="0.25">
      <c r="U29" t="s">
        <v>137</v>
      </c>
    </row>
    <row r="30" spans="16:34" x14ac:dyDescent="0.25">
      <c r="U30" t="s">
        <v>138</v>
      </c>
    </row>
    <row r="31" spans="16:34" x14ac:dyDescent="0.25">
      <c r="U31" t="s">
        <v>139</v>
      </c>
    </row>
    <row r="32" spans="16:34" x14ac:dyDescent="0.25">
      <c r="U32" t="s">
        <v>140</v>
      </c>
    </row>
    <row r="33" spans="21:21" x14ac:dyDescent="0.25">
      <c r="U33" t="s">
        <v>141</v>
      </c>
    </row>
    <row r="34" spans="21:21" x14ac:dyDescent="0.25">
      <c r="U34" t="s">
        <v>142</v>
      </c>
    </row>
    <row r="35" spans="21:21" x14ac:dyDescent="0.25">
      <c r="U35" t="s">
        <v>143</v>
      </c>
    </row>
    <row r="36" spans="21:21" x14ac:dyDescent="0.25">
      <c r="U36" t="s">
        <v>144</v>
      </c>
    </row>
    <row r="37" spans="21:21" x14ac:dyDescent="0.25">
      <c r="U37" t="s">
        <v>145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4D396-F822-41E1-B9DD-E36A788DD9DE}">
  <sheetPr codeName="Sheet7"/>
  <dimension ref="A1:FJ527"/>
  <sheetViews>
    <sheetView topLeftCell="ED1" zoomScale="136" zoomScaleNormal="136" workbookViewId="0">
      <selection activeCell="ES19" sqref="ES19"/>
    </sheetView>
  </sheetViews>
  <sheetFormatPr defaultRowHeight="15" x14ac:dyDescent="0.25"/>
  <cols>
    <col min="1" max="1" width="9.140625" customWidth="1"/>
    <col min="3" max="3" width="9.140625" customWidth="1"/>
    <col min="7" max="7" width="17.7109375" customWidth="1"/>
    <col min="8" max="8" width="17.85546875" customWidth="1"/>
    <col min="35" max="36" width="10.5703125" customWidth="1"/>
    <col min="42" max="42" width="16" customWidth="1"/>
    <col min="65" max="65" width="14.85546875" customWidth="1"/>
    <col min="66" max="66" width="9.5703125" customWidth="1"/>
    <col min="73" max="73" width="12.140625" customWidth="1"/>
    <col min="74" max="74" width="13.5703125" bestFit="1" customWidth="1"/>
    <col min="99" max="99" width="9.140625" customWidth="1"/>
    <col min="102" max="102" width="18.7109375" customWidth="1"/>
    <col min="103" max="103" width="15.42578125" customWidth="1"/>
    <col min="125" max="125" width="17.85546875" bestFit="1" customWidth="1"/>
    <col min="149" max="149" width="26.28515625" bestFit="1" customWidth="1"/>
    <col min="150" max="150" width="9.5703125" customWidth="1"/>
  </cols>
  <sheetData>
    <row r="1" spans="1:166" x14ac:dyDescent="0.25">
      <c r="A1" t="s">
        <v>3</v>
      </c>
      <c r="B1" t="s">
        <v>906</v>
      </c>
      <c r="D1" t="s">
        <v>913</v>
      </c>
      <c r="F1" t="s">
        <v>921</v>
      </c>
      <c r="G1" t="s">
        <v>922</v>
      </c>
      <c r="H1" t="s">
        <v>1</v>
      </c>
      <c r="I1" t="s">
        <v>907</v>
      </c>
      <c r="J1" t="s">
        <v>912</v>
      </c>
      <c r="K1" t="s">
        <v>927</v>
      </c>
      <c r="L1" t="s">
        <v>972</v>
      </c>
      <c r="M1" t="s">
        <v>975</v>
      </c>
      <c r="N1" t="s">
        <v>976</v>
      </c>
      <c r="P1" t="s">
        <v>993</v>
      </c>
      <c r="Q1" t="s">
        <v>989</v>
      </c>
      <c r="R1" t="s">
        <v>1940</v>
      </c>
      <c r="S1" t="s">
        <v>1941</v>
      </c>
      <c r="V1" s="23" t="s">
        <v>868</v>
      </c>
      <c r="AY1">
        <f>IF(Design!J27&lt;10,0,MROUND(Design!J27,5))</f>
        <v>0</v>
      </c>
      <c r="AZ1" t="str">
        <f>Design!J22</f>
        <v>Full</v>
      </c>
      <c r="BA1" t="str">
        <f>IF(P2="Y","Shaftless",AZ1)</f>
        <v>Full</v>
      </c>
      <c r="BB1">
        <f>INDEX(AY4:BD13,MATCH(AY1,AY4:AY13,0),MATCH(BA1,AY4:BD4,0))</f>
        <v>1</v>
      </c>
      <c r="BF1">
        <f>Design!J50</f>
        <v>2.4380000000000002</v>
      </c>
      <c r="BG1">
        <f>VLOOKUP(BF1,BF5:BG14,2,TRUE)</f>
        <v>0.625</v>
      </c>
      <c r="BQ1">
        <f>Design!AA78</f>
        <v>0</v>
      </c>
      <c r="BR1" t="e">
        <f>VLOOKUP(BQ1,BQ5:BR14,2,)</f>
        <v>#N/A</v>
      </c>
      <c r="CA1">
        <f>Design!AP10</f>
        <v>0</v>
      </c>
      <c r="CB1" t="e">
        <f>VLOOKUP($CA$1,$CA$5:$CH$15,2,FALSE)</f>
        <v>#N/A</v>
      </c>
      <c r="CC1" t="e">
        <f>VLOOKUP($CA$1,$CA$5:$CH$15,3,FALSE)</f>
        <v>#N/A</v>
      </c>
      <c r="CD1" t="e">
        <f>VLOOKUP($CA$1,$CA$5:$CH$15,4,FALSE)</f>
        <v>#N/A</v>
      </c>
      <c r="CE1" t="e">
        <f>VLOOKUP($CA$1,$CA$5:$CH$15,5,FALSE)</f>
        <v>#N/A</v>
      </c>
      <c r="CF1" t="e">
        <f>VLOOKUP($CA$1,$CA$5:$CH$15,6,FALSE)</f>
        <v>#N/A</v>
      </c>
      <c r="CG1" t="e">
        <f>VLOOKUP($CA$1,$CA$5:$CH$15,7,FALSE)</f>
        <v>#N/A</v>
      </c>
      <c r="CH1" t="e">
        <f>VLOOKUP($CA$1,$CA$5:$CH$15,8,FALSE)</f>
        <v>#N/A</v>
      </c>
      <c r="DP1" t="str">
        <f>Design!J24</f>
        <v>None</v>
      </c>
      <c r="DQ1" t="str">
        <f>IF(DP1="None","-",VLOOKUP(DP1,DP4:DR30,2,FALSE))</f>
        <v>-</v>
      </c>
      <c r="DR1" t="str">
        <f>IF(DP1="None","-",VLOOKUP(DP1,DP4:DR30,3,FALSE))</f>
        <v>-</v>
      </c>
      <c r="DU1" t="s">
        <v>912</v>
      </c>
      <c r="DV1" t="str">
        <f>Design!J51</f>
        <v>1045 CS</v>
      </c>
      <c r="DW1" t="s">
        <v>907</v>
      </c>
      <c r="DX1">
        <f>Design!AA78</f>
        <v>0</v>
      </c>
      <c r="EC1">
        <f>Design!K86</f>
        <v>0</v>
      </c>
      <c r="ED1" t="e">
        <f>EE1&amp;""" x "&amp;EE1&amp;""" Inside"</f>
        <v>#N/A</v>
      </c>
      <c r="EE1" t="e">
        <f>VLOOKUP(A2,EC4:EE13,3,FALSE)</f>
        <v>#N/A</v>
      </c>
      <c r="EF1">
        <f>Design!K87</f>
        <v>0</v>
      </c>
      <c r="EK1" s="9">
        <f>A2</f>
        <v>0</v>
      </c>
      <c r="EL1" t="e">
        <f>VLOOKUP(EK1,EK4:EL12,2,FALSE)</f>
        <v>#N/A</v>
      </c>
      <c r="EO1">
        <f>Design!P14</f>
        <v>0</v>
      </c>
      <c r="EP1" t="e">
        <f>VLOOKUP(EO1,EO4:EP13,2,FALSE)</f>
        <v>#N/A</v>
      </c>
    </row>
    <row r="2" spans="1:166" x14ac:dyDescent="0.25">
      <c r="A2" s="25">
        <f>Design!J21</f>
        <v>0</v>
      </c>
      <c r="B2" s="24">
        <f>Design!J23</f>
        <v>0</v>
      </c>
      <c r="C2" s="24" t="str">
        <f>IF(B3="Dual",A3&amp;B3,IF(B3="Single",A3&amp;B3,A3&amp;B3&amp;D3))</f>
        <v>Other3</v>
      </c>
      <c r="D2">
        <f>Design!P16</f>
        <v>0</v>
      </c>
      <c r="F2" s="24" t="str">
        <f>IF(Design!J24="None",Design!J52,Design!J24)</f>
        <v>None</v>
      </c>
      <c r="G2" t="e">
        <f>VLOOKUP(F2,DP4:DR30,3,FALSE)</f>
        <v>#N/A</v>
      </c>
      <c r="H2" s="24" t="e">
        <f>IF(B2="Shafted",F3,IF(B2="Single Shaftless",C3,IF(B2="Dual Shaftless",C3,F3)))</f>
        <v>#N/A</v>
      </c>
      <c r="I2" s="24" t="e">
        <f>VLOOKUP(C2,A5:J49,7,FALSE)</f>
        <v>#N/A</v>
      </c>
      <c r="J2" s="24" t="e">
        <f>VLOOKUP(C2,A5:J49,9,FALSE)</f>
        <v>#N/A</v>
      </c>
      <c r="K2" t="e">
        <f>VLOOKUP(C2,A5:J49,8,FALSE)</f>
        <v>#N/A</v>
      </c>
      <c r="L2" t="e">
        <f>VLOOKUP(C2,A5:L49,12,FALSE)</f>
        <v>#N/A</v>
      </c>
      <c r="M2" t="e">
        <f>VLOOKUP($H$3,$G$5:$N$22,7,FALSE)</f>
        <v>#N/A</v>
      </c>
      <c r="N2" t="e">
        <f>VLOOKUP($H$3,$G$5:$N$22,8,FALSE)</f>
        <v>#N/A</v>
      </c>
      <c r="P2" t="str">
        <f>IF(B3="Dual","Y",IF(B3="Single","Y","N"))</f>
        <v>N</v>
      </c>
      <c r="Q2" t="str">
        <f>IF(P2="Y","Flanged","Cross-Bolt Coupling")</f>
        <v>Cross-Bolt Coupling</v>
      </c>
      <c r="R2">
        <f>IF(Design!J57="None",0,Design!J57)</f>
        <v>0</v>
      </c>
      <c r="S2" t="e">
        <f>F3+(2*R2)</f>
        <v>#N/A</v>
      </c>
      <c r="V2" t="s">
        <v>16</v>
      </c>
      <c r="CI2" t="e">
        <f>Design!AP11</f>
        <v>#N/A</v>
      </c>
      <c r="CJ2" t="e">
        <f>Design!AP14</f>
        <v>#N/A</v>
      </c>
      <c r="CK2" t="e">
        <f>VLOOKUP(CJ2,CJ5:CK20,2,FALSE)</f>
        <v>#N/A</v>
      </c>
      <c r="CL2" t="e">
        <f>Design!AP13</f>
        <v>#N/A</v>
      </c>
      <c r="CM2" t="e">
        <f>VLOOKUP(CL2,CL5:CM20,2,FALSE)</f>
        <v>#N/A</v>
      </c>
      <c r="CN2" t="e">
        <f>Design!AP15</f>
        <v>#N/A</v>
      </c>
      <c r="CO2" t="e">
        <f>VLOOKUP(CN2,CN5:CO20,2,FALSE)</f>
        <v>#N/A</v>
      </c>
      <c r="CP2" t="e">
        <f>Design!AP17</f>
        <v>#N/A</v>
      </c>
      <c r="CQ2" t="e">
        <f>VLOOKUP(CP2,CP5:CQ20,2,FALSE)</f>
        <v>#N/A</v>
      </c>
      <c r="DE2" t="s">
        <v>1238</v>
      </c>
      <c r="DF2" t="s">
        <v>1239</v>
      </c>
      <c r="DG2" t="s">
        <v>1240</v>
      </c>
      <c r="DI2" t="s">
        <v>720</v>
      </c>
      <c r="DV2">
        <f>VLOOKUP(DV1,DU4:DY17,2,FALSE)</f>
        <v>28000000</v>
      </c>
      <c r="DW2" t="e">
        <f>VLOOKUP(DX1,DU4:DY17,3,FALSE)</f>
        <v>#N/A</v>
      </c>
      <c r="DX2" t="e">
        <f>VLOOKUP(DX1,DU4:DY17,2,FALSE)</f>
        <v>#N/A</v>
      </c>
      <c r="EC2" t="e">
        <f>IF(EC1="Square Flange",ED1,IF(EC1="Round Flange",ED2,IF(EC1="None","--",ED1)))</f>
        <v>#N/A</v>
      </c>
      <c r="ED2" t="e">
        <f>"Ø "&amp;EE1&amp;""" Inside"</f>
        <v>#N/A</v>
      </c>
      <c r="EE2" t="e">
        <f>VLOOKUP(A2,EC4:EF13,4,FALSE)</f>
        <v>#N/A</v>
      </c>
      <c r="EF2" t="e">
        <f>IF(EF1="Square Flange",ED1,IF(EF1="Round Flange",ED2,IF(EF1="None","--",ED1)))</f>
        <v>#N/A</v>
      </c>
      <c r="EG2" t="e">
        <f>VLOOKUP(A2,EC4:EG13,4,FALSE)</f>
        <v>#N/A</v>
      </c>
      <c r="EI2" t="s">
        <v>1247</v>
      </c>
    </row>
    <row r="3" spans="1:166" x14ac:dyDescent="0.25">
      <c r="A3" s="25" t="str">
        <f>TEXT(A2,"##")</f>
        <v/>
      </c>
      <c r="B3" s="24" t="str">
        <f>IF(B2="Shafted","Shafted",IF(B2="Single Shaftless","Single",IF(B2="Dual Shaftless","Dual","Other")))</f>
        <v>Other</v>
      </c>
      <c r="C3" s="24" t="e">
        <f>VLOOKUP(C2,A5:K22,11,FALSE)</f>
        <v>#N/A</v>
      </c>
      <c r="D3" t="str">
        <f>IF(D2="Light","1",IF(D2="Standard","2","3"))</f>
        <v>3</v>
      </c>
      <c r="E3" s="24"/>
      <c r="F3" s="24" t="e">
        <f>VLOOKUP(F2,DP4:DR30,2,FALSE)</f>
        <v>#N/A</v>
      </c>
      <c r="H3" s="24">
        <f>Design!J25</f>
        <v>0</v>
      </c>
      <c r="I3" s="24" t="e">
        <f>VLOOKUP(C2,A5:J49,3,FALSE)</f>
        <v>#N/A</v>
      </c>
      <c r="J3" s="24" t="e">
        <f>VLOOKUP(C2,A5:J49,10,FALSE)</f>
        <v>#N/A</v>
      </c>
      <c r="V3" s="24" t="s">
        <v>20</v>
      </c>
      <c r="W3" s="24"/>
      <c r="X3" s="24"/>
      <c r="Z3" t="s">
        <v>825</v>
      </c>
      <c r="AE3" t="s">
        <v>30</v>
      </c>
      <c r="AJ3" t="s">
        <v>849</v>
      </c>
      <c r="AM3" t="s">
        <v>851</v>
      </c>
      <c r="AP3" t="s">
        <v>69</v>
      </c>
      <c r="AS3" t="s">
        <v>853</v>
      </c>
      <c r="AV3" t="s">
        <v>854</v>
      </c>
      <c r="AY3" t="s">
        <v>1259</v>
      </c>
      <c r="BF3" t="s">
        <v>911</v>
      </c>
      <c r="BG3" t="s">
        <v>910</v>
      </c>
      <c r="BI3" t="s">
        <v>916</v>
      </c>
      <c r="BM3" t="s">
        <v>923</v>
      </c>
      <c r="BQ3" t="s">
        <v>1233</v>
      </c>
      <c r="BU3" t="s">
        <v>932</v>
      </c>
      <c r="BX3" t="s">
        <v>938</v>
      </c>
      <c r="CA3" t="s">
        <v>1971</v>
      </c>
      <c r="CJ3" t="s">
        <v>957</v>
      </c>
      <c r="CN3" t="s">
        <v>958</v>
      </c>
      <c r="CO3" t="e">
        <f>CI2&amp;CK2&amp;CM2&amp;CO2&amp;CQ2</f>
        <v>#N/A</v>
      </c>
      <c r="CV3" t="s">
        <v>717</v>
      </c>
      <c r="CW3" t="s">
        <v>718</v>
      </c>
      <c r="CX3" t="s">
        <v>719</v>
      </c>
      <c r="CZ3" t="s">
        <v>720</v>
      </c>
      <c r="DA3" t="s">
        <v>721</v>
      </c>
      <c r="DB3" t="s">
        <v>722</v>
      </c>
      <c r="DC3" t="s">
        <v>723</v>
      </c>
      <c r="DE3">
        <f>Design!AQ20</f>
        <v>0</v>
      </c>
      <c r="DH3">
        <f>Design!AJ21</f>
        <v>0</v>
      </c>
      <c r="DI3" t="str">
        <f>DE3&amp;DH3</f>
        <v>00</v>
      </c>
      <c r="DL3" t="s">
        <v>724</v>
      </c>
      <c r="DM3" t="s">
        <v>725</v>
      </c>
      <c r="DN3" t="s">
        <v>726</v>
      </c>
      <c r="DP3" s="24" t="s">
        <v>727</v>
      </c>
      <c r="DQ3" s="24" t="s">
        <v>21</v>
      </c>
      <c r="DR3" s="24" t="s">
        <v>1</v>
      </c>
      <c r="DU3" s="24" t="s">
        <v>740</v>
      </c>
      <c r="DV3" s="24" t="s">
        <v>741</v>
      </c>
      <c r="DW3" s="24" t="s">
        <v>742</v>
      </c>
      <c r="DX3" s="24" t="s">
        <v>743</v>
      </c>
      <c r="DY3" s="24" t="s">
        <v>744</v>
      </c>
      <c r="EC3" s="24" t="s">
        <v>1243</v>
      </c>
      <c r="EE3" s="24" t="s">
        <v>1244</v>
      </c>
      <c r="EF3" s="24" t="s">
        <v>1246</v>
      </c>
      <c r="EG3" s="24" t="s">
        <v>1245</v>
      </c>
      <c r="EI3" s="125" t="s">
        <v>1</v>
      </c>
      <c r="EK3" t="s">
        <v>1243</v>
      </c>
      <c r="EL3" t="s">
        <v>1262</v>
      </c>
      <c r="EM3" t="s">
        <v>1263</v>
      </c>
      <c r="EO3" s="24" t="s">
        <v>1907</v>
      </c>
      <c r="EP3" s="24" t="s">
        <v>1908</v>
      </c>
      <c r="ES3" s="24" t="s">
        <v>2019</v>
      </c>
      <c r="ET3" s="302" t="s">
        <v>2020</v>
      </c>
    </row>
    <row r="4" spans="1:166" x14ac:dyDescent="0.25">
      <c r="A4" s="24"/>
      <c r="B4" s="24" t="s">
        <v>1</v>
      </c>
      <c r="C4" s="24" t="s">
        <v>870</v>
      </c>
      <c r="D4" s="24" t="s">
        <v>871</v>
      </c>
      <c r="E4" s="24" t="s">
        <v>872</v>
      </c>
      <c r="F4" s="24" t="s">
        <v>873</v>
      </c>
      <c r="G4" s="24" t="s">
        <v>874</v>
      </c>
      <c r="H4" s="24" t="s">
        <v>899</v>
      </c>
      <c r="I4" s="24" t="s">
        <v>908</v>
      </c>
      <c r="J4" s="24" t="s">
        <v>909</v>
      </c>
      <c r="K4" s="24" t="s">
        <v>1879</v>
      </c>
      <c r="L4" s="24" t="s">
        <v>971</v>
      </c>
      <c r="M4" s="28" t="s">
        <v>977</v>
      </c>
      <c r="N4" s="28" t="s">
        <v>978</v>
      </c>
      <c r="V4" s="24"/>
      <c r="W4" s="24"/>
      <c r="X4" s="24"/>
      <c r="Z4" t="s">
        <v>26</v>
      </c>
      <c r="AA4" t="s">
        <v>13</v>
      </c>
      <c r="AB4" t="s">
        <v>13</v>
      </c>
      <c r="AC4" t="s">
        <v>13</v>
      </c>
      <c r="AE4" t="s">
        <v>31</v>
      </c>
      <c r="AJ4" t="s">
        <v>850</v>
      </c>
      <c r="AK4" t="s">
        <v>36</v>
      </c>
      <c r="AM4" t="s">
        <v>26</v>
      </c>
      <c r="AN4" t="s">
        <v>37</v>
      </c>
      <c r="AP4" t="s">
        <v>51</v>
      </c>
      <c r="AQ4" t="s">
        <v>39</v>
      </c>
      <c r="AT4" t="s">
        <v>40</v>
      </c>
      <c r="AV4" t="s">
        <v>855</v>
      </c>
      <c r="AW4" t="s">
        <v>41</v>
      </c>
      <c r="AY4" t="s">
        <v>1260</v>
      </c>
      <c r="AZ4" t="s">
        <v>17</v>
      </c>
      <c r="BA4" t="s">
        <v>18</v>
      </c>
      <c r="BB4" t="s">
        <v>19</v>
      </c>
      <c r="BC4" t="s">
        <v>24</v>
      </c>
      <c r="BD4" t="s">
        <v>986</v>
      </c>
      <c r="BF4" s="24" t="s">
        <v>773</v>
      </c>
      <c r="BG4" s="24" t="s">
        <v>910</v>
      </c>
      <c r="BI4" s="24" t="s">
        <v>51</v>
      </c>
      <c r="BJ4" s="24" t="s">
        <v>914</v>
      </c>
      <c r="BK4" s="24" t="s">
        <v>915</v>
      </c>
      <c r="BM4" s="24" t="s">
        <v>51</v>
      </c>
      <c r="BN4" s="24" t="s">
        <v>924</v>
      </c>
      <c r="BO4" s="24" t="s">
        <v>915</v>
      </c>
      <c r="BQ4" s="24" t="s">
        <v>51</v>
      </c>
      <c r="BR4" s="24" t="s">
        <v>924</v>
      </c>
      <c r="BS4" s="24"/>
      <c r="BU4" s="24" t="s">
        <v>51</v>
      </c>
      <c r="BV4" s="24" t="s">
        <v>933</v>
      </c>
      <c r="BX4" s="24" t="s">
        <v>939</v>
      </c>
      <c r="BY4" s="24" t="s">
        <v>940</v>
      </c>
      <c r="CA4" t="s">
        <v>51</v>
      </c>
      <c r="CB4" t="s">
        <v>1970</v>
      </c>
      <c r="CC4" t="s">
        <v>1972</v>
      </c>
      <c r="CD4" t="s">
        <v>50</v>
      </c>
      <c r="CE4" t="s">
        <v>52</v>
      </c>
      <c r="CF4" t="s">
        <v>53</v>
      </c>
      <c r="CG4" t="s">
        <v>1973</v>
      </c>
      <c r="CH4" t="s">
        <v>1974</v>
      </c>
      <c r="CJ4" s="24" t="s">
        <v>50</v>
      </c>
      <c r="CK4" s="24" t="s">
        <v>946</v>
      </c>
      <c r="CL4" s="24" t="s">
        <v>52</v>
      </c>
      <c r="CM4" s="24" t="s">
        <v>946</v>
      </c>
      <c r="CN4" s="24" t="s">
        <v>53</v>
      </c>
      <c r="CO4" s="24" t="s">
        <v>941</v>
      </c>
      <c r="CP4" s="24" t="s">
        <v>80</v>
      </c>
      <c r="CQ4" s="24"/>
      <c r="CR4" s="24"/>
      <c r="CV4" t="s">
        <v>127</v>
      </c>
      <c r="CW4">
        <v>1</v>
      </c>
      <c r="CX4" t="s">
        <v>159</v>
      </c>
      <c r="CY4" t="s">
        <v>160</v>
      </c>
      <c r="CZ4">
        <v>145.13999999999999</v>
      </c>
      <c r="DA4">
        <v>12</v>
      </c>
      <c r="DB4">
        <v>5310</v>
      </c>
      <c r="DC4">
        <v>1720</v>
      </c>
      <c r="DE4">
        <v>1</v>
      </c>
      <c r="DF4" t="str">
        <f>$DE$3&amp;"_"&amp;DE4</f>
        <v>0_1</v>
      </c>
      <c r="DG4" t="e">
        <f>VLOOKUP(DF4,$CX$4:$DC$523,4,FALSE)</f>
        <v>#N/A</v>
      </c>
      <c r="DH4" t="e">
        <f>$DE$3&amp;DG4</f>
        <v>#N/A</v>
      </c>
      <c r="DI4" t="e">
        <f>VLOOKUP($DI$3,$CY$4:$DC$523,2,FALSE)</f>
        <v>#N/A</v>
      </c>
      <c r="DL4">
        <v>1</v>
      </c>
      <c r="DM4" t="s">
        <v>728</v>
      </c>
      <c r="DN4">
        <v>1751</v>
      </c>
      <c r="DP4" s="24" t="s">
        <v>101</v>
      </c>
      <c r="DQ4" s="24">
        <v>2.375</v>
      </c>
      <c r="DR4" s="24">
        <v>2.0670000000000002</v>
      </c>
      <c r="DU4" s="24" t="s">
        <v>745</v>
      </c>
      <c r="DV4" s="24">
        <v>29000000</v>
      </c>
      <c r="DW4" s="24">
        <v>30000</v>
      </c>
      <c r="DX4" s="24">
        <v>75000</v>
      </c>
      <c r="DY4" s="24">
        <v>0.28999999999999998</v>
      </c>
      <c r="EC4" s="24">
        <v>4</v>
      </c>
      <c r="ED4" t="str">
        <f>EC4&amp;"S"</f>
        <v>4S</v>
      </c>
      <c r="EE4" s="24">
        <v>5</v>
      </c>
      <c r="EF4" s="24">
        <v>4.5</v>
      </c>
      <c r="EG4" s="24">
        <v>3.75</v>
      </c>
      <c r="EH4" t="str">
        <f>EC4&amp;"R"</f>
        <v>4R</v>
      </c>
      <c r="EI4">
        <v>5</v>
      </c>
      <c r="EK4">
        <v>6</v>
      </c>
      <c r="EL4" t="s">
        <v>1843</v>
      </c>
      <c r="EO4" s="24" t="s">
        <v>1913</v>
      </c>
      <c r="EP4" s="24">
        <v>0.95</v>
      </c>
      <c r="ES4" s="24" t="s">
        <v>68</v>
      </c>
      <c r="ET4" s="24">
        <v>0.75</v>
      </c>
    </row>
    <row r="5" spans="1:166" x14ac:dyDescent="0.25">
      <c r="A5" s="24" t="s">
        <v>900</v>
      </c>
      <c r="B5" s="24"/>
      <c r="C5" s="24"/>
      <c r="D5" s="24"/>
      <c r="E5" s="24"/>
      <c r="F5" s="24"/>
      <c r="G5" s="24"/>
      <c r="H5" s="26">
        <f>6*2.5</f>
        <v>15</v>
      </c>
      <c r="I5" s="24">
        <v>1.5</v>
      </c>
      <c r="J5" s="24" t="s">
        <v>32</v>
      </c>
      <c r="K5" s="24"/>
      <c r="L5" s="24">
        <v>7</v>
      </c>
      <c r="M5">
        <f>(C5+E5)/2</f>
        <v>0</v>
      </c>
      <c r="N5">
        <f>D5+F5</f>
        <v>0</v>
      </c>
      <c r="V5" s="24" t="s">
        <v>15</v>
      </c>
      <c r="W5" s="24"/>
      <c r="X5" s="24" t="s">
        <v>12</v>
      </c>
      <c r="AA5" s="9" t="s">
        <v>826</v>
      </c>
      <c r="AB5" s="9" t="s">
        <v>831</v>
      </c>
      <c r="AC5" s="9" t="s">
        <v>832</v>
      </c>
      <c r="AF5" t="s">
        <v>14</v>
      </c>
      <c r="AJ5">
        <v>6</v>
      </c>
      <c r="AK5">
        <v>18</v>
      </c>
      <c r="AM5" t="s">
        <v>32</v>
      </c>
      <c r="AN5">
        <v>1</v>
      </c>
      <c r="AP5" t="s">
        <v>68</v>
      </c>
      <c r="AQ5">
        <v>1.5</v>
      </c>
      <c r="AS5" t="s">
        <v>66</v>
      </c>
      <c r="AT5">
        <v>1</v>
      </c>
      <c r="AV5" t="s">
        <v>32</v>
      </c>
      <c r="AW5">
        <v>1</v>
      </c>
      <c r="AY5">
        <v>0</v>
      </c>
      <c r="AZ5">
        <v>1</v>
      </c>
      <c r="BA5">
        <v>1</v>
      </c>
      <c r="BB5">
        <v>1</v>
      </c>
      <c r="BC5">
        <v>1</v>
      </c>
      <c r="BD5">
        <v>1</v>
      </c>
      <c r="BF5" s="24">
        <v>1</v>
      </c>
      <c r="BG5" s="24">
        <v>0.375</v>
      </c>
      <c r="BI5" s="24" t="s">
        <v>819</v>
      </c>
      <c r="BJ5" s="24">
        <v>36000</v>
      </c>
      <c r="BK5" s="24">
        <v>6200</v>
      </c>
      <c r="BM5" s="24" t="s">
        <v>817</v>
      </c>
      <c r="BN5" s="24">
        <v>58000</v>
      </c>
      <c r="BO5" s="24">
        <v>17400</v>
      </c>
      <c r="BQ5" s="24" t="s">
        <v>818</v>
      </c>
      <c r="BR5" s="24">
        <v>58000</v>
      </c>
      <c r="BS5" s="24"/>
      <c r="BU5" s="24" t="s">
        <v>818</v>
      </c>
      <c r="BV5" s="24">
        <v>6.3300000000000004E-6</v>
      </c>
      <c r="BX5" s="24" t="s">
        <v>780</v>
      </c>
      <c r="BY5" s="24">
        <v>0.06</v>
      </c>
      <c r="CA5" t="s">
        <v>68</v>
      </c>
      <c r="CB5">
        <v>65</v>
      </c>
      <c r="CC5">
        <v>21</v>
      </c>
      <c r="CD5" t="s">
        <v>73</v>
      </c>
      <c r="CE5" s="11" t="s">
        <v>79</v>
      </c>
      <c r="CF5" t="s">
        <v>95</v>
      </c>
      <c r="CG5" s="11" t="s">
        <v>987</v>
      </c>
      <c r="CH5" s="11" t="s">
        <v>987</v>
      </c>
      <c r="CJ5" s="24" t="s">
        <v>71</v>
      </c>
      <c r="CK5" s="24" t="s">
        <v>942</v>
      </c>
      <c r="CL5" s="24" t="s">
        <v>76</v>
      </c>
      <c r="CM5" s="24">
        <v>1</v>
      </c>
      <c r="CN5" s="24" t="s">
        <v>95</v>
      </c>
      <c r="CO5" s="24">
        <v>5</v>
      </c>
      <c r="CP5" s="24" t="s">
        <v>81</v>
      </c>
      <c r="CQ5" s="24" t="s">
        <v>947</v>
      </c>
      <c r="CR5" s="24"/>
      <c r="CV5" t="s">
        <v>127</v>
      </c>
      <c r="CW5">
        <v>2</v>
      </c>
      <c r="CX5" t="s">
        <v>161</v>
      </c>
      <c r="CY5" t="s">
        <v>162</v>
      </c>
      <c r="CZ5">
        <v>123.85</v>
      </c>
      <c r="DA5">
        <v>14</v>
      </c>
      <c r="DB5">
        <v>5310</v>
      </c>
      <c r="DC5">
        <v>1720</v>
      </c>
      <c r="DE5">
        <v>2</v>
      </c>
      <c r="DF5" t="str">
        <f t="shared" ref="DF5:DF18" si="0">$DE$3&amp;"_"&amp;DE5</f>
        <v>0_2</v>
      </c>
      <c r="DG5" t="e">
        <f t="shared" ref="DG5:DG18" si="1">VLOOKUP(DF5,$CX$4:$DC$523,4,FALSE)</f>
        <v>#N/A</v>
      </c>
      <c r="DH5" t="e">
        <f t="shared" ref="DH5:DH18" si="2">$DE$3&amp;DG5</f>
        <v>#N/A</v>
      </c>
      <c r="DL5">
        <v>1.5</v>
      </c>
      <c r="DM5" t="s">
        <v>729</v>
      </c>
      <c r="DN5">
        <v>1767</v>
      </c>
      <c r="DP5" s="24" t="s">
        <v>102</v>
      </c>
      <c r="DQ5" s="24">
        <v>2.375</v>
      </c>
      <c r="DR5" s="24">
        <v>1.9390000000000001</v>
      </c>
      <c r="DU5" s="24" t="s">
        <v>746</v>
      </c>
      <c r="DV5" s="24">
        <v>29000000</v>
      </c>
      <c r="DW5" s="24">
        <v>25000</v>
      </c>
      <c r="DX5" s="24">
        <v>70000</v>
      </c>
      <c r="DY5" s="24">
        <v>0.28999999999999998</v>
      </c>
      <c r="EC5" s="24">
        <v>6</v>
      </c>
      <c r="ED5" t="str">
        <f t="shared" ref="ED5:ED13" si="3">EC5&amp;"S"</f>
        <v>6S</v>
      </c>
      <c r="EE5" s="24">
        <v>7</v>
      </c>
      <c r="EF5" s="24">
        <v>6</v>
      </c>
      <c r="EG5" s="24">
        <v>5</v>
      </c>
      <c r="EH5" t="str">
        <f t="shared" ref="EH5:EH13" si="4">EC5&amp;"R"</f>
        <v>6R</v>
      </c>
      <c r="EI5">
        <v>7</v>
      </c>
      <c r="EK5">
        <v>9</v>
      </c>
      <c r="EL5" t="s">
        <v>1843</v>
      </c>
      <c r="EO5" s="24" t="s">
        <v>46</v>
      </c>
      <c r="EP5" s="24">
        <v>0.95</v>
      </c>
      <c r="ES5" s="24" t="s">
        <v>1963</v>
      </c>
      <c r="ET5" s="24">
        <v>0.7</v>
      </c>
    </row>
    <row r="6" spans="1:166" x14ac:dyDescent="0.25">
      <c r="A6" s="24" t="s">
        <v>833</v>
      </c>
      <c r="B6" s="24">
        <v>1.5</v>
      </c>
      <c r="C6" s="24">
        <v>0.75</v>
      </c>
      <c r="D6" s="24">
        <v>2.5</v>
      </c>
      <c r="E6" s="24">
        <v>0.5</v>
      </c>
      <c r="F6" s="24">
        <v>1</v>
      </c>
      <c r="G6" s="24" t="str">
        <f>C6&amp;""" x "&amp;D6&amp;""" / "&amp;E6&amp;""" X "&amp;F6&amp;""""</f>
        <v>0.75" x 2.5" / 0.5" X 1"</v>
      </c>
      <c r="H6" s="24">
        <v>17.2</v>
      </c>
      <c r="I6" s="24">
        <v>2</v>
      </c>
      <c r="J6" s="24" t="s">
        <v>32</v>
      </c>
      <c r="K6" s="24">
        <v>1.5</v>
      </c>
      <c r="L6" s="24">
        <v>7</v>
      </c>
      <c r="M6">
        <f t="shared" ref="M6:M14" si="5">(C6+E6)/2</f>
        <v>0.625</v>
      </c>
      <c r="N6">
        <f t="shared" ref="N6:N22" si="6">D6+F6</f>
        <v>3.5</v>
      </c>
      <c r="V6" s="24" t="s">
        <v>17</v>
      </c>
      <c r="W6" s="24" t="s">
        <v>21</v>
      </c>
      <c r="X6" s="24">
        <v>1</v>
      </c>
      <c r="Z6" t="s">
        <v>98</v>
      </c>
      <c r="AA6">
        <v>1</v>
      </c>
      <c r="AB6">
        <v>1</v>
      </c>
      <c r="AC6">
        <v>1</v>
      </c>
      <c r="AE6" t="s">
        <v>32</v>
      </c>
      <c r="AF6" s="9">
        <v>1</v>
      </c>
      <c r="AJ6">
        <v>9</v>
      </c>
      <c r="AK6">
        <v>31</v>
      </c>
      <c r="AM6" t="s">
        <v>852</v>
      </c>
      <c r="AN6">
        <v>1</v>
      </c>
      <c r="AP6" t="s">
        <v>1963</v>
      </c>
      <c r="AQ6">
        <v>1.5</v>
      </c>
      <c r="AS6" t="s">
        <v>856</v>
      </c>
      <c r="AT6">
        <v>1.1000000000000001</v>
      </c>
      <c r="AV6">
        <v>1</v>
      </c>
      <c r="AW6">
        <v>1.29</v>
      </c>
      <c r="AY6">
        <v>10</v>
      </c>
      <c r="AZ6">
        <v>0.9</v>
      </c>
      <c r="BA6">
        <v>1</v>
      </c>
      <c r="BB6">
        <v>1</v>
      </c>
      <c r="BC6">
        <v>0.9</v>
      </c>
      <c r="BD6">
        <v>1</v>
      </c>
      <c r="BF6" s="24">
        <v>1.5</v>
      </c>
      <c r="BG6" s="24">
        <v>0.5</v>
      </c>
      <c r="BI6" s="24" t="s">
        <v>820</v>
      </c>
      <c r="BJ6" s="24">
        <v>92000</v>
      </c>
      <c r="BK6" s="24">
        <v>15500</v>
      </c>
      <c r="BM6" s="24" t="s">
        <v>814</v>
      </c>
      <c r="BN6" s="24">
        <v>70000</v>
      </c>
      <c r="BO6" s="24">
        <v>21000</v>
      </c>
      <c r="BQ6" s="24" t="s">
        <v>745</v>
      </c>
      <c r="BR6" s="24">
        <v>30000</v>
      </c>
      <c r="BS6" s="24"/>
      <c r="BU6" s="24" t="s">
        <v>816</v>
      </c>
      <c r="BV6" s="24">
        <v>9.5999999999999996E-6</v>
      </c>
      <c r="BX6" s="24" t="s">
        <v>781</v>
      </c>
      <c r="BY6" s="24">
        <v>7.51E-2</v>
      </c>
      <c r="CA6" t="s">
        <v>1963</v>
      </c>
      <c r="CB6">
        <v>75</v>
      </c>
      <c r="CC6">
        <v>32</v>
      </c>
      <c r="CD6" t="s">
        <v>73</v>
      </c>
      <c r="CE6" s="11" t="s">
        <v>79</v>
      </c>
      <c r="CF6" t="s">
        <v>96</v>
      </c>
      <c r="CG6" t="s">
        <v>89</v>
      </c>
      <c r="CH6" s="11" t="s">
        <v>987</v>
      </c>
      <c r="CJ6" s="24" t="s">
        <v>72</v>
      </c>
      <c r="CK6" s="24" t="s">
        <v>943</v>
      </c>
      <c r="CL6" s="24" t="s">
        <v>77</v>
      </c>
      <c r="CM6" s="24">
        <v>2</v>
      </c>
      <c r="CN6" s="24" t="s">
        <v>96</v>
      </c>
      <c r="CO6" s="24">
        <v>6</v>
      </c>
      <c r="CP6" s="24" t="s">
        <v>82</v>
      </c>
      <c r="CQ6" s="24" t="s">
        <v>948</v>
      </c>
      <c r="CR6" s="24"/>
      <c r="CV6" t="s">
        <v>127</v>
      </c>
      <c r="CW6">
        <v>3</v>
      </c>
      <c r="CX6" t="s">
        <v>163</v>
      </c>
      <c r="CY6" t="s">
        <v>164</v>
      </c>
      <c r="CZ6">
        <v>108.29</v>
      </c>
      <c r="DA6">
        <v>16</v>
      </c>
      <c r="DB6">
        <v>5310</v>
      </c>
      <c r="DC6">
        <v>1720</v>
      </c>
      <c r="DE6">
        <v>3</v>
      </c>
      <c r="DF6" t="str">
        <f t="shared" si="0"/>
        <v>0_3</v>
      </c>
      <c r="DG6" t="e">
        <f t="shared" si="1"/>
        <v>#N/A</v>
      </c>
      <c r="DH6" t="e">
        <f t="shared" si="2"/>
        <v>#N/A</v>
      </c>
      <c r="DL6">
        <v>2</v>
      </c>
      <c r="DM6" t="s">
        <v>57</v>
      </c>
      <c r="DN6">
        <v>1767</v>
      </c>
      <c r="DP6" s="24" t="s">
        <v>103</v>
      </c>
      <c r="DQ6" s="24">
        <v>2.875</v>
      </c>
      <c r="DR6" s="24">
        <v>2.4689999999999999</v>
      </c>
      <c r="DU6" s="24" t="s">
        <v>747</v>
      </c>
      <c r="DV6" s="24">
        <v>29000000</v>
      </c>
      <c r="DW6" s="24">
        <v>30000</v>
      </c>
      <c r="DX6" s="24">
        <v>75000</v>
      </c>
      <c r="DY6" s="24">
        <v>0.28999999999999998</v>
      </c>
      <c r="EC6" s="24">
        <v>9</v>
      </c>
      <c r="ED6" t="str">
        <f t="shared" si="3"/>
        <v>9S</v>
      </c>
      <c r="EE6" s="24">
        <v>10</v>
      </c>
      <c r="EF6" s="24">
        <v>8</v>
      </c>
      <c r="EG6" s="24">
        <v>7.125</v>
      </c>
      <c r="EH6" t="str">
        <f t="shared" si="4"/>
        <v>9R</v>
      </c>
      <c r="EI6">
        <v>10</v>
      </c>
      <c r="EK6">
        <v>10</v>
      </c>
      <c r="EL6" t="s">
        <v>1843</v>
      </c>
      <c r="EO6" s="24" t="s">
        <v>47</v>
      </c>
      <c r="EP6" s="24">
        <v>0.95</v>
      </c>
      <c r="ES6" s="24" t="s">
        <v>1965</v>
      </c>
      <c r="ET6" s="24">
        <v>0.6</v>
      </c>
    </row>
    <row r="7" spans="1:166" x14ac:dyDescent="0.25">
      <c r="A7" s="24" t="s">
        <v>834</v>
      </c>
      <c r="B7" s="24">
        <v>3.5</v>
      </c>
      <c r="C7" s="24">
        <v>0.75</v>
      </c>
      <c r="D7" s="24">
        <v>2.5</v>
      </c>
      <c r="E7" s="24">
        <v>0.5</v>
      </c>
      <c r="F7" s="24">
        <v>1</v>
      </c>
      <c r="G7" s="24" t="str">
        <f t="shared" ref="G7:G13" si="7">C7&amp;""" x "&amp;D7&amp;""" / "&amp;E7&amp;""" X "&amp;F7&amp;""""</f>
        <v>0.75" x 2.5" / 0.5" X 1"</v>
      </c>
      <c r="H7" s="26">
        <f>10*2.5</f>
        <v>25</v>
      </c>
      <c r="I7" s="24">
        <v>2</v>
      </c>
      <c r="J7" s="24" t="s">
        <v>32</v>
      </c>
      <c r="K7" s="24">
        <v>3.5</v>
      </c>
      <c r="L7" s="24">
        <v>7.75</v>
      </c>
      <c r="M7">
        <f t="shared" si="5"/>
        <v>0.625</v>
      </c>
      <c r="N7">
        <f t="shared" si="6"/>
        <v>3.5</v>
      </c>
      <c r="V7" s="24" t="s">
        <v>18</v>
      </c>
      <c r="W7" s="24" t="s">
        <v>23</v>
      </c>
      <c r="X7" s="24">
        <v>1.5</v>
      </c>
      <c r="Z7" t="s">
        <v>99</v>
      </c>
      <c r="AA7">
        <v>1</v>
      </c>
      <c r="AB7">
        <v>1</v>
      </c>
      <c r="AC7">
        <v>1</v>
      </c>
      <c r="AE7">
        <v>1</v>
      </c>
      <c r="AF7" s="9">
        <v>1.08</v>
      </c>
      <c r="AJ7">
        <v>10</v>
      </c>
      <c r="AK7">
        <v>37</v>
      </c>
      <c r="AM7" t="s">
        <v>803</v>
      </c>
      <c r="AN7">
        <v>1.7</v>
      </c>
      <c r="AP7" t="s">
        <v>1965</v>
      </c>
      <c r="AQ7">
        <v>2</v>
      </c>
      <c r="AS7" t="s">
        <v>857</v>
      </c>
      <c r="AT7">
        <v>1.1499999999999999</v>
      </c>
      <c r="AV7">
        <v>2</v>
      </c>
      <c r="AW7">
        <v>1.58</v>
      </c>
      <c r="AY7">
        <v>15</v>
      </c>
      <c r="AZ7">
        <v>0.7</v>
      </c>
      <c r="BA7">
        <v>1</v>
      </c>
      <c r="BB7">
        <v>1</v>
      </c>
      <c r="BC7">
        <v>0.7</v>
      </c>
      <c r="BD7">
        <v>0.9</v>
      </c>
      <c r="BF7" s="24">
        <v>2</v>
      </c>
      <c r="BG7" s="24">
        <v>0.625</v>
      </c>
      <c r="BI7" s="24" t="s">
        <v>745</v>
      </c>
      <c r="BJ7" s="24">
        <v>30000</v>
      </c>
      <c r="BK7" s="24">
        <v>6000</v>
      </c>
      <c r="BM7" s="24" t="s">
        <v>815</v>
      </c>
      <c r="BN7" s="24">
        <v>70000</v>
      </c>
      <c r="BO7" s="24">
        <v>21000</v>
      </c>
      <c r="BQ7" s="24" t="s">
        <v>747</v>
      </c>
      <c r="BR7" s="24">
        <v>30000</v>
      </c>
      <c r="BS7" s="24"/>
      <c r="BU7" s="24" t="s">
        <v>745</v>
      </c>
      <c r="BV7" s="24">
        <v>9.5999999999999996E-6</v>
      </c>
      <c r="BX7" s="24" t="s">
        <v>782</v>
      </c>
      <c r="BY7" s="24">
        <v>0.105</v>
      </c>
      <c r="CA7" t="s">
        <v>1965</v>
      </c>
      <c r="CB7">
        <v>55</v>
      </c>
      <c r="CC7">
        <v>55</v>
      </c>
      <c r="CD7" t="s">
        <v>73</v>
      </c>
      <c r="CE7" s="11" t="s">
        <v>78</v>
      </c>
      <c r="CF7" t="s">
        <v>95</v>
      </c>
      <c r="CG7" t="s">
        <v>89</v>
      </c>
      <c r="CH7" s="11" t="s">
        <v>987</v>
      </c>
      <c r="CJ7" s="24" t="s">
        <v>73</v>
      </c>
      <c r="CK7" s="24" t="s">
        <v>0</v>
      </c>
      <c r="CL7" s="24" t="s">
        <v>78</v>
      </c>
      <c r="CM7" s="24">
        <v>3</v>
      </c>
      <c r="CN7" s="24" t="s">
        <v>97</v>
      </c>
      <c r="CO7" s="24">
        <v>7</v>
      </c>
      <c r="CP7" s="24" t="s">
        <v>83</v>
      </c>
      <c r="CQ7" s="24" t="s">
        <v>949</v>
      </c>
      <c r="CR7" s="24"/>
      <c r="CV7" t="s">
        <v>127</v>
      </c>
      <c r="CW7">
        <v>4</v>
      </c>
      <c r="CX7" t="s">
        <v>165</v>
      </c>
      <c r="CY7" t="s">
        <v>166</v>
      </c>
      <c r="CZ7">
        <v>102.88</v>
      </c>
      <c r="DA7">
        <v>17</v>
      </c>
      <c r="DB7">
        <v>5310</v>
      </c>
      <c r="DC7">
        <v>1720</v>
      </c>
      <c r="DE7">
        <v>4</v>
      </c>
      <c r="DF7" t="str">
        <f t="shared" si="0"/>
        <v>0_4</v>
      </c>
      <c r="DG7" t="e">
        <f t="shared" si="1"/>
        <v>#N/A</v>
      </c>
      <c r="DH7" t="e">
        <f t="shared" si="2"/>
        <v>#N/A</v>
      </c>
      <c r="DL7">
        <v>3</v>
      </c>
      <c r="DM7" t="s">
        <v>730</v>
      </c>
      <c r="DN7">
        <v>1762</v>
      </c>
      <c r="DP7" s="24" t="s">
        <v>104</v>
      </c>
      <c r="DQ7" s="24">
        <v>2.875</v>
      </c>
      <c r="DR7" s="24">
        <v>2.323</v>
      </c>
      <c r="DU7" s="24" t="s">
        <v>748</v>
      </c>
      <c r="DV7" s="24">
        <v>29000000</v>
      </c>
      <c r="DW7" s="24">
        <v>25000</v>
      </c>
      <c r="DX7" s="24">
        <v>70000</v>
      </c>
      <c r="DY7" s="24">
        <v>0.28999999999999998</v>
      </c>
      <c r="EC7" s="24">
        <v>10</v>
      </c>
      <c r="ED7" t="str">
        <f t="shared" si="3"/>
        <v>10S</v>
      </c>
      <c r="EE7" s="24">
        <v>11</v>
      </c>
      <c r="EF7" s="24">
        <v>9</v>
      </c>
      <c r="EG7" s="24">
        <v>7.875</v>
      </c>
      <c r="EH7" t="str">
        <f t="shared" si="4"/>
        <v>10R</v>
      </c>
      <c r="EI7">
        <v>11</v>
      </c>
      <c r="EK7">
        <v>12</v>
      </c>
      <c r="EL7" t="s">
        <v>1844</v>
      </c>
      <c r="EO7" s="24" t="s">
        <v>48</v>
      </c>
      <c r="EP7" s="24">
        <f>ROUND(0.95*0.93,2)</f>
        <v>0.88</v>
      </c>
      <c r="ES7" s="24" t="s">
        <v>1964</v>
      </c>
      <c r="ET7" s="24">
        <v>0.45</v>
      </c>
      <c r="FJ7" t="s">
        <v>1955</v>
      </c>
    </row>
    <row r="8" spans="1:166" x14ac:dyDescent="0.25">
      <c r="A8" s="24" t="s">
        <v>835</v>
      </c>
      <c r="B8" s="24">
        <v>2</v>
      </c>
      <c r="C8" s="24">
        <v>1</v>
      </c>
      <c r="D8" s="24">
        <v>3</v>
      </c>
      <c r="E8" s="24">
        <v>0.75</v>
      </c>
      <c r="F8" s="24">
        <v>1.75</v>
      </c>
      <c r="G8" s="24" t="str">
        <f t="shared" si="7"/>
        <v>1" x 3" / 0.75" X 1.75"</v>
      </c>
      <c r="H8" s="24">
        <v>31</v>
      </c>
      <c r="I8" s="24">
        <v>2.4375</v>
      </c>
      <c r="J8" s="24" t="s">
        <v>32</v>
      </c>
      <c r="K8" s="24">
        <v>2</v>
      </c>
      <c r="L8" s="24">
        <v>8.5</v>
      </c>
      <c r="M8">
        <f t="shared" si="5"/>
        <v>0.875</v>
      </c>
      <c r="N8">
        <f t="shared" si="6"/>
        <v>4.75</v>
      </c>
      <c r="V8" s="24" t="s">
        <v>19</v>
      </c>
      <c r="W8" s="24" t="s">
        <v>22</v>
      </c>
      <c r="X8" s="24">
        <v>2</v>
      </c>
      <c r="Z8" t="s">
        <v>100</v>
      </c>
      <c r="AA8">
        <v>1</v>
      </c>
      <c r="AB8">
        <v>1</v>
      </c>
      <c r="AC8">
        <v>1</v>
      </c>
      <c r="AE8" s="21">
        <v>2</v>
      </c>
      <c r="AF8">
        <v>1.1599999999999999</v>
      </c>
      <c r="AJ8">
        <v>12</v>
      </c>
      <c r="AK8">
        <v>55</v>
      </c>
      <c r="AM8" t="s">
        <v>804</v>
      </c>
      <c r="AN8">
        <v>1.7</v>
      </c>
      <c r="AP8" t="s">
        <v>1964</v>
      </c>
      <c r="AQ8">
        <v>2.6</v>
      </c>
      <c r="AS8" t="s">
        <v>858</v>
      </c>
      <c r="AT8">
        <v>1.2</v>
      </c>
      <c r="AV8">
        <v>3</v>
      </c>
      <c r="AW8">
        <v>1.87</v>
      </c>
      <c r="AY8">
        <v>20</v>
      </c>
      <c r="AZ8">
        <v>0.55000000000000004</v>
      </c>
      <c r="BA8">
        <v>1</v>
      </c>
      <c r="BB8">
        <v>1</v>
      </c>
      <c r="BC8">
        <v>0.55000000000000004</v>
      </c>
      <c r="BD8">
        <v>0.8</v>
      </c>
      <c r="BF8" s="24">
        <v>2.4375</v>
      </c>
      <c r="BG8" s="24">
        <v>0.625</v>
      </c>
      <c r="BI8" s="24" t="s">
        <v>747</v>
      </c>
      <c r="BJ8" s="24">
        <v>30000</v>
      </c>
      <c r="BK8" s="24">
        <v>6000</v>
      </c>
      <c r="BM8" s="24" t="s">
        <v>1915</v>
      </c>
      <c r="BN8" s="24">
        <v>125000</v>
      </c>
      <c r="BO8" s="24">
        <v>37500</v>
      </c>
      <c r="BQ8" s="24" t="s">
        <v>1017</v>
      </c>
      <c r="BR8" s="24">
        <v>80000</v>
      </c>
      <c r="BS8" s="24"/>
      <c r="BU8" s="24" t="s">
        <v>747</v>
      </c>
      <c r="BV8" s="24">
        <v>9.5999999999999996E-6</v>
      </c>
      <c r="BX8" s="24" t="s">
        <v>783</v>
      </c>
      <c r="BY8" s="24">
        <v>0.13500000000000001</v>
      </c>
      <c r="CA8" t="s">
        <v>1964</v>
      </c>
      <c r="CB8">
        <v>45</v>
      </c>
      <c r="CC8">
        <v>94</v>
      </c>
      <c r="CD8" t="s">
        <v>72</v>
      </c>
      <c r="CE8" s="11" t="s">
        <v>77</v>
      </c>
      <c r="CF8" t="s">
        <v>96</v>
      </c>
      <c r="CG8" s="11" t="s">
        <v>987</v>
      </c>
      <c r="CH8" s="11" t="s">
        <v>987</v>
      </c>
      <c r="CJ8" s="24" t="s">
        <v>74</v>
      </c>
      <c r="CK8" s="24" t="s">
        <v>944</v>
      </c>
      <c r="CL8" s="24" t="s">
        <v>79</v>
      </c>
      <c r="CM8" s="24">
        <v>4</v>
      </c>
      <c r="CN8" s="24"/>
      <c r="CO8" s="24"/>
      <c r="CP8" s="24" t="s">
        <v>84</v>
      </c>
      <c r="CQ8" s="24" t="s">
        <v>950</v>
      </c>
      <c r="CR8" s="24"/>
      <c r="CV8" t="s">
        <v>127</v>
      </c>
      <c r="CW8">
        <v>5</v>
      </c>
      <c r="CX8" t="s">
        <v>167</v>
      </c>
      <c r="CY8" t="s">
        <v>168</v>
      </c>
      <c r="CZ8">
        <v>90.26</v>
      </c>
      <c r="DA8">
        <v>19</v>
      </c>
      <c r="DB8">
        <v>5310</v>
      </c>
      <c r="DC8">
        <v>1720</v>
      </c>
      <c r="DE8">
        <v>5</v>
      </c>
      <c r="DF8" t="str">
        <f t="shared" si="0"/>
        <v>0_5</v>
      </c>
      <c r="DG8" t="e">
        <f t="shared" si="1"/>
        <v>#N/A</v>
      </c>
      <c r="DH8" t="e">
        <f t="shared" si="2"/>
        <v>#N/A</v>
      </c>
      <c r="DL8">
        <v>5</v>
      </c>
      <c r="DM8" t="s">
        <v>731</v>
      </c>
      <c r="DN8">
        <v>1763</v>
      </c>
      <c r="DP8" s="24" t="s">
        <v>6</v>
      </c>
      <c r="DQ8" s="24">
        <v>3.5</v>
      </c>
      <c r="DR8" s="24">
        <v>3.0680000000000001</v>
      </c>
      <c r="DU8" s="24" t="s">
        <v>749</v>
      </c>
      <c r="DV8" s="24">
        <v>28500000</v>
      </c>
      <c r="DW8" s="24">
        <v>115000</v>
      </c>
      <c r="DX8" s="24">
        <v>160000</v>
      </c>
      <c r="DY8" s="24">
        <v>0.28000000000000003</v>
      </c>
      <c r="EC8" s="24">
        <v>12</v>
      </c>
      <c r="ED8" t="str">
        <f t="shared" si="3"/>
        <v>12S</v>
      </c>
      <c r="EE8" s="24">
        <v>13</v>
      </c>
      <c r="EF8" s="24">
        <v>10.5</v>
      </c>
      <c r="EG8" s="24">
        <v>8.875</v>
      </c>
      <c r="EH8" t="str">
        <f t="shared" si="4"/>
        <v>12R</v>
      </c>
      <c r="EI8">
        <v>13</v>
      </c>
      <c r="EK8">
        <v>14</v>
      </c>
      <c r="EL8" t="s">
        <v>1844</v>
      </c>
      <c r="EO8" s="24" t="s">
        <v>1909</v>
      </c>
      <c r="EP8" s="24">
        <f>ROUND(0.95*0.94,2)</f>
        <v>0.89</v>
      </c>
      <c r="ES8" s="24" t="s">
        <v>1966</v>
      </c>
      <c r="ET8" s="24">
        <v>0.65</v>
      </c>
    </row>
    <row r="9" spans="1:166" x14ac:dyDescent="0.25">
      <c r="A9" s="24" t="s">
        <v>836</v>
      </c>
      <c r="B9" s="24">
        <v>2.5</v>
      </c>
      <c r="C9" s="24">
        <v>1</v>
      </c>
      <c r="D9" s="24">
        <v>3</v>
      </c>
      <c r="E9" s="24">
        <v>0.75</v>
      </c>
      <c r="F9" s="24">
        <v>2.5</v>
      </c>
      <c r="G9" s="24" t="str">
        <f t="shared" si="7"/>
        <v>1" x 3" / 0.75" X 2.5"</v>
      </c>
      <c r="H9" s="24">
        <v>35.700000000000003</v>
      </c>
      <c r="I9" s="24">
        <v>2.9380000000000002</v>
      </c>
      <c r="J9" s="24" t="s">
        <v>32</v>
      </c>
      <c r="K9" s="24">
        <v>2.5</v>
      </c>
      <c r="L9" s="24">
        <v>10.5</v>
      </c>
      <c r="M9">
        <f t="shared" si="5"/>
        <v>0.875</v>
      </c>
      <c r="N9">
        <f t="shared" si="6"/>
        <v>5.5</v>
      </c>
      <c r="V9" s="24" t="s">
        <v>24</v>
      </c>
      <c r="W9" s="24" t="s">
        <v>25</v>
      </c>
      <c r="X9" s="24">
        <v>0.67</v>
      </c>
      <c r="Z9" t="s">
        <v>27</v>
      </c>
      <c r="AA9" s="9">
        <v>1.95</v>
      </c>
      <c r="AB9" s="9">
        <v>1.57</v>
      </c>
      <c r="AC9" s="9">
        <v>1.43</v>
      </c>
      <c r="AE9">
        <v>3</v>
      </c>
      <c r="AF9">
        <v>1.24</v>
      </c>
      <c r="AJ9">
        <v>14</v>
      </c>
      <c r="AK9">
        <v>78</v>
      </c>
      <c r="AM9" t="s">
        <v>805</v>
      </c>
      <c r="AN9">
        <v>1.7</v>
      </c>
      <c r="AP9" t="s">
        <v>1966</v>
      </c>
      <c r="AQ9">
        <v>2</v>
      </c>
      <c r="AS9" t="s">
        <v>859</v>
      </c>
      <c r="AT9">
        <v>1.3</v>
      </c>
      <c r="AV9">
        <v>4</v>
      </c>
      <c r="AW9">
        <v>2.16</v>
      </c>
      <c r="AY9">
        <v>25</v>
      </c>
      <c r="AZ9">
        <v>0.42</v>
      </c>
      <c r="BA9">
        <v>0.87</v>
      </c>
      <c r="BB9">
        <v>1</v>
      </c>
      <c r="BC9">
        <v>0.42</v>
      </c>
      <c r="BD9">
        <v>0.7</v>
      </c>
      <c r="BF9" s="24">
        <v>3</v>
      </c>
      <c r="BG9" s="24">
        <v>0.75</v>
      </c>
      <c r="BI9" s="24"/>
      <c r="BJ9" s="24"/>
      <c r="BK9" s="24"/>
      <c r="BM9" s="24" t="s">
        <v>745</v>
      </c>
      <c r="BN9" s="24">
        <v>30000</v>
      </c>
      <c r="BO9" s="24">
        <v>9000</v>
      </c>
      <c r="BQ9" s="24" t="s">
        <v>1878</v>
      </c>
      <c r="BR9" s="24">
        <v>100000</v>
      </c>
      <c r="BS9" s="24"/>
      <c r="BU9" t="s">
        <v>1016</v>
      </c>
      <c r="BV9" s="24">
        <v>6.3300000000000004E-6</v>
      </c>
      <c r="BX9" s="27" t="s">
        <v>1875</v>
      </c>
      <c r="BY9" s="174">
        <f>1/8</f>
        <v>0.125</v>
      </c>
      <c r="BZ9" s="10"/>
      <c r="CA9" t="s">
        <v>1966</v>
      </c>
      <c r="CB9">
        <v>65</v>
      </c>
      <c r="CC9">
        <v>18</v>
      </c>
      <c r="CD9" t="s">
        <v>75</v>
      </c>
      <c r="CE9" s="11" t="s">
        <v>79</v>
      </c>
      <c r="CF9" s="10" t="s">
        <v>96</v>
      </c>
      <c r="CG9" s="10" t="s">
        <v>81</v>
      </c>
      <c r="CH9" s="10" t="s">
        <v>1975</v>
      </c>
      <c r="CJ9" s="24" t="s">
        <v>75</v>
      </c>
      <c r="CK9" s="24" t="s">
        <v>945</v>
      </c>
      <c r="CL9" s="24"/>
      <c r="CM9" s="24"/>
      <c r="CN9" s="24"/>
      <c r="CO9" s="24"/>
      <c r="CP9" s="24" t="s">
        <v>85</v>
      </c>
      <c r="CQ9" s="24" t="s">
        <v>10</v>
      </c>
      <c r="CR9" s="24"/>
      <c r="CV9" t="s">
        <v>127</v>
      </c>
      <c r="CW9">
        <v>6</v>
      </c>
      <c r="CX9" t="s">
        <v>169</v>
      </c>
      <c r="CY9" t="s">
        <v>170</v>
      </c>
      <c r="CZ9">
        <v>76.56</v>
      </c>
      <c r="DA9">
        <v>23</v>
      </c>
      <c r="DB9">
        <v>5310</v>
      </c>
      <c r="DC9">
        <v>1720</v>
      </c>
      <c r="DE9">
        <v>6</v>
      </c>
      <c r="DF9" t="str">
        <f t="shared" si="0"/>
        <v>0_6</v>
      </c>
      <c r="DG9" t="e">
        <f t="shared" si="1"/>
        <v>#N/A</v>
      </c>
      <c r="DH9" t="e">
        <f t="shared" si="2"/>
        <v>#N/A</v>
      </c>
      <c r="DL9">
        <v>7.5</v>
      </c>
      <c r="DM9" t="s">
        <v>732</v>
      </c>
      <c r="DN9">
        <v>1768</v>
      </c>
      <c r="DP9" s="24" t="s">
        <v>105</v>
      </c>
      <c r="DQ9" s="24">
        <v>3.5</v>
      </c>
      <c r="DR9" s="24">
        <v>2.9</v>
      </c>
      <c r="DU9" s="24" t="s">
        <v>750</v>
      </c>
      <c r="DV9" s="24">
        <v>28500000</v>
      </c>
      <c r="DW9" s="24">
        <v>185000</v>
      </c>
      <c r="DX9" s="24">
        <v>200000</v>
      </c>
      <c r="DY9" s="24">
        <v>0.28199999999999997</v>
      </c>
      <c r="EC9" s="24">
        <v>14</v>
      </c>
      <c r="ED9" t="str">
        <f t="shared" si="3"/>
        <v>14S</v>
      </c>
      <c r="EE9" s="24">
        <v>15</v>
      </c>
      <c r="EF9" s="24">
        <v>11.5</v>
      </c>
      <c r="EG9" s="24">
        <v>10.125</v>
      </c>
      <c r="EH9" t="str">
        <f t="shared" si="4"/>
        <v>14R</v>
      </c>
      <c r="EI9">
        <v>15</v>
      </c>
      <c r="EK9">
        <v>16</v>
      </c>
      <c r="EL9" t="s">
        <v>1844</v>
      </c>
      <c r="EO9" s="24" t="s">
        <v>1910</v>
      </c>
      <c r="EP9" s="24">
        <f>ROUND(0.95*0.9,2)</f>
        <v>0.86</v>
      </c>
      <c r="ES9" s="24" t="s">
        <v>1967</v>
      </c>
      <c r="ET9" s="24">
        <v>0.65</v>
      </c>
      <c r="FJ9" t="s">
        <v>1956</v>
      </c>
    </row>
    <row r="10" spans="1:166" x14ac:dyDescent="0.25">
      <c r="A10" s="24" t="s">
        <v>837</v>
      </c>
      <c r="B10" s="24">
        <v>4.5</v>
      </c>
      <c r="C10" s="24">
        <v>1</v>
      </c>
      <c r="D10" s="24">
        <v>3</v>
      </c>
      <c r="E10" s="24">
        <v>0.75</v>
      </c>
      <c r="F10" s="24">
        <v>2.5</v>
      </c>
      <c r="G10" s="24" t="str">
        <f t="shared" si="7"/>
        <v>1" x 3" / 0.75" X 2.5"</v>
      </c>
      <c r="H10" s="24">
        <v>39.200000000000003</v>
      </c>
      <c r="I10" s="24">
        <v>2.9380000000000002</v>
      </c>
      <c r="J10" s="24" t="s">
        <v>32</v>
      </c>
      <c r="K10" s="24">
        <v>4.5</v>
      </c>
      <c r="L10" s="24">
        <v>12.5</v>
      </c>
      <c r="M10">
        <f t="shared" si="5"/>
        <v>0.875</v>
      </c>
      <c r="N10">
        <f t="shared" si="6"/>
        <v>5.5</v>
      </c>
      <c r="Z10" t="s">
        <v>28</v>
      </c>
      <c r="AA10" s="9">
        <v>1</v>
      </c>
      <c r="AB10" s="9">
        <v>3.75</v>
      </c>
      <c r="AC10" s="9">
        <v>2.54</v>
      </c>
      <c r="AE10">
        <v>4</v>
      </c>
      <c r="AF10">
        <v>1.32</v>
      </c>
      <c r="AJ10">
        <v>16</v>
      </c>
      <c r="AK10">
        <v>106</v>
      </c>
      <c r="AM10" t="s">
        <v>806</v>
      </c>
      <c r="AP10" t="s">
        <v>1967</v>
      </c>
      <c r="AQ10">
        <v>1.5</v>
      </c>
      <c r="AS10" t="s">
        <v>860</v>
      </c>
      <c r="AT10">
        <v>0</v>
      </c>
      <c r="AY10">
        <v>30</v>
      </c>
      <c r="AZ10">
        <v>0.3</v>
      </c>
      <c r="BA10">
        <v>0.67</v>
      </c>
      <c r="BB10">
        <v>0.8</v>
      </c>
      <c r="BC10">
        <v>0.3</v>
      </c>
      <c r="BD10">
        <v>0.6</v>
      </c>
      <c r="BF10" s="24">
        <v>3.4375</v>
      </c>
      <c r="BG10" s="24">
        <v>0.875</v>
      </c>
      <c r="BI10" s="24"/>
      <c r="BJ10" s="24"/>
      <c r="BK10" s="24"/>
      <c r="BM10" s="24" t="s">
        <v>747</v>
      </c>
      <c r="BN10" s="24">
        <v>30000</v>
      </c>
      <c r="BO10" s="24">
        <v>9000</v>
      </c>
      <c r="BQ10" s="24" t="s">
        <v>1919</v>
      </c>
      <c r="BR10" s="24">
        <v>40000</v>
      </c>
      <c r="BS10" s="24"/>
      <c r="BU10" s="24" t="s">
        <v>1878</v>
      </c>
      <c r="BV10" s="24">
        <v>7.1999999999999997E-6</v>
      </c>
      <c r="BX10" s="27" t="s">
        <v>784</v>
      </c>
      <c r="BY10" s="24">
        <f>3/16</f>
        <v>0.1875</v>
      </c>
      <c r="CA10" t="s">
        <v>1967</v>
      </c>
      <c r="CB10">
        <v>75</v>
      </c>
      <c r="CC10">
        <v>38</v>
      </c>
      <c r="CD10" t="s">
        <v>75</v>
      </c>
      <c r="CE10" s="11" t="s">
        <v>79</v>
      </c>
      <c r="CF10" s="10" t="s">
        <v>96</v>
      </c>
      <c r="CG10" t="s">
        <v>81</v>
      </c>
      <c r="CH10" s="10" t="s">
        <v>1975</v>
      </c>
      <c r="CJ10" s="24"/>
      <c r="CK10" s="24"/>
      <c r="CL10" s="24"/>
      <c r="CM10" s="24"/>
      <c r="CN10" s="24"/>
      <c r="CO10" s="24"/>
      <c r="CP10" s="24" t="s">
        <v>86</v>
      </c>
      <c r="CQ10" s="24" t="s">
        <v>35</v>
      </c>
      <c r="CR10" s="24"/>
      <c r="CV10" t="s">
        <v>127</v>
      </c>
      <c r="CW10">
        <v>7</v>
      </c>
      <c r="CX10" t="s">
        <v>171</v>
      </c>
      <c r="CY10" t="s">
        <v>172</v>
      </c>
      <c r="CZ10">
        <v>69.12</v>
      </c>
      <c r="DA10">
        <v>25</v>
      </c>
      <c r="DB10">
        <v>5310</v>
      </c>
      <c r="DC10">
        <v>1720</v>
      </c>
      <c r="DE10">
        <v>7</v>
      </c>
      <c r="DF10" t="str">
        <f t="shared" si="0"/>
        <v>0_7</v>
      </c>
      <c r="DG10" t="e">
        <f t="shared" si="1"/>
        <v>#N/A</v>
      </c>
      <c r="DH10" t="e">
        <f t="shared" si="2"/>
        <v>#N/A</v>
      </c>
      <c r="DL10">
        <v>10</v>
      </c>
      <c r="DM10" t="s">
        <v>733</v>
      </c>
      <c r="DN10">
        <v>1774</v>
      </c>
      <c r="DP10" s="24" t="s">
        <v>106</v>
      </c>
      <c r="DQ10" s="24">
        <v>4</v>
      </c>
      <c r="DR10" s="24">
        <v>3.548</v>
      </c>
      <c r="DU10" s="24" t="s">
        <v>751</v>
      </c>
      <c r="DV10" s="24">
        <v>28500000</v>
      </c>
      <c r="DW10" s="24">
        <v>130000</v>
      </c>
      <c r="DX10" s="24">
        <v>150000</v>
      </c>
      <c r="DY10" s="24">
        <v>0.28399999999999997</v>
      </c>
      <c r="EC10" s="24">
        <v>16</v>
      </c>
      <c r="ED10" t="str">
        <f t="shared" si="3"/>
        <v>16S</v>
      </c>
      <c r="EE10" s="24">
        <v>17</v>
      </c>
      <c r="EF10" s="24">
        <v>13.5</v>
      </c>
      <c r="EG10" s="24">
        <v>11.125</v>
      </c>
      <c r="EH10" t="str">
        <f t="shared" si="4"/>
        <v>16R</v>
      </c>
      <c r="EI10">
        <v>17</v>
      </c>
      <c r="EK10">
        <v>18</v>
      </c>
      <c r="EL10" t="s">
        <v>1844</v>
      </c>
      <c r="EO10" s="24"/>
      <c r="EP10" s="24"/>
      <c r="ES10" s="24" t="s">
        <v>1968</v>
      </c>
      <c r="ET10" s="24">
        <v>0.6</v>
      </c>
      <c r="FJ10" t="s">
        <v>1957</v>
      </c>
    </row>
    <row r="11" spans="1:166" x14ac:dyDescent="0.25">
      <c r="A11" s="24" t="s">
        <v>838</v>
      </c>
      <c r="B11" s="24">
        <v>3.5</v>
      </c>
      <c r="C11" s="24">
        <v>1</v>
      </c>
      <c r="D11" s="24">
        <v>4</v>
      </c>
      <c r="E11" s="24">
        <v>0.75</v>
      </c>
      <c r="F11" s="24">
        <v>3</v>
      </c>
      <c r="G11" s="24" t="str">
        <f t="shared" si="7"/>
        <v>1" x 4" / 0.75" X 3"</v>
      </c>
      <c r="H11" s="24">
        <v>45.4</v>
      </c>
      <c r="I11" s="24">
        <v>2.9380000000000002</v>
      </c>
      <c r="J11" s="24" t="s">
        <v>32</v>
      </c>
      <c r="K11" s="24">
        <v>3.5</v>
      </c>
      <c r="L11" s="25">
        <v>14.5</v>
      </c>
      <c r="M11">
        <f t="shared" si="5"/>
        <v>0.875</v>
      </c>
      <c r="N11">
        <f t="shared" si="6"/>
        <v>7</v>
      </c>
      <c r="O11" s="9"/>
      <c r="P11" s="9"/>
      <c r="Q11" s="9"/>
      <c r="R11" s="9"/>
      <c r="S11" s="9"/>
      <c r="Z11" t="s">
        <v>29</v>
      </c>
      <c r="AA11" s="9">
        <v>1.04</v>
      </c>
      <c r="AB11" s="9">
        <v>1.37</v>
      </c>
      <c r="AC11" s="9">
        <v>1.62</v>
      </c>
      <c r="AJ11">
        <v>18</v>
      </c>
      <c r="AK11">
        <v>135</v>
      </c>
      <c r="AM11" t="s">
        <v>807</v>
      </c>
      <c r="AP11" t="s">
        <v>1968</v>
      </c>
      <c r="AQ11">
        <v>1.5</v>
      </c>
      <c r="AS11" t="s">
        <v>861</v>
      </c>
      <c r="AT11">
        <v>1.5</v>
      </c>
      <c r="AY11">
        <v>35</v>
      </c>
      <c r="AZ11">
        <v>0.22</v>
      </c>
      <c r="BA11">
        <v>0.5</v>
      </c>
      <c r="BB11">
        <v>0.65</v>
      </c>
      <c r="BC11">
        <v>0.22</v>
      </c>
      <c r="BD11">
        <v>0.54</v>
      </c>
      <c r="BF11" s="24">
        <v>4</v>
      </c>
      <c r="BG11" s="24">
        <v>0.875</v>
      </c>
      <c r="BI11" s="24"/>
      <c r="BJ11" s="24"/>
      <c r="BK11" s="24"/>
      <c r="BM11" s="24" t="s">
        <v>1922</v>
      </c>
      <c r="BN11" s="24">
        <v>115000</v>
      </c>
      <c r="BO11" s="24">
        <v>34500</v>
      </c>
      <c r="BQ11" s="24"/>
      <c r="BR11" s="24"/>
      <c r="BS11" s="24"/>
      <c r="BU11" s="24" t="s">
        <v>1919</v>
      </c>
      <c r="BV11" s="24">
        <v>3.5999999999999998E-6</v>
      </c>
      <c r="BX11" s="27" t="s">
        <v>785</v>
      </c>
      <c r="BY11" s="24">
        <f>1/4</f>
        <v>0.25</v>
      </c>
      <c r="CA11" t="s">
        <v>1968</v>
      </c>
      <c r="CB11">
        <v>100</v>
      </c>
      <c r="CC11">
        <v>5</v>
      </c>
      <c r="CD11" t="s">
        <v>73</v>
      </c>
      <c r="CE11" s="11" t="s">
        <v>77</v>
      </c>
      <c r="CF11" t="s">
        <v>97</v>
      </c>
      <c r="CG11" s="11" t="s">
        <v>987</v>
      </c>
      <c r="CH11" s="11" t="s">
        <v>987</v>
      </c>
      <c r="CJ11" s="24"/>
      <c r="CK11" s="24"/>
      <c r="CL11" s="24"/>
      <c r="CM11" s="24"/>
      <c r="CN11" s="24"/>
      <c r="CO11" s="24"/>
      <c r="CP11" s="24" t="s">
        <v>87</v>
      </c>
      <c r="CQ11" s="24" t="s">
        <v>951</v>
      </c>
      <c r="CR11" s="24"/>
      <c r="CV11" t="s">
        <v>127</v>
      </c>
      <c r="CW11">
        <v>8</v>
      </c>
      <c r="CX11" t="s">
        <v>173</v>
      </c>
      <c r="CY11" t="s">
        <v>174</v>
      </c>
      <c r="CZ11">
        <v>60.81</v>
      </c>
      <c r="DA11">
        <v>29</v>
      </c>
      <c r="DB11">
        <v>5310</v>
      </c>
      <c r="DC11">
        <v>1720</v>
      </c>
      <c r="DE11">
        <v>8</v>
      </c>
      <c r="DF11" t="str">
        <f t="shared" si="0"/>
        <v>0_8</v>
      </c>
      <c r="DG11" t="e">
        <f t="shared" si="1"/>
        <v>#N/A</v>
      </c>
      <c r="DH11" t="e">
        <f t="shared" si="2"/>
        <v>#N/A</v>
      </c>
      <c r="DL11">
        <v>12.5</v>
      </c>
      <c r="DM11" t="s">
        <v>734</v>
      </c>
      <c r="DN11">
        <v>1775</v>
      </c>
      <c r="DP11" s="24" t="s">
        <v>107</v>
      </c>
      <c r="DQ11" s="24">
        <v>4</v>
      </c>
      <c r="DR11" s="24">
        <v>3.3639999999999999</v>
      </c>
      <c r="DU11" s="24" t="s">
        <v>980</v>
      </c>
      <c r="DV11" s="24">
        <v>28000000</v>
      </c>
      <c r="DW11" s="24">
        <v>80000</v>
      </c>
      <c r="DX11" s="24"/>
      <c r="DY11" s="24">
        <v>0.28299999999999997</v>
      </c>
      <c r="EC11" s="24">
        <v>18</v>
      </c>
      <c r="ED11" t="str">
        <f t="shared" si="3"/>
        <v>18S</v>
      </c>
      <c r="EE11" s="24">
        <v>19</v>
      </c>
      <c r="EF11" s="24">
        <v>14.5</v>
      </c>
      <c r="EG11" s="24">
        <v>12.375</v>
      </c>
      <c r="EH11" t="str">
        <f t="shared" si="4"/>
        <v>18R</v>
      </c>
      <c r="EI11">
        <v>19</v>
      </c>
      <c r="EK11">
        <v>20</v>
      </c>
      <c r="EL11" t="s">
        <v>1844</v>
      </c>
      <c r="EO11" s="24"/>
      <c r="EP11" s="24"/>
      <c r="ES11" s="24" t="s">
        <v>1969</v>
      </c>
      <c r="ET11" s="24">
        <v>0.65</v>
      </c>
      <c r="FJ11" t="s">
        <v>1958</v>
      </c>
    </row>
    <row r="12" spans="1:166" x14ac:dyDescent="0.25">
      <c r="A12" s="24" t="s">
        <v>839</v>
      </c>
      <c r="B12" s="24">
        <v>5.5</v>
      </c>
      <c r="C12" s="24">
        <v>1</v>
      </c>
      <c r="D12" s="24">
        <v>4</v>
      </c>
      <c r="E12" s="24">
        <v>0.75</v>
      </c>
      <c r="F12" s="24">
        <v>3</v>
      </c>
      <c r="G12" s="24" t="str">
        <f t="shared" si="7"/>
        <v>1" x 4" / 0.75" X 3"</v>
      </c>
      <c r="H12" s="24">
        <v>48.6</v>
      </c>
      <c r="I12" s="24">
        <v>3.4375</v>
      </c>
      <c r="J12" s="24" t="s">
        <v>32</v>
      </c>
      <c r="K12" s="24">
        <v>5.5</v>
      </c>
      <c r="L12" s="24">
        <v>16.5</v>
      </c>
      <c r="M12">
        <f t="shared" si="5"/>
        <v>0.875</v>
      </c>
      <c r="N12">
        <f t="shared" si="6"/>
        <v>7</v>
      </c>
      <c r="Z12" t="s">
        <v>827</v>
      </c>
      <c r="AA12">
        <v>1</v>
      </c>
      <c r="AB12">
        <v>1</v>
      </c>
      <c r="AC12">
        <v>1</v>
      </c>
      <c r="AJ12">
        <v>20</v>
      </c>
      <c r="AK12">
        <v>165</v>
      </c>
      <c r="AM12" t="s">
        <v>808</v>
      </c>
      <c r="AN12">
        <v>4.4000000000000004</v>
      </c>
      <c r="AP12" t="s">
        <v>1969</v>
      </c>
      <c r="AQ12">
        <v>2.6</v>
      </c>
      <c r="AS12" t="s">
        <v>862</v>
      </c>
      <c r="AT12">
        <v>1.7</v>
      </c>
      <c r="AY12">
        <v>40</v>
      </c>
      <c r="AZ12">
        <v>0.15</v>
      </c>
      <c r="BA12">
        <v>0.37</v>
      </c>
      <c r="BB12">
        <v>0.48</v>
      </c>
      <c r="BC12">
        <v>0.15</v>
      </c>
      <c r="BD12">
        <v>0.5</v>
      </c>
      <c r="BF12" s="24"/>
      <c r="BG12" s="24"/>
      <c r="BI12" s="24"/>
      <c r="BJ12" s="24"/>
      <c r="BK12" s="24"/>
      <c r="BM12" s="24" t="s">
        <v>1923</v>
      </c>
      <c r="BN12" s="24">
        <v>185000</v>
      </c>
      <c r="BO12" s="24">
        <v>55500</v>
      </c>
      <c r="BQ12" s="24"/>
      <c r="BR12" s="24"/>
      <c r="BS12" s="24"/>
      <c r="BU12" s="24"/>
      <c r="BV12" s="24"/>
      <c r="BX12" s="27" t="s">
        <v>786</v>
      </c>
      <c r="BY12" s="24">
        <f>3/8</f>
        <v>0.375</v>
      </c>
      <c r="CA12" t="s">
        <v>1969</v>
      </c>
      <c r="CB12">
        <v>120</v>
      </c>
      <c r="CC12">
        <v>20</v>
      </c>
      <c r="CD12" t="s">
        <v>73</v>
      </c>
      <c r="CE12" s="11" t="s">
        <v>79</v>
      </c>
      <c r="CF12" t="s">
        <v>97</v>
      </c>
      <c r="CG12" s="11" t="s">
        <v>987</v>
      </c>
      <c r="CH12" s="11" t="s">
        <v>987</v>
      </c>
      <c r="CJ12" s="24"/>
      <c r="CK12" s="24"/>
      <c r="CL12" s="24"/>
      <c r="CM12" s="24"/>
      <c r="CN12" s="24"/>
      <c r="CO12" s="24"/>
      <c r="CP12" s="24" t="s">
        <v>88</v>
      </c>
      <c r="CQ12" s="24" t="s">
        <v>11</v>
      </c>
      <c r="CR12" s="24"/>
      <c r="CV12" t="s">
        <v>127</v>
      </c>
      <c r="CW12">
        <v>9</v>
      </c>
      <c r="CX12" t="s">
        <v>175</v>
      </c>
      <c r="CY12" t="s">
        <v>176</v>
      </c>
      <c r="CZ12">
        <v>57.42</v>
      </c>
      <c r="DA12">
        <v>30</v>
      </c>
      <c r="DB12">
        <v>5310</v>
      </c>
      <c r="DC12">
        <v>1720</v>
      </c>
      <c r="DE12">
        <v>9</v>
      </c>
      <c r="DF12" t="str">
        <f t="shared" si="0"/>
        <v>0_9</v>
      </c>
      <c r="DG12" t="e">
        <f t="shared" si="1"/>
        <v>#N/A</v>
      </c>
      <c r="DH12" t="e">
        <f t="shared" si="2"/>
        <v>#N/A</v>
      </c>
      <c r="DL12">
        <v>15</v>
      </c>
      <c r="DM12" t="s">
        <v>735</v>
      </c>
      <c r="DN12">
        <v>1776</v>
      </c>
      <c r="DP12" s="24" t="s">
        <v>108</v>
      </c>
      <c r="DQ12" s="24">
        <v>4.5</v>
      </c>
      <c r="DR12" s="24">
        <v>4.0259999999999998</v>
      </c>
      <c r="DU12" s="24" t="s">
        <v>1017</v>
      </c>
      <c r="DV12" s="24">
        <v>28000000</v>
      </c>
      <c r="DW12" s="24">
        <v>80000</v>
      </c>
      <c r="DX12" s="24"/>
      <c r="DY12" s="24">
        <v>0.28299999999999997</v>
      </c>
      <c r="EC12" s="24">
        <v>20</v>
      </c>
      <c r="ED12" t="str">
        <f t="shared" si="3"/>
        <v>20S</v>
      </c>
      <c r="EE12" s="24">
        <v>21</v>
      </c>
      <c r="EF12" s="24">
        <v>15.5</v>
      </c>
      <c r="EG12" s="24">
        <v>13.375</v>
      </c>
      <c r="EH12" t="str">
        <f t="shared" si="4"/>
        <v>20R</v>
      </c>
      <c r="EI12">
        <v>21</v>
      </c>
      <c r="EK12">
        <v>24</v>
      </c>
      <c r="EL12" t="s">
        <v>1844</v>
      </c>
      <c r="EO12" s="24"/>
      <c r="EP12" s="24"/>
      <c r="ES12" s="24" t="s">
        <v>1976</v>
      </c>
      <c r="ET12" s="24">
        <v>0.55000000000000004</v>
      </c>
      <c r="FJ12" t="s">
        <v>1959</v>
      </c>
    </row>
    <row r="13" spans="1:166" x14ac:dyDescent="0.25">
      <c r="A13" s="24" t="s">
        <v>840</v>
      </c>
      <c r="B13" s="24">
        <v>9.5</v>
      </c>
      <c r="C13" s="24">
        <v>1</v>
      </c>
      <c r="D13" s="24">
        <v>4</v>
      </c>
      <c r="E13" s="24">
        <v>0.75</v>
      </c>
      <c r="F13" s="24">
        <v>3</v>
      </c>
      <c r="G13" s="24" t="str">
        <f t="shared" si="7"/>
        <v>1" x 4" / 0.75" X 3"</v>
      </c>
      <c r="H13" s="24">
        <v>53.6</v>
      </c>
      <c r="I13" s="24">
        <v>3.4375</v>
      </c>
      <c r="J13" s="24" t="s">
        <v>32</v>
      </c>
      <c r="K13" s="24">
        <v>9.5</v>
      </c>
      <c r="L13" s="24">
        <v>20.5</v>
      </c>
      <c r="M13">
        <f t="shared" si="5"/>
        <v>0.875</v>
      </c>
      <c r="N13">
        <f t="shared" si="6"/>
        <v>7</v>
      </c>
      <c r="Z13" t="s">
        <v>828</v>
      </c>
      <c r="AA13">
        <v>1</v>
      </c>
      <c r="AB13">
        <v>1</v>
      </c>
      <c r="AC13">
        <v>1</v>
      </c>
      <c r="AJ13">
        <v>24</v>
      </c>
      <c r="AK13">
        <v>235</v>
      </c>
      <c r="AM13" t="s">
        <v>811</v>
      </c>
      <c r="AN13">
        <v>4.4000000000000004</v>
      </c>
      <c r="AP13" t="s">
        <v>1976</v>
      </c>
      <c r="AQ13">
        <v>2</v>
      </c>
      <c r="AS13" t="s">
        <v>863</v>
      </c>
      <c r="AT13">
        <v>2.2999999999999998</v>
      </c>
      <c r="AY13">
        <v>45</v>
      </c>
      <c r="AZ13">
        <v>0.1</v>
      </c>
      <c r="BA13">
        <v>0.28000000000000003</v>
      </c>
      <c r="BB13">
        <v>0.36</v>
      </c>
      <c r="BC13">
        <v>0.1</v>
      </c>
      <c r="BD13">
        <v>0.5</v>
      </c>
      <c r="BF13" s="24"/>
      <c r="BG13" s="24"/>
      <c r="BI13" s="24"/>
      <c r="BJ13" s="24"/>
      <c r="BK13" s="24"/>
      <c r="BM13" s="24" t="s">
        <v>1924</v>
      </c>
      <c r="BN13" s="24">
        <v>130000</v>
      </c>
      <c r="BO13" s="24">
        <v>39000</v>
      </c>
      <c r="BQ13" s="24"/>
      <c r="BR13" s="24"/>
      <c r="BS13" s="24"/>
      <c r="BU13" s="24"/>
      <c r="BV13" s="24"/>
      <c r="BX13" s="24"/>
      <c r="BY13" s="24"/>
      <c r="CA13" t="s">
        <v>1976</v>
      </c>
      <c r="CB13">
        <v>45</v>
      </c>
      <c r="CC13">
        <v>94</v>
      </c>
      <c r="CD13" t="s">
        <v>73</v>
      </c>
      <c r="CE13" s="11" t="s">
        <v>78</v>
      </c>
      <c r="CF13" t="s">
        <v>96</v>
      </c>
      <c r="CG13" t="s">
        <v>86</v>
      </c>
      <c r="CH13" s="11" t="s">
        <v>987</v>
      </c>
      <c r="CJ13" s="24"/>
      <c r="CK13" s="24"/>
      <c r="CL13" s="24"/>
      <c r="CM13" s="24"/>
      <c r="CN13" s="24"/>
      <c r="CO13" s="24"/>
      <c r="CP13" s="24" t="s">
        <v>89</v>
      </c>
      <c r="CQ13" s="24" t="s">
        <v>952</v>
      </c>
      <c r="CR13" s="24"/>
      <c r="CV13" t="s">
        <v>127</v>
      </c>
      <c r="CW13">
        <v>10</v>
      </c>
      <c r="CX13" t="s">
        <v>177</v>
      </c>
      <c r="CY13" t="s">
        <v>178</v>
      </c>
      <c r="CZ13">
        <v>48.89</v>
      </c>
      <c r="DA13">
        <v>36</v>
      </c>
      <c r="DB13">
        <v>5310</v>
      </c>
      <c r="DC13">
        <v>1720</v>
      </c>
      <c r="DE13">
        <v>10</v>
      </c>
      <c r="DF13" t="str">
        <f t="shared" si="0"/>
        <v>0_10</v>
      </c>
      <c r="DG13" t="e">
        <f t="shared" si="1"/>
        <v>#N/A</v>
      </c>
      <c r="DH13" t="e">
        <f t="shared" si="2"/>
        <v>#N/A</v>
      </c>
      <c r="DL13">
        <v>20</v>
      </c>
      <c r="DM13" t="s">
        <v>736</v>
      </c>
      <c r="DN13">
        <v>1777</v>
      </c>
      <c r="DP13" s="24" t="s">
        <v>109</v>
      </c>
      <c r="DQ13" s="24">
        <v>4.5</v>
      </c>
      <c r="DR13" s="24">
        <v>3.8260000000000001</v>
      </c>
      <c r="DU13" s="24" t="s">
        <v>814</v>
      </c>
      <c r="DV13" s="24">
        <v>28000000</v>
      </c>
      <c r="DW13" s="24">
        <v>70000</v>
      </c>
      <c r="DX13" s="24"/>
      <c r="DY13" s="24">
        <v>0.28299999999999997</v>
      </c>
      <c r="EC13" s="24">
        <v>24</v>
      </c>
      <c r="ED13" t="str">
        <f t="shared" si="3"/>
        <v>24S</v>
      </c>
      <c r="EE13" s="24">
        <v>25</v>
      </c>
      <c r="EF13" s="24">
        <v>17.5</v>
      </c>
      <c r="EG13" s="24">
        <v>15.375</v>
      </c>
      <c r="EH13" t="str">
        <f t="shared" si="4"/>
        <v>24R</v>
      </c>
      <c r="EI13">
        <v>25</v>
      </c>
      <c r="EO13" s="24"/>
      <c r="EP13" s="24"/>
      <c r="ES13" s="24" t="s">
        <v>1977</v>
      </c>
      <c r="ET13" s="24">
        <v>0.55000000000000004</v>
      </c>
      <c r="FJ13" t="s">
        <v>1960</v>
      </c>
    </row>
    <row r="14" spans="1:166" x14ac:dyDescent="0.25">
      <c r="A14" s="24" t="s">
        <v>902</v>
      </c>
      <c r="B14" s="24"/>
      <c r="C14" s="24"/>
      <c r="D14" s="24"/>
      <c r="E14" s="24"/>
      <c r="F14" s="24"/>
      <c r="G14" s="24"/>
      <c r="H14" s="26">
        <f>6*1.8</f>
        <v>10.8</v>
      </c>
      <c r="I14" s="24">
        <v>1.5</v>
      </c>
      <c r="J14" s="24" t="s">
        <v>32</v>
      </c>
      <c r="K14" s="24"/>
      <c r="L14" s="24">
        <v>7</v>
      </c>
      <c r="M14">
        <f t="shared" si="5"/>
        <v>0</v>
      </c>
      <c r="N14">
        <f t="shared" si="6"/>
        <v>0</v>
      </c>
      <c r="Z14" t="s">
        <v>829</v>
      </c>
      <c r="AA14">
        <v>1</v>
      </c>
      <c r="AB14">
        <v>1</v>
      </c>
      <c r="AC14">
        <v>1</v>
      </c>
      <c r="AM14" t="s">
        <v>812</v>
      </c>
      <c r="AN14">
        <v>2</v>
      </c>
      <c r="AP14" t="s">
        <v>1977</v>
      </c>
      <c r="AQ14">
        <v>2</v>
      </c>
      <c r="AS14" t="s">
        <v>864</v>
      </c>
      <c r="AT14">
        <v>1</v>
      </c>
      <c r="BF14" s="24"/>
      <c r="BG14" s="24"/>
      <c r="BI14" s="24"/>
      <c r="BJ14" s="24"/>
      <c r="BK14" s="24"/>
      <c r="BM14" s="24"/>
      <c r="BN14" s="24"/>
      <c r="BO14" s="24"/>
      <c r="BQ14" s="24"/>
      <c r="BR14" s="24"/>
      <c r="BS14" s="24"/>
      <c r="BU14" s="24"/>
      <c r="BV14" s="24"/>
      <c r="BX14" s="24"/>
      <c r="BY14" s="24"/>
      <c r="CA14" t="s">
        <v>1977</v>
      </c>
      <c r="CB14">
        <v>45</v>
      </c>
      <c r="CC14">
        <v>94</v>
      </c>
      <c r="CD14" t="s">
        <v>72</v>
      </c>
      <c r="CE14" t="s">
        <v>77</v>
      </c>
      <c r="CF14" t="s">
        <v>96</v>
      </c>
      <c r="CG14" t="s">
        <v>86</v>
      </c>
      <c r="CJ14" s="24"/>
      <c r="CK14" s="24"/>
      <c r="CL14" s="24"/>
      <c r="CM14" s="24"/>
      <c r="CN14" s="24"/>
      <c r="CO14" s="24"/>
      <c r="CP14" s="24" t="s">
        <v>90</v>
      </c>
      <c r="CQ14" s="24" t="s">
        <v>953</v>
      </c>
      <c r="CR14" s="24"/>
      <c r="CV14" t="s">
        <v>127</v>
      </c>
      <c r="CW14">
        <v>11</v>
      </c>
      <c r="CX14" t="s">
        <v>179</v>
      </c>
      <c r="CY14" t="s">
        <v>180</v>
      </c>
      <c r="CZ14">
        <v>44.43</v>
      </c>
      <c r="DA14">
        <v>39</v>
      </c>
      <c r="DB14">
        <v>5310</v>
      </c>
      <c r="DC14">
        <v>1720</v>
      </c>
      <c r="DE14">
        <v>11</v>
      </c>
      <c r="DF14" t="str">
        <f t="shared" si="0"/>
        <v>0_11</v>
      </c>
      <c r="DG14" t="e">
        <f t="shared" si="1"/>
        <v>#N/A</v>
      </c>
      <c r="DH14" t="e">
        <f t="shared" si="2"/>
        <v>#N/A</v>
      </c>
      <c r="DL14">
        <v>25</v>
      </c>
      <c r="DM14" t="s">
        <v>737</v>
      </c>
      <c r="DN14">
        <v>1781</v>
      </c>
      <c r="DP14" s="24" t="s">
        <v>110</v>
      </c>
      <c r="DQ14" s="24">
        <v>5.5629999999999997</v>
      </c>
      <c r="DR14" s="24">
        <v>5.0469999999999997</v>
      </c>
      <c r="DU14" s="24" t="s">
        <v>1878</v>
      </c>
      <c r="DV14" s="24">
        <v>27000000</v>
      </c>
      <c r="DW14" s="24">
        <v>100000</v>
      </c>
      <c r="DX14" s="24"/>
      <c r="DY14" s="24">
        <v>0.28299999999999997</v>
      </c>
      <c r="FJ14" t="s">
        <v>1961</v>
      </c>
    </row>
    <row r="15" spans="1:166" x14ac:dyDescent="0.25">
      <c r="A15" s="24" t="s">
        <v>841</v>
      </c>
      <c r="B15" s="24">
        <v>3.5</v>
      </c>
      <c r="C15" s="24">
        <v>0.75</v>
      </c>
      <c r="D15" s="24">
        <v>2.5</v>
      </c>
      <c r="E15" s="24">
        <v>0</v>
      </c>
      <c r="F15" s="24">
        <v>0</v>
      </c>
      <c r="G15" s="24" t="str">
        <f>C15&amp;""" x "&amp;D15&amp;""""</f>
        <v>0.75" x 2.5"</v>
      </c>
      <c r="H15" s="24">
        <v>13.6</v>
      </c>
      <c r="I15" s="24">
        <v>2</v>
      </c>
      <c r="J15" s="24" t="s">
        <v>32</v>
      </c>
      <c r="K15" s="24">
        <v>3.5</v>
      </c>
      <c r="L15" s="24">
        <v>7</v>
      </c>
      <c r="M15">
        <f t="shared" ref="M15:M22" si="8">(C15+E15)</f>
        <v>0.75</v>
      </c>
      <c r="N15">
        <f t="shared" si="6"/>
        <v>2.5</v>
      </c>
      <c r="Z15" t="s">
        <v>830</v>
      </c>
      <c r="AA15">
        <v>1</v>
      </c>
      <c r="AB15">
        <v>1</v>
      </c>
      <c r="AC15">
        <v>1</v>
      </c>
      <c r="AM15" t="s">
        <v>809</v>
      </c>
      <c r="AN15">
        <v>2</v>
      </c>
      <c r="AP15" t="s">
        <v>70</v>
      </c>
      <c r="AQ15">
        <v>1.5</v>
      </c>
      <c r="AS15" t="s">
        <v>865</v>
      </c>
      <c r="AT15">
        <v>1.1399999999999999</v>
      </c>
      <c r="CA15" t="s">
        <v>70</v>
      </c>
      <c r="CB15">
        <v>65</v>
      </c>
      <c r="CC15">
        <v>20</v>
      </c>
      <c r="CD15" t="s">
        <v>73</v>
      </c>
      <c r="CE15" s="11" t="s">
        <v>78</v>
      </c>
      <c r="CJ15" s="24"/>
      <c r="CK15" s="24"/>
      <c r="CL15" s="24"/>
      <c r="CM15" s="24"/>
      <c r="CN15" s="24"/>
      <c r="CO15" s="24"/>
      <c r="CP15" s="24" t="s">
        <v>91</v>
      </c>
      <c r="CQ15" s="24" t="s">
        <v>954</v>
      </c>
      <c r="CR15" s="24"/>
      <c r="CV15" t="s">
        <v>127</v>
      </c>
      <c r="CW15">
        <v>12</v>
      </c>
      <c r="CX15" t="s">
        <v>181</v>
      </c>
      <c r="CY15" t="s">
        <v>182</v>
      </c>
      <c r="CZ15">
        <v>38.49</v>
      </c>
      <c r="DA15">
        <v>45</v>
      </c>
      <c r="DB15">
        <v>5310</v>
      </c>
      <c r="DC15">
        <v>1680</v>
      </c>
      <c r="DE15">
        <v>12</v>
      </c>
      <c r="DF15" t="str">
        <f t="shared" si="0"/>
        <v>0_12</v>
      </c>
      <c r="DG15" t="e">
        <f t="shared" si="1"/>
        <v>#N/A</v>
      </c>
      <c r="DH15" t="e">
        <f t="shared" si="2"/>
        <v>#N/A</v>
      </c>
      <c r="DL15">
        <v>30</v>
      </c>
      <c r="DM15" t="s">
        <v>738</v>
      </c>
      <c r="DN15">
        <v>1781</v>
      </c>
      <c r="DP15" s="24" t="s">
        <v>111</v>
      </c>
      <c r="DQ15" s="24">
        <v>5.5629999999999997</v>
      </c>
      <c r="DR15" s="24">
        <v>4.8129999999999997</v>
      </c>
      <c r="DU15" s="24" t="s">
        <v>817</v>
      </c>
      <c r="DV15" s="24">
        <v>28000000</v>
      </c>
      <c r="DW15" s="24">
        <v>80000</v>
      </c>
      <c r="DX15" s="24"/>
      <c r="DY15" s="24">
        <v>0.28299999999999997</v>
      </c>
      <c r="FJ15" t="s">
        <v>1962</v>
      </c>
    </row>
    <row r="16" spans="1:166" ht="15" customHeight="1" x14ac:dyDescent="0.25">
      <c r="A16" s="24" t="s">
        <v>842</v>
      </c>
      <c r="B16" s="24">
        <v>5.5</v>
      </c>
      <c r="C16" s="24">
        <v>0.75</v>
      </c>
      <c r="D16" s="24">
        <v>2.5</v>
      </c>
      <c r="E16" s="24">
        <v>0</v>
      </c>
      <c r="F16" s="24">
        <v>0</v>
      </c>
      <c r="G16" s="24" t="str">
        <f t="shared" ref="G16:G22" si="9">C16&amp;""" x "&amp;D16&amp;""""</f>
        <v>0.75" x 2.5"</v>
      </c>
      <c r="H16" s="26">
        <f>10*1.8</f>
        <v>18</v>
      </c>
      <c r="I16" s="24">
        <v>2</v>
      </c>
      <c r="J16" s="24" t="s">
        <v>32</v>
      </c>
      <c r="K16" s="24">
        <v>5.5</v>
      </c>
      <c r="L16" s="24">
        <v>7.75</v>
      </c>
      <c r="M16">
        <f t="shared" si="8"/>
        <v>0.75</v>
      </c>
      <c r="N16">
        <f t="shared" si="6"/>
        <v>2.5</v>
      </c>
      <c r="AM16" t="s">
        <v>813</v>
      </c>
      <c r="AN16">
        <v>2</v>
      </c>
      <c r="AS16" t="s">
        <v>866</v>
      </c>
      <c r="AT16">
        <v>1.2</v>
      </c>
      <c r="BM16" s="368" t="s">
        <v>1989</v>
      </c>
      <c r="BN16" s="368"/>
      <c r="BO16" s="368"/>
      <c r="CJ16" s="24"/>
      <c r="CK16" s="24"/>
      <c r="CL16" s="24"/>
      <c r="CM16" s="24"/>
      <c r="CN16" s="24"/>
      <c r="CO16" s="24"/>
      <c r="CP16" s="24" t="s">
        <v>92</v>
      </c>
      <c r="CQ16" s="24" t="s">
        <v>955</v>
      </c>
      <c r="CR16" s="24"/>
      <c r="CV16" t="s">
        <v>127</v>
      </c>
      <c r="CW16">
        <v>13</v>
      </c>
      <c r="CX16" t="s">
        <v>183</v>
      </c>
      <c r="CY16" t="s">
        <v>184</v>
      </c>
      <c r="CZ16">
        <v>35.700000000000003</v>
      </c>
      <c r="DA16">
        <v>49</v>
      </c>
      <c r="DB16">
        <v>5310</v>
      </c>
      <c r="DC16">
        <v>1620</v>
      </c>
      <c r="DE16">
        <v>13</v>
      </c>
      <c r="DF16" t="str">
        <f t="shared" si="0"/>
        <v>0_13</v>
      </c>
      <c r="DG16" t="e">
        <f t="shared" si="1"/>
        <v>#N/A</v>
      </c>
      <c r="DH16" t="e">
        <f t="shared" si="2"/>
        <v>#N/A</v>
      </c>
      <c r="DP16" s="24" t="s">
        <v>112</v>
      </c>
      <c r="DQ16" s="24">
        <v>6.625</v>
      </c>
      <c r="DR16" s="24">
        <v>6.0650000000000004</v>
      </c>
      <c r="DU16" s="24" t="s">
        <v>1915</v>
      </c>
      <c r="DV16" s="24">
        <v>28000000</v>
      </c>
      <c r="DW16" s="24">
        <v>125000</v>
      </c>
      <c r="DX16" s="24">
        <v>140000</v>
      </c>
      <c r="DY16" s="24">
        <v>0.28299999999999997</v>
      </c>
    </row>
    <row r="17" spans="1:129" ht="15" customHeight="1" x14ac:dyDescent="0.25">
      <c r="A17" s="24" t="s">
        <v>843</v>
      </c>
      <c r="B17" s="24">
        <v>5.5</v>
      </c>
      <c r="C17" s="24">
        <v>1</v>
      </c>
      <c r="D17" s="24">
        <v>3</v>
      </c>
      <c r="E17" s="24">
        <v>0</v>
      </c>
      <c r="F17" s="24">
        <v>0</v>
      </c>
      <c r="G17" s="24" t="str">
        <f t="shared" si="9"/>
        <v>1" x 3"</v>
      </c>
      <c r="H17" s="24">
        <v>24.4</v>
      </c>
      <c r="I17" s="24">
        <v>2.4375</v>
      </c>
      <c r="J17" s="24" t="s">
        <v>32</v>
      </c>
      <c r="K17" s="24">
        <v>5.5</v>
      </c>
      <c r="L17" s="24">
        <v>8.5</v>
      </c>
      <c r="M17">
        <f t="shared" si="8"/>
        <v>1</v>
      </c>
      <c r="N17">
        <f t="shared" si="6"/>
        <v>3</v>
      </c>
      <c r="AM17" t="s">
        <v>810</v>
      </c>
      <c r="AN17">
        <v>2</v>
      </c>
      <c r="AS17" s="22" t="s">
        <v>867</v>
      </c>
      <c r="AT17">
        <v>1</v>
      </c>
      <c r="BM17" s="368"/>
      <c r="BN17" s="368"/>
      <c r="BO17" s="368"/>
      <c r="CJ17" s="24"/>
      <c r="CK17" s="24"/>
      <c r="CL17" s="24"/>
      <c r="CM17" s="24"/>
      <c r="CN17" s="24"/>
      <c r="CO17" s="24"/>
      <c r="CP17" s="24" t="s">
        <v>93</v>
      </c>
      <c r="CQ17" s="24" t="s">
        <v>2</v>
      </c>
      <c r="CR17" s="24"/>
      <c r="CV17" t="s">
        <v>127</v>
      </c>
      <c r="CW17">
        <v>14</v>
      </c>
      <c r="CX17" t="s">
        <v>185</v>
      </c>
      <c r="CY17" t="s">
        <v>186</v>
      </c>
      <c r="CZ17">
        <v>30.28</v>
      </c>
      <c r="DA17">
        <v>58</v>
      </c>
      <c r="DB17">
        <v>5310</v>
      </c>
      <c r="DC17">
        <v>1480</v>
      </c>
      <c r="DE17">
        <v>14</v>
      </c>
      <c r="DF17" t="str">
        <f t="shared" si="0"/>
        <v>0_14</v>
      </c>
      <c r="DG17" t="e">
        <f t="shared" si="1"/>
        <v>#N/A</v>
      </c>
      <c r="DH17" t="e">
        <f t="shared" si="2"/>
        <v>#N/A</v>
      </c>
      <c r="DP17" s="24" t="s">
        <v>113</v>
      </c>
      <c r="DQ17" s="24">
        <v>6.625</v>
      </c>
      <c r="DR17" s="24">
        <v>5.7610000000000001</v>
      </c>
      <c r="DU17" s="24" t="s">
        <v>1919</v>
      </c>
      <c r="DV17" s="24">
        <v>29000000</v>
      </c>
      <c r="DW17" s="24">
        <v>40000</v>
      </c>
      <c r="DX17" s="24"/>
      <c r="DY17" s="24">
        <v>0.28299999999999997</v>
      </c>
    </row>
    <row r="18" spans="1:129" x14ac:dyDescent="0.25">
      <c r="A18" s="24" t="s">
        <v>844</v>
      </c>
      <c r="B18" s="24">
        <v>7.5</v>
      </c>
      <c r="C18" s="24">
        <v>1</v>
      </c>
      <c r="D18" s="24">
        <v>3</v>
      </c>
      <c r="E18" s="24">
        <v>0</v>
      </c>
      <c r="F18" s="24">
        <v>0</v>
      </c>
      <c r="G18" s="24" t="str">
        <f t="shared" si="9"/>
        <v>1" x 3"</v>
      </c>
      <c r="H18" s="24">
        <v>26.4</v>
      </c>
      <c r="I18" s="24">
        <v>2.9380000000000002</v>
      </c>
      <c r="J18" s="24" t="s">
        <v>32</v>
      </c>
      <c r="K18" s="24">
        <v>7.5</v>
      </c>
      <c r="L18" s="24">
        <v>10.5</v>
      </c>
      <c r="M18">
        <f t="shared" si="8"/>
        <v>1</v>
      </c>
      <c r="N18">
        <f t="shared" si="6"/>
        <v>3</v>
      </c>
      <c r="BM18" s="368"/>
      <c r="BN18" s="368"/>
      <c r="BO18" s="368"/>
      <c r="CJ18" s="24"/>
      <c r="CK18" s="24"/>
      <c r="CL18" s="24"/>
      <c r="CM18" s="24"/>
      <c r="CN18" s="24"/>
      <c r="CO18" s="24"/>
      <c r="CP18" s="24" t="s">
        <v>94</v>
      </c>
      <c r="CQ18" s="24" t="s">
        <v>956</v>
      </c>
      <c r="CR18" s="24"/>
      <c r="CV18" t="s">
        <v>127</v>
      </c>
      <c r="CW18">
        <v>15</v>
      </c>
      <c r="CX18" t="s">
        <v>187</v>
      </c>
      <c r="CY18" t="s">
        <v>188</v>
      </c>
      <c r="CZ18">
        <v>27.34</v>
      </c>
      <c r="DA18">
        <v>64</v>
      </c>
      <c r="DB18">
        <v>5310</v>
      </c>
      <c r="DC18">
        <v>1400</v>
      </c>
      <c r="DE18">
        <v>15</v>
      </c>
      <c r="DF18" t="str">
        <f t="shared" si="0"/>
        <v>0_15</v>
      </c>
      <c r="DG18" t="e">
        <f t="shared" si="1"/>
        <v>#N/A</v>
      </c>
      <c r="DH18" t="e">
        <f t="shared" si="2"/>
        <v>#N/A</v>
      </c>
      <c r="DP18" s="24" t="s">
        <v>114</v>
      </c>
      <c r="DQ18" s="24">
        <v>8.625</v>
      </c>
      <c r="DR18" s="24">
        <v>7.9809999999999999</v>
      </c>
    </row>
    <row r="19" spans="1:129" x14ac:dyDescent="0.25">
      <c r="A19" s="24" t="s">
        <v>845</v>
      </c>
      <c r="B19" s="24">
        <v>9.5</v>
      </c>
      <c r="C19" s="24">
        <v>1</v>
      </c>
      <c r="D19" s="24">
        <v>3</v>
      </c>
      <c r="E19" s="24">
        <v>0</v>
      </c>
      <c r="F19" s="24">
        <v>0</v>
      </c>
      <c r="G19" s="24" t="str">
        <f t="shared" si="9"/>
        <v>1" x 3"</v>
      </c>
      <c r="H19" s="24">
        <v>27.9</v>
      </c>
      <c r="I19" s="24">
        <v>2.9380000000000002</v>
      </c>
      <c r="J19" s="24" t="s">
        <v>32</v>
      </c>
      <c r="K19" s="24">
        <v>9.5</v>
      </c>
      <c r="L19" s="24">
        <v>12.5</v>
      </c>
      <c r="M19">
        <f t="shared" si="8"/>
        <v>1</v>
      </c>
      <c r="N19">
        <f t="shared" si="6"/>
        <v>3</v>
      </c>
      <c r="BM19" s="368"/>
      <c r="BN19" s="368"/>
      <c r="BO19" s="368"/>
      <c r="CJ19" s="24"/>
      <c r="CK19" s="24"/>
      <c r="CL19" s="24"/>
      <c r="CM19" s="24"/>
      <c r="CN19" s="24"/>
      <c r="CO19" s="24"/>
      <c r="CP19" s="24"/>
      <c r="CQ19" s="24"/>
      <c r="CR19" s="24"/>
      <c r="CV19" t="s">
        <v>128</v>
      </c>
      <c r="CW19">
        <v>1</v>
      </c>
      <c r="CX19" t="s">
        <v>189</v>
      </c>
      <c r="CY19" t="s">
        <v>190</v>
      </c>
      <c r="CZ19">
        <v>793</v>
      </c>
      <c r="DA19">
        <v>2.2000000000000002</v>
      </c>
      <c r="DB19">
        <v>7260</v>
      </c>
      <c r="DC19">
        <v>2320</v>
      </c>
      <c r="DP19" s="24" t="s">
        <v>115</v>
      </c>
      <c r="DQ19" s="24">
        <v>8.625</v>
      </c>
      <c r="DR19" s="24">
        <v>7.625</v>
      </c>
    </row>
    <row r="20" spans="1:129" x14ac:dyDescent="0.25">
      <c r="A20" s="24" t="s">
        <v>846</v>
      </c>
      <c r="B20" s="24">
        <v>9.5</v>
      </c>
      <c r="C20" s="24">
        <v>1</v>
      </c>
      <c r="D20" s="24">
        <v>4</v>
      </c>
      <c r="E20" s="24">
        <v>0</v>
      </c>
      <c r="F20" s="24">
        <v>0</v>
      </c>
      <c r="G20" s="24" t="str">
        <f t="shared" si="9"/>
        <v>1" x 4"</v>
      </c>
      <c r="H20" s="24">
        <v>33.799999999999997</v>
      </c>
      <c r="I20" s="24">
        <v>2.9380000000000002</v>
      </c>
      <c r="J20" s="24" t="s">
        <v>32</v>
      </c>
      <c r="K20" s="24">
        <v>9.5</v>
      </c>
      <c r="L20" s="25">
        <v>14.5</v>
      </c>
      <c r="M20">
        <f t="shared" si="8"/>
        <v>1</v>
      </c>
      <c r="N20">
        <f t="shared" si="6"/>
        <v>4</v>
      </c>
      <c r="BM20" s="368"/>
      <c r="BN20" s="368"/>
      <c r="BO20" s="368"/>
      <c r="CJ20" s="24"/>
      <c r="CK20" s="24"/>
      <c r="CL20" s="24"/>
      <c r="CM20" s="24"/>
      <c r="CN20" s="24"/>
      <c r="CO20" s="24"/>
      <c r="CP20" s="24"/>
      <c r="CQ20" s="24"/>
      <c r="CR20" s="24"/>
      <c r="CV20" t="s">
        <v>128</v>
      </c>
      <c r="CW20">
        <v>2</v>
      </c>
      <c r="CX20" t="s">
        <v>191</v>
      </c>
      <c r="CY20" t="s">
        <v>192</v>
      </c>
      <c r="CZ20">
        <v>697</v>
      </c>
      <c r="DA20">
        <v>2.5</v>
      </c>
      <c r="DB20">
        <v>7260</v>
      </c>
      <c r="DC20">
        <v>2320</v>
      </c>
      <c r="DP20" s="24" t="s">
        <v>116</v>
      </c>
      <c r="DQ20" s="24">
        <v>10.75</v>
      </c>
      <c r="DR20" s="24">
        <v>10.02</v>
      </c>
    </row>
    <row r="21" spans="1:129" x14ac:dyDescent="0.25">
      <c r="A21" s="24" t="s">
        <v>847</v>
      </c>
      <c r="B21" s="24">
        <v>11.5</v>
      </c>
      <c r="C21" s="24">
        <v>1</v>
      </c>
      <c r="D21" s="24">
        <v>4</v>
      </c>
      <c r="E21" s="24">
        <v>0</v>
      </c>
      <c r="F21" s="24">
        <v>0</v>
      </c>
      <c r="G21" s="24" t="str">
        <f t="shared" si="9"/>
        <v>1" x 4"</v>
      </c>
      <c r="H21" s="24">
        <v>35.5</v>
      </c>
      <c r="I21" s="24">
        <v>3.4375</v>
      </c>
      <c r="J21" s="24" t="s">
        <v>32</v>
      </c>
      <c r="K21" s="24">
        <v>11.5</v>
      </c>
      <c r="L21" s="24">
        <v>16.5</v>
      </c>
      <c r="M21">
        <f t="shared" si="8"/>
        <v>1</v>
      </c>
      <c r="N21">
        <f t="shared" si="6"/>
        <v>4</v>
      </c>
      <c r="BM21" s="368"/>
      <c r="BN21" s="368"/>
      <c r="BO21" s="368"/>
      <c r="CV21" t="s">
        <v>128</v>
      </c>
      <c r="CW21">
        <v>3</v>
      </c>
      <c r="CX21" t="s">
        <v>193</v>
      </c>
      <c r="CY21" t="s">
        <v>194</v>
      </c>
      <c r="CZ21">
        <v>613</v>
      </c>
      <c r="DA21">
        <v>2.9</v>
      </c>
      <c r="DB21">
        <v>7260</v>
      </c>
      <c r="DC21">
        <v>2320</v>
      </c>
      <c r="DP21" s="24" t="s">
        <v>739</v>
      </c>
      <c r="DQ21" s="24">
        <v>10.75</v>
      </c>
      <c r="DR21" s="24">
        <v>9.75</v>
      </c>
    </row>
    <row r="22" spans="1:129" x14ac:dyDescent="0.25">
      <c r="A22" s="24" t="s">
        <v>848</v>
      </c>
      <c r="B22" s="24">
        <v>15.5</v>
      </c>
      <c r="C22" s="24">
        <v>1</v>
      </c>
      <c r="D22" s="24">
        <v>4</v>
      </c>
      <c r="E22" s="24">
        <v>0</v>
      </c>
      <c r="F22" s="24">
        <v>0</v>
      </c>
      <c r="G22" s="24" t="str">
        <f t="shared" si="9"/>
        <v>1" x 4"</v>
      </c>
      <c r="H22" s="24">
        <v>38.1</v>
      </c>
      <c r="I22" s="24">
        <v>3.4375</v>
      </c>
      <c r="J22" s="24" t="s">
        <v>32</v>
      </c>
      <c r="K22" s="24">
        <v>15.5</v>
      </c>
      <c r="L22" s="24">
        <v>20.5</v>
      </c>
      <c r="M22">
        <f t="shared" si="8"/>
        <v>1</v>
      </c>
      <c r="N22">
        <f t="shared" si="6"/>
        <v>4</v>
      </c>
      <c r="R22" t="s">
        <v>905</v>
      </c>
      <c r="BM22" s="368"/>
      <c r="BN22" s="368"/>
      <c r="BO22" s="368"/>
      <c r="CV22" t="s">
        <v>128</v>
      </c>
      <c r="CW22">
        <v>4</v>
      </c>
      <c r="CX22" t="s">
        <v>195</v>
      </c>
      <c r="CY22" t="s">
        <v>196</v>
      </c>
      <c r="CZ22">
        <v>542</v>
      </c>
      <c r="DA22">
        <v>3.2</v>
      </c>
      <c r="DB22">
        <v>7260</v>
      </c>
      <c r="DC22">
        <v>2320</v>
      </c>
      <c r="DP22" s="24" t="s">
        <v>118</v>
      </c>
      <c r="DQ22" s="24">
        <v>12.75</v>
      </c>
      <c r="DR22" s="24">
        <v>11.938000000000001</v>
      </c>
    </row>
    <row r="23" spans="1:129" x14ac:dyDescent="0.25">
      <c r="A23" s="24" t="s">
        <v>901</v>
      </c>
      <c r="B23" s="24"/>
      <c r="C23" s="24">
        <v>0.1875</v>
      </c>
      <c r="D23" s="24"/>
      <c r="E23" s="24"/>
      <c r="F23" s="24"/>
      <c r="G23" s="24">
        <f>C23</f>
        <v>0.1875</v>
      </c>
      <c r="H23" s="24">
        <v>7.5</v>
      </c>
      <c r="I23" s="24">
        <v>1.5</v>
      </c>
      <c r="J23" s="24" t="s">
        <v>101</v>
      </c>
      <c r="L23" s="24"/>
      <c r="R23" s="24">
        <v>2.375</v>
      </c>
      <c r="BM23" s="368"/>
      <c r="BN23" s="368"/>
      <c r="BO23" s="368"/>
      <c r="CV23" t="s">
        <v>128</v>
      </c>
      <c r="CW23">
        <v>5</v>
      </c>
      <c r="CX23" t="s">
        <v>197</v>
      </c>
      <c r="CY23" t="s">
        <v>198</v>
      </c>
      <c r="CZ23">
        <v>471</v>
      </c>
      <c r="DA23">
        <v>3.7</v>
      </c>
      <c r="DB23">
        <v>7260</v>
      </c>
      <c r="DC23">
        <v>2320</v>
      </c>
      <c r="DP23" s="24" t="s">
        <v>119</v>
      </c>
      <c r="DQ23" s="24">
        <v>12.75</v>
      </c>
      <c r="DR23" s="24">
        <v>11.374000000000001</v>
      </c>
    </row>
    <row r="24" spans="1:129" x14ac:dyDescent="0.25">
      <c r="A24" s="24" t="s">
        <v>875</v>
      </c>
      <c r="B24" s="24"/>
      <c r="C24" s="24">
        <v>0.1875</v>
      </c>
      <c r="D24" s="24"/>
      <c r="E24" s="24"/>
      <c r="F24" s="24"/>
      <c r="G24" s="24">
        <f t="shared" ref="G24:G49" si="10">C24</f>
        <v>0.1875</v>
      </c>
      <c r="H24" s="24">
        <v>9.5</v>
      </c>
      <c r="I24" s="24">
        <v>1.5</v>
      </c>
      <c r="J24" s="24" t="s">
        <v>101</v>
      </c>
      <c r="L24" s="24"/>
      <c r="R24" s="24">
        <v>2.375</v>
      </c>
      <c r="BM24" s="368"/>
      <c r="BN24" s="368"/>
      <c r="BO24" s="368"/>
      <c r="CV24" t="s">
        <v>128</v>
      </c>
      <c r="CW24">
        <v>6</v>
      </c>
      <c r="CX24" t="s">
        <v>199</v>
      </c>
      <c r="CY24" t="s">
        <v>200</v>
      </c>
      <c r="CZ24">
        <v>420</v>
      </c>
      <c r="DA24">
        <v>4.2</v>
      </c>
      <c r="DB24">
        <v>7260</v>
      </c>
      <c r="DC24">
        <v>2320</v>
      </c>
      <c r="DP24" s="24"/>
      <c r="DQ24" s="24"/>
      <c r="DR24" s="24"/>
    </row>
    <row r="25" spans="1:129" x14ac:dyDescent="0.25">
      <c r="A25" s="24" t="s">
        <v>876</v>
      </c>
      <c r="B25" s="24"/>
      <c r="C25" s="24">
        <v>0.1875</v>
      </c>
      <c r="D25" s="24"/>
      <c r="E25" s="24"/>
      <c r="F25" s="24"/>
      <c r="G25" s="24">
        <f t="shared" si="10"/>
        <v>0.1875</v>
      </c>
      <c r="H25" s="24">
        <v>12</v>
      </c>
      <c r="I25" s="24">
        <v>1.5</v>
      </c>
      <c r="J25" s="24" t="s">
        <v>101</v>
      </c>
      <c r="L25" s="24"/>
      <c r="R25" s="24">
        <v>2.375</v>
      </c>
      <c r="BM25" s="368"/>
      <c r="BN25" s="368"/>
      <c r="BO25" s="368"/>
      <c r="CV25" t="s">
        <v>128</v>
      </c>
      <c r="CW25">
        <v>7</v>
      </c>
      <c r="CX25" t="s">
        <v>201</v>
      </c>
      <c r="CY25" t="s">
        <v>202</v>
      </c>
      <c r="CZ25">
        <v>361</v>
      </c>
      <c r="DA25">
        <v>4.8</v>
      </c>
      <c r="DB25">
        <v>7260</v>
      </c>
      <c r="DC25">
        <v>2320</v>
      </c>
      <c r="DP25" s="24"/>
      <c r="DQ25" s="24"/>
      <c r="DR25" s="24"/>
    </row>
    <row r="26" spans="1:129" x14ac:dyDescent="0.25">
      <c r="A26" s="24" t="s">
        <v>877</v>
      </c>
      <c r="B26" s="24"/>
      <c r="C26" s="24">
        <v>0.1875</v>
      </c>
      <c r="D26" s="24"/>
      <c r="E26" s="24"/>
      <c r="F26" s="24"/>
      <c r="G26" s="24">
        <f t="shared" si="10"/>
        <v>0.1875</v>
      </c>
      <c r="H26" s="24">
        <v>13</v>
      </c>
      <c r="I26" s="24">
        <v>2</v>
      </c>
      <c r="J26" s="24" t="s">
        <v>103</v>
      </c>
      <c r="L26" s="24"/>
      <c r="R26" s="24">
        <v>2.875</v>
      </c>
      <c r="BM26" s="368"/>
      <c r="BN26" s="368"/>
      <c r="BO26" s="368"/>
      <c r="CV26" t="s">
        <v>128</v>
      </c>
      <c r="CW26">
        <v>8</v>
      </c>
      <c r="CX26" t="s">
        <v>203</v>
      </c>
      <c r="CY26" t="s">
        <v>204</v>
      </c>
      <c r="CZ26">
        <v>323</v>
      </c>
      <c r="DA26">
        <v>5.4</v>
      </c>
      <c r="DB26">
        <v>7260</v>
      </c>
      <c r="DC26">
        <v>2320</v>
      </c>
      <c r="DP26" s="24"/>
      <c r="DQ26" s="24"/>
      <c r="DR26" s="24"/>
    </row>
    <row r="27" spans="1:129" x14ac:dyDescent="0.25">
      <c r="A27" s="24" t="s">
        <v>878</v>
      </c>
      <c r="B27" s="24"/>
      <c r="C27" s="24">
        <v>0.1875</v>
      </c>
      <c r="D27" s="24"/>
      <c r="E27" s="24"/>
      <c r="F27" s="24"/>
      <c r="G27" s="24">
        <f t="shared" si="10"/>
        <v>0.1875</v>
      </c>
      <c r="H27" s="24">
        <v>18</v>
      </c>
      <c r="I27" s="24">
        <v>2.4375</v>
      </c>
      <c r="J27" s="24" t="s">
        <v>6</v>
      </c>
      <c r="L27" s="24"/>
      <c r="R27" s="24">
        <v>3.5</v>
      </c>
      <c r="CV27" t="s">
        <v>128</v>
      </c>
      <c r="CW27">
        <v>9</v>
      </c>
      <c r="CX27" t="s">
        <v>205</v>
      </c>
      <c r="CY27" t="s">
        <v>206</v>
      </c>
      <c r="CZ27">
        <v>279</v>
      </c>
      <c r="DA27">
        <v>6.3</v>
      </c>
      <c r="DB27">
        <v>7260</v>
      </c>
      <c r="DC27">
        <v>2320</v>
      </c>
      <c r="DP27" s="24"/>
      <c r="DQ27" s="24"/>
      <c r="DR27" s="24"/>
    </row>
    <row r="28" spans="1:129" x14ac:dyDescent="0.25">
      <c r="A28" s="24" t="s">
        <v>879</v>
      </c>
      <c r="B28" s="24"/>
      <c r="C28" s="24">
        <v>0.1875</v>
      </c>
      <c r="D28" s="24"/>
      <c r="E28" s="24"/>
      <c r="F28" s="24"/>
      <c r="G28" s="24">
        <f t="shared" si="10"/>
        <v>0.1875</v>
      </c>
      <c r="H28" s="24">
        <v>20</v>
      </c>
      <c r="I28" s="24">
        <v>2.9380000000000002</v>
      </c>
      <c r="J28" s="24" t="s">
        <v>106</v>
      </c>
      <c r="L28" s="24"/>
      <c r="R28" s="24">
        <v>4</v>
      </c>
      <c r="AI28" t="s">
        <v>60</v>
      </c>
      <c r="CV28" t="s">
        <v>128</v>
      </c>
      <c r="CW28">
        <v>10</v>
      </c>
      <c r="CX28" t="s">
        <v>207</v>
      </c>
      <c r="CY28" t="s">
        <v>208</v>
      </c>
      <c r="CZ28">
        <v>246</v>
      </c>
      <c r="DA28">
        <v>7.1</v>
      </c>
      <c r="DB28">
        <v>7260</v>
      </c>
      <c r="DC28">
        <v>2320</v>
      </c>
      <c r="DP28" s="24"/>
      <c r="DQ28" s="24"/>
      <c r="DR28" s="24"/>
      <c r="DW28" t="e">
        <f>VLOOKUP(J49,Reference!BM5:BO14,3,FALSE)</f>
        <v>#N/A</v>
      </c>
    </row>
    <row r="29" spans="1:129" x14ac:dyDescent="0.25">
      <c r="A29" s="24" t="s">
        <v>880</v>
      </c>
      <c r="B29" s="24"/>
      <c r="C29" s="24">
        <v>0.1875</v>
      </c>
      <c r="D29" s="24"/>
      <c r="E29" s="24"/>
      <c r="F29" s="24"/>
      <c r="G29" s="24">
        <f t="shared" si="10"/>
        <v>0.1875</v>
      </c>
      <c r="H29" s="24">
        <v>21</v>
      </c>
      <c r="I29" s="24">
        <v>2.9380000000000002</v>
      </c>
      <c r="J29" s="24" t="s">
        <v>106</v>
      </c>
      <c r="L29" s="24"/>
      <c r="R29" s="24">
        <v>4</v>
      </c>
      <c r="AJ29" t="s">
        <v>1</v>
      </c>
      <c r="AK29" t="s">
        <v>43</v>
      </c>
      <c r="CV29" t="s">
        <v>128</v>
      </c>
      <c r="CW29">
        <v>11</v>
      </c>
      <c r="CX29" t="s">
        <v>209</v>
      </c>
      <c r="CY29" t="s">
        <v>210</v>
      </c>
      <c r="CZ29">
        <v>217</v>
      </c>
      <c r="DA29">
        <v>8.1</v>
      </c>
      <c r="DB29">
        <v>7260</v>
      </c>
      <c r="DC29">
        <v>2320</v>
      </c>
      <c r="DP29" s="24"/>
      <c r="DQ29" s="24"/>
      <c r="DR29" s="24"/>
    </row>
    <row r="30" spans="1:129" x14ac:dyDescent="0.25">
      <c r="A30" s="24" t="s">
        <v>881</v>
      </c>
      <c r="B30" s="24"/>
      <c r="C30" s="24">
        <v>0.1875</v>
      </c>
      <c r="D30" s="24"/>
      <c r="E30" s="24"/>
      <c r="F30" s="24"/>
      <c r="G30" s="24">
        <f t="shared" si="10"/>
        <v>0.1875</v>
      </c>
      <c r="H30" s="24">
        <v>26</v>
      </c>
      <c r="I30" s="24">
        <v>2.9380000000000002</v>
      </c>
      <c r="J30" s="24" t="s">
        <v>106</v>
      </c>
      <c r="L30" s="24"/>
      <c r="R30" s="24">
        <v>4</v>
      </c>
      <c r="AI30" t="s">
        <v>45</v>
      </c>
      <c r="AJ30" t="s">
        <v>61</v>
      </c>
      <c r="AK30">
        <v>0.94</v>
      </c>
      <c r="CV30" t="s">
        <v>128</v>
      </c>
      <c r="CW30">
        <v>12</v>
      </c>
      <c r="CX30" t="s">
        <v>211</v>
      </c>
      <c r="CY30" t="s">
        <v>212</v>
      </c>
      <c r="CZ30">
        <v>191</v>
      </c>
      <c r="DA30">
        <v>9.1</v>
      </c>
      <c r="DB30">
        <v>7260</v>
      </c>
      <c r="DC30">
        <v>2320</v>
      </c>
      <c r="DP30" s="24"/>
      <c r="DQ30" s="24"/>
      <c r="DR30" s="24"/>
    </row>
    <row r="31" spans="1:129" x14ac:dyDescent="0.25">
      <c r="A31" s="24" t="s">
        <v>882</v>
      </c>
      <c r="B31" s="24"/>
      <c r="C31" s="24">
        <v>0.25</v>
      </c>
      <c r="D31" s="24"/>
      <c r="E31" s="24"/>
      <c r="F31" s="24"/>
      <c r="G31" s="24">
        <f t="shared" si="10"/>
        <v>0.25</v>
      </c>
      <c r="H31" s="24">
        <v>37</v>
      </c>
      <c r="I31" s="24">
        <v>3.4375</v>
      </c>
      <c r="J31" s="24" t="s">
        <v>108</v>
      </c>
      <c r="L31" s="24"/>
      <c r="R31" s="24">
        <v>4.5</v>
      </c>
      <c r="AI31" t="s">
        <v>46</v>
      </c>
      <c r="AJ31" t="s">
        <v>62</v>
      </c>
      <c r="AK31">
        <v>0.88</v>
      </c>
      <c r="CV31" t="s">
        <v>128</v>
      </c>
      <c r="CW31">
        <v>13</v>
      </c>
      <c r="CX31" t="s">
        <v>213</v>
      </c>
      <c r="CY31" t="s">
        <v>214</v>
      </c>
      <c r="CZ31">
        <v>166</v>
      </c>
      <c r="DA31">
        <v>11</v>
      </c>
      <c r="DB31">
        <v>7260</v>
      </c>
      <c r="DC31">
        <v>2320</v>
      </c>
    </row>
    <row r="32" spans="1:129" x14ac:dyDescent="0.25">
      <c r="A32" s="24" t="s">
        <v>903</v>
      </c>
      <c r="B32" s="24"/>
      <c r="C32" s="24">
        <v>0.25</v>
      </c>
      <c r="D32" s="24"/>
      <c r="E32" s="24"/>
      <c r="F32" s="24"/>
      <c r="G32" s="24">
        <f t="shared" si="10"/>
        <v>0.25</v>
      </c>
      <c r="H32" s="24">
        <v>8</v>
      </c>
      <c r="I32" s="24">
        <v>1.5</v>
      </c>
      <c r="J32" s="24" t="s">
        <v>101</v>
      </c>
      <c r="L32" s="24"/>
      <c r="R32" s="24">
        <v>2.375</v>
      </c>
      <c r="AI32" t="s">
        <v>47</v>
      </c>
      <c r="AJ32" t="s">
        <v>63</v>
      </c>
      <c r="AK32">
        <v>0.88</v>
      </c>
      <c r="CV32" t="s">
        <v>128</v>
      </c>
      <c r="CW32">
        <v>14</v>
      </c>
      <c r="CX32" t="s">
        <v>215</v>
      </c>
      <c r="CY32" t="s">
        <v>216</v>
      </c>
      <c r="CZ32">
        <v>144</v>
      </c>
      <c r="DA32">
        <v>12</v>
      </c>
      <c r="DB32">
        <v>7260</v>
      </c>
      <c r="DC32">
        <v>2320</v>
      </c>
    </row>
    <row r="33" spans="1:107" x14ac:dyDescent="0.25">
      <c r="A33" s="24" t="s">
        <v>883</v>
      </c>
      <c r="B33" s="24"/>
      <c r="C33" s="24">
        <v>0.25</v>
      </c>
      <c r="D33" s="24"/>
      <c r="E33" s="24"/>
      <c r="F33" s="24"/>
      <c r="G33" s="24">
        <f t="shared" si="10"/>
        <v>0.25</v>
      </c>
      <c r="H33" s="24">
        <v>13</v>
      </c>
      <c r="I33" s="24">
        <v>2</v>
      </c>
      <c r="J33" s="24" t="s">
        <v>103</v>
      </c>
      <c r="L33" s="24"/>
      <c r="R33" s="24">
        <v>2.875</v>
      </c>
      <c r="AI33" t="s">
        <v>48</v>
      </c>
      <c r="AJ33" t="s">
        <v>64</v>
      </c>
      <c r="AK33">
        <v>0.85</v>
      </c>
      <c r="CV33" t="s">
        <v>128</v>
      </c>
      <c r="CW33">
        <v>15</v>
      </c>
      <c r="CX33" t="s">
        <v>217</v>
      </c>
      <c r="CY33" t="s">
        <v>218</v>
      </c>
      <c r="CZ33">
        <v>122</v>
      </c>
      <c r="DA33">
        <v>14</v>
      </c>
      <c r="DB33">
        <v>7260</v>
      </c>
      <c r="DC33">
        <v>2320</v>
      </c>
    </row>
    <row r="34" spans="1:107" x14ac:dyDescent="0.25">
      <c r="A34" s="24" t="s">
        <v>884</v>
      </c>
      <c r="B34" s="24"/>
      <c r="C34" s="24">
        <v>0.25</v>
      </c>
      <c r="D34" s="24"/>
      <c r="E34" s="24"/>
      <c r="F34" s="24"/>
      <c r="G34" s="24">
        <f t="shared" si="10"/>
        <v>0.25</v>
      </c>
      <c r="H34" s="24">
        <v>13.5</v>
      </c>
      <c r="I34" s="24">
        <v>2</v>
      </c>
      <c r="J34" s="24" t="s">
        <v>103</v>
      </c>
      <c r="L34" s="24"/>
      <c r="R34" s="24">
        <v>2.875</v>
      </c>
      <c r="CV34" t="s">
        <v>129</v>
      </c>
      <c r="CW34">
        <v>1</v>
      </c>
      <c r="CX34" t="s">
        <v>219</v>
      </c>
      <c r="CY34" t="s">
        <v>220</v>
      </c>
      <c r="CZ34">
        <v>192.18</v>
      </c>
      <c r="DA34">
        <v>9.1</v>
      </c>
      <c r="DB34">
        <v>12800</v>
      </c>
      <c r="DC34">
        <v>3610</v>
      </c>
    </row>
    <row r="35" spans="1:107" x14ac:dyDescent="0.25">
      <c r="A35" s="24" t="s">
        <v>885</v>
      </c>
      <c r="B35" s="24"/>
      <c r="C35" s="24">
        <v>0.25</v>
      </c>
      <c r="D35" s="24"/>
      <c r="E35" s="24"/>
      <c r="F35" s="24"/>
      <c r="G35" s="24">
        <f t="shared" si="10"/>
        <v>0.25</v>
      </c>
      <c r="H35" s="24">
        <v>17</v>
      </c>
      <c r="I35" s="24">
        <v>2.4375</v>
      </c>
      <c r="J35" s="24" t="s">
        <v>6</v>
      </c>
      <c r="L35" s="24"/>
      <c r="R35" s="24">
        <v>3.5</v>
      </c>
      <c r="CV35" t="s">
        <v>129</v>
      </c>
      <c r="CW35">
        <v>2</v>
      </c>
      <c r="CX35" t="s">
        <v>221</v>
      </c>
      <c r="CY35" t="s">
        <v>222</v>
      </c>
      <c r="CZ35">
        <v>179.37</v>
      </c>
      <c r="DA35">
        <v>9.8000000000000007</v>
      </c>
      <c r="DB35">
        <v>12800</v>
      </c>
      <c r="DC35">
        <v>3610</v>
      </c>
    </row>
    <row r="36" spans="1:107" x14ac:dyDescent="0.25">
      <c r="A36" s="24" t="s">
        <v>886</v>
      </c>
      <c r="B36" s="24"/>
      <c r="C36" s="24">
        <v>0.25</v>
      </c>
      <c r="D36" s="24"/>
      <c r="E36" s="24"/>
      <c r="F36" s="24"/>
      <c r="G36" s="24">
        <f t="shared" si="10"/>
        <v>0.25</v>
      </c>
      <c r="H36" s="24">
        <v>20</v>
      </c>
      <c r="I36" s="24">
        <v>2.9380000000000002</v>
      </c>
      <c r="J36" s="24" t="s">
        <v>6</v>
      </c>
      <c r="L36" s="24"/>
      <c r="R36" s="24">
        <v>3.5</v>
      </c>
      <c r="CV36" t="s">
        <v>129</v>
      </c>
      <c r="CW36">
        <v>3</v>
      </c>
      <c r="CX36" t="s">
        <v>223</v>
      </c>
      <c r="CY36" t="s">
        <v>224</v>
      </c>
      <c r="CZ36">
        <v>154.02000000000001</v>
      </c>
      <c r="DA36">
        <v>11</v>
      </c>
      <c r="DB36">
        <v>13700</v>
      </c>
      <c r="DC36">
        <v>3460</v>
      </c>
    </row>
    <row r="37" spans="1:107" x14ac:dyDescent="0.25">
      <c r="A37" s="24" t="s">
        <v>887</v>
      </c>
      <c r="B37" s="24"/>
      <c r="C37" s="24">
        <v>0.25</v>
      </c>
      <c r="D37" s="24"/>
      <c r="E37" s="24"/>
      <c r="F37" s="24"/>
      <c r="G37" s="24">
        <f t="shared" si="10"/>
        <v>0.25</v>
      </c>
      <c r="H37" s="24">
        <v>24</v>
      </c>
      <c r="I37" s="24">
        <v>2.9380000000000002</v>
      </c>
      <c r="J37" s="24" t="s">
        <v>106</v>
      </c>
      <c r="L37" s="24"/>
      <c r="R37" s="24">
        <v>4</v>
      </c>
      <c r="CV37" t="s">
        <v>129</v>
      </c>
      <c r="CW37">
        <v>4</v>
      </c>
      <c r="CX37" t="s">
        <v>225</v>
      </c>
      <c r="CY37" t="s">
        <v>226</v>
      </c>
      <c r="CZ37">
        <v>135.28</v>
      </c>
      <c r="DA37">
        <v>13</v>
      </c>
      <c r="DB37">
        <v>13700</v>
      </c>
      <c r="DC37">
        <v>3460</v>
      </c>
    </row>
    <row r="38" spans="1:107" x14ac:dyDescent="0.25">
      <c r="A38" s="24" t="s">
        <v>888</v>
      </c>
      <c r="B38" s="24"/>
      <c r="C38" s="24">
        <v>0.25</v>
      </c>
      <c r="D38" s="24"/>
      <c r="E38" s="24"/>
      <c r="F38" s="24"/>
      <c r="G38" s="24">
        <f t="shared" si="10"/>
        <v>0.25</v>
      </c>
      <c r="H38" s="24">
        <v>25</v>
      </c>
      <c r="I38" s="24">
        <v>2.9380000000000002</v>
      </c>
      <c r="J38" s="24" t="s">
        <v>106</v>
      </c>
      <c r="L38" s="24"/>
      <c r="R38" s="24">
        <v>4</v>
      </c>
      <c r="CV38" t="s">
        <v>129</v>
      </c>
      <c r="CW38">
        <v>5</v>
      </c>
      <c r="CX38" t="s">
        <v>227</v>
      </c>
      <c r="CY38" t="s">
        <v>228</v>
      </c>
      <c r="CZ38">
        <v>128.52000000000001</v>
      </c>
      <c r="DA38">
        <v>14</v>
      </c>
      <c r="DB38">
        <v>13700</v>
      </c>
      <c r="DC38">
        <v>3460</v>
      </c>
    </row>
    <row r="39" spans="1:107" x14ac:dyDescent="0.25">
      <c r="A39" s="24" t="s">
        <v>889</v>
      </c>
      <c r="B39" s="24"/>
      <c r="C39" s="24">
        <v>0.25</v>
      </c>
      <c r="D39" s="24"/>
      <c r="E39" s="24"/>
      <c r="F39" s="24"/>
      <c r="G39" s="24">
        <f t="shared" si="10"/>
        <v>0.25</v>
      </c>
      <c r="H39" s="24">
        <v>31</v>
      </c>
      <c r="I39" s="24">
        <v>3.4375</v>
      </c>
      <c r="J39" s="24" t="s">
        <v>106</v>
      </c>
      <c r="L39" s="24"/>
      <c r="R39" s="24">
        <v>4</v>
      </c>
      <c r="CV39" t="s">
        <v>129</v>
      </c>
      <c r="CW39">
        <v>6</v>
      </c>
      <c r="CX39" t="s">
        <v>229</v>
      </c>
      <c r="CY39" t="s">
        <v>230</v>
      </c>
      <c r="CZ39">
        <v>113.56</v>
      </c>
      <c r="DA39">
        <v>15</v>
      </c>
      <c r="DB39">
        <v>13700</v>
      </c>
      <c r="DC39">
        <v>3460</v>
      </c>
    </row>
    <row r="40" spans="1:107" x14ac:dyDescent="0.25">
      <c r="A40" s="24" t="s">
        <v>890</v>
      </c>
      <c r="B40" s="24"/>
      <c r="C40" s="24">
        <v>0.25</v>
      </c>
      <c r="D40" s="24"/>
      <c r="E40" s="24"/>
      <c r="F40" s="24"/>
      <c r="G40" s="24">
        <f t="shared" si="10"/>
        <v>0.25</v>
      </c>
      <c r="H40" s="24">
        <v>43</v>
      </c>
      <c r="I40" s="24">
        <v>3.4375</v>
      </c>
      <c r="J40" s="24" t="s">
        <v>108</v>
      </c>
      <c r="L40" s="24"/>
      <c r="R40" s="24">
        <v>4.5</v>
      </c>
      <c r="CV40" t="s">
        <v>129</v>
      </c>
      <c r="CW40">
        <v>7</v>
      </c>
      <c r="CX40" t="s">
        <v>231</v>
      </c>
      <c r="CY40" t="s">
        <v>232</v>
      </c>
      <c r="CZ40">
        <v>97.05</v>
      </c>
      <c r="DA40">
        <v>18</v>
      </c>
      <c r="DB40">
        <v>13700</v>
      </c>
      <c r="DC40">
        <v>3460</v>
      </c>
    </row>
    <row r="41" spans="1:107" x14ac:dyDescent="0.25">
      <c r="A41" s="24" t="s">
        <v>904</v>
      </c>
      <c r="B41" s="24"/>
      <c r="C41" s="24">
        <v>0.25</v>
      </c>
      <c r="D41" s="24"/>
      <c r="E41" s="24"/>
      <c r="F41" s="24"/>
      <c r="G41" s="24">
        <f t="shared" si="10"/>
        <v>0.25</v>
      </c>
      <c r="H41" s="24">
        <v>8</v>
      </c>
      <c r="I41" s="24">
        <v>1.5</v>
      </c>
      <c r="J41" s="24" t="s">
        <v>101</v>
      </c>
      <c r="L41" s="24"/>
      <c r="R41" s="24">
        <v>2.375</v>
      </c>
      <c r="CV41" t="s">
        <v>129</v>
      </c>
      <c r="CW41">
        <v>8</v>
      </c>
      <c r="CX41" t="s">
        <v>233</v>
      </c>
      <c r="CY41" t="s">
        <v>234</v>
      </c>
      <c r="CZ41">
        <v>88.97</v>
      </c>
      <c r="DA41">
        <v>20</v>
      </c>
      <c r="DB41">
        <v>13700</v>
      </c>
      <c r="DC41">
        <v>3460</v>
      </c>
    </row>
    <row r="42" spans="1:107" x14ac:dyDescent="0.25">
      <c r="A42" s="24" t="s">
        <v>891</v>
      </c>
      <c r="B42" s="24"/>
      <c r="C42" s="24">
        <v>0.375</v>
      </c>
      <c r="D42" s="24"/>
      <c r="E42" s="24"/>
      <c r="F42" s="24"/>
      <c r="G42" s="24">
        <f t="shared" si="10"/>
        <v>0.375</v>
      </c>
      <c r="H42" s="24">
        <v>16</v>
      </c>
      <c r="I42" s="24">
        <v>2</v>
      </c>
      <c r="J42" s="24" t="s">
        <v>103</v>
      </c>
      <c r="L42" s="24"/>
      <c r="R42" s="24">
        <v>2.875</v>
      </c>
      <c r="CV42" t="s">
        <v>129</v>
      </c>
      <c r="CW42">
        <v>9</v>
      </c>
      <c r="CX42" t="s">
        <v>235</v>
      </c>
      <c r="CY42" t="s">
        <v>236</v>
      </c>
      <c r="CZ42">
        <v>78.069999999999993</v>
      </c>
      <c r="DA42">
        <v>22</v>
      </c>
      <c r="DB42">
        <v>13700</v>
      </c>
      <c r="DC42">
        <v>3460</v>
      </c>
    </row>
    <row r="43" spans="1:107" x14ac:dyDescent="0.25">
      <c r="A43" s="24" t="s">
        <v>892</v>
      </c>
      <c r="B43" s="24"/>
      <c r="C43" s="24">
        <v>0.375</v>
      </c>
      <c r="D43" s="24"/>
      <c r="E43" s="24"/>
      <c r="F43" s="24"/>
      <c r="G43" s="24">
        <f t="shared" si="10"/>
        <v>0.375</v>
      </c>
      <c r="H43" s="24">
        <v>16.5</v>
      </c>
      <c r="I43" s="24">
        <v>2</v>
      </c>
      <c r="J43" s="24" t="s">
        <v>103</v>
      </c>
      <c r="L43" s="24"/>
      <c r="R43" s="24">
        <v>2.875</v>
      </c>
      <c r="CV43" t="s">
        <v>129</v>
      </c>
      <c r="CW43">
        <v>10</v>
      </c>
      <c r="CX43" t="s">
        <v>237</v>
      </c>
      <c r="CY43" t="s">
        <v>238</v>
      </c>
      <c r="CZ43">
        <v>73.989999999999995</v>
      </c>
      <c r="DA43">
        <v>24</v>
      </c>
      <c r="DB43">
        <v>13700</v>
      </c>
      <c r="DC43">
        <v>3460</v>
      </c>
    </row>
    <row r="44" spans="1:107" x14ac:dyDescent="0.25">
      <c r="A44" s="24" t="s">
        <v>893</v>
      </c>
      <c r="B44" s="24"/>
      <c r="C44" s="24">
        <v>0.375</v>
      </c>
      <c r="D44" s="24"/>
      <c r="E44" s="24"/>
      <c r="F44" s="24"/>
      <c r="G44" s="24">
        <f t="shared" si="10"/>
        <v>0.375</v>
      </c>
      <c r="H44" s="24">
        <v>22.3</v>
      </c>
      <c r="I44" s="24">
        <v>2.9380000000000002</v>
      </c>
      <c r="J44" s="24" t="s">
        <v>106</v>
      </c>
      <c r="L44" s="24"/>
      <c r="R44" s="24">
        <v>4</v>
      </c>
      <c r="CV44" t="s">
        <v>129</v>
      </c>
      <c r="CW44">
        <v>11</v>
      </c>
      <c r="CX44" t="s">
        <v>239</v>
      </c>
      <c r="CY44" t="s">
        <v>240</v>
      </c>
      <c r="CZ44">
        <v>64.75</v>
      </c>
      <c r="DA44">
        <v>27</v>
      </c>
      <c r="DB44">
        <v>13700</v>
      </c>
      <c r="DC44">
        <v>3460</v>
      </c>
    </row>
    <row r="45" spans="1:107" x14ac:dyDescent="0.25">
      <c r="A45" s="24" t="s">
        <v>894</v>
      </c>
      <c r="B45" s="24"/>
      <c r="C45" s="24">
        <v>0.375</v>
      </c>
      <c r="D45" s="24"/>
      <c r="E45" s="24"/>
      <c r="F45" s="24"/>
      <c r="G45" s="24">
        <f t="shared" si="10"/>
        <v>0.375</v>
      </c>
      <c r="H45" s="24">
        <v>27.5</v>
      </c>
      <c r="I45" s="24">
        <v>2.9380000000000002</v>
      </c>
      <c r="J45" s="24" t="s">
        <v>106</v>
      </c>
      <c r="L45" s="24"/>
      <c r="R45" s="24">
        <v>4</v>
      </c>
      <c r="CV45" t="s">
        <v>129</v>
      </c>
      <c r="CW45">
        <v>12</v>
      </c>
      <c r="CX45" t="s">
        <v>241</v>
      </c>
      <c r="CY45" t="s">
        <v>242</v>
      </c>
      <c r="CZ45">
        <v>58.34</v>
      </c>
      <c r="DA45">
        <v>30</v>
      </c>
      <c r="DB45">
        <v>13700</v>
      </c>
      <c r="DC45">
        <v>3460</v>
      </c>
    </row>
    <row r="46" spans="1:107" x14ac:dyDescent="0.25">
      <c r="A46" s="24" t="s">
        <v>895</v>
      </c>
      <c r="B46" s="24"/>
      <c r="C46" s="24">
        <v>0.375</v>
      </c>
      <c r="D46" s="24"/>
      <c r="E46" s="24"/>
      <c r="F46" s="24"/>
      <c r="G46" s="24">
        <f t="shared" si="10"/>
        <v>0.375</v>
      </c>
      <c r="H46" s="24">
        <v>31</v>
      </c>
      <c r="I46" s="24">
        <v>2.9380000000000002</v>
      </c>
      <c r="J46" s="24" t="s">
        <v>106</v>
      </c>
      <c r="L46" s="24"/>
      <c r="R46" s="24">
        <v>4</v>
      </c>
      <c r="CV46" t="s">
        <v>129</v>
      </c>
      <c r="CW46">
        <v>13</v>
      </c>
      <c r="CX46" t="s">
        <v>243</v>
      </c>
      <c r="CY46" t="s">
        <v>244</v>
      </c>
      <c r="CZ46">
        <v>51.18</v>
      </c>
      <c r="DA46">
        <v>34</v>
      </c>
      <c r="DB46">
        <v>13700</v>
      </c>
      <c r="DC46">
        <v>3460</v>
      </c>
    </row>
    <row r="47" spans="1:107" x14ac:dyDescent="0.25">
      <c r="A47" s="24" t="s">
        <v>896</v>
      </c>
      <c r="B47" s="24"/>
      <c r="C47" s="24">
        <v>0.375</v>
      </c>
      <c r="D47" s="24"/>
      <c r="E47" s="24"/>
      <c r="F47" s="24"/>
      <c r="G47" s="24">
        <f t="shared" si="10"/>
        <v>0.375</v>
      </c>
      <c r="H47" s="24">
        <v>36</v>
      </c>
      <c r="I47" s="24">
        <v>3.4375</v>
      </c>
      <c r="J47" s="24" t="s">
        <v>108</v>
      </c>
      <c r="L47" s="24"/>
      <c r="R47" s="24">
        <v>4.5</v>
      </c>
      <c r="CV47" t="s">
        <v>129</v>
      </c>
      <c r="CW47">
        <v>14</v>
      </c>
      <c r="CX47" t="s">
        <v>245</v>
      </c>
      <c r="CY47" t="s">
        <v>246</v>
      </c>
      <c r="CZ47">
        <v>45.16</v>
      </c>
      <c r="DA47">
        <v>39</v>
      </c>
      <c r="DB47">
        <v>13700</v>
      </c>
      <c r="DC47">
        <v>3460</v>
      </c>
    </row>
    <row r="48" spans="1:107" x14ac:dyDescent="0.25">
      <c r="A48" s="24" t="s">
        <v>897</v>
      </c>
      <c r="B48" s="24"/>
      <c r="C48" s="24">
        <v>0.375</v>
      </c>
      <c r="D48" s="24"/>
      <c r="E48" s="24"/>
      <c r="F48" s="24"/>
      <c r="G48" s="24">
        <f t="shared" si="10"/>
        <v>0.375</v>
      </c>
      <c r="H48" s="24">
        <v>33.4</v>
      </c>
      <c r="I48" s="24">
        <v>3.4375</v>
      </c>
      <c r="J48" s="24" t="s">
        <v>108</v>
      </c>
      <c r="L48" s="24"/>
      <c r="R48" s="24">
        <v>4.5</v>
      </c>
      <c r="CV48" t="s">
        <v>129</v>
      </c>
      <c r="CW48">
        <v>15</v>
      </c>
      <c r="CX48" t="s">
        <v>247</v>
      </c>
      <c r="CY48" t="s">
        <v>248</v>
      </c>
      <c r="CZ48">
        <v>40.04</v>
      </c>
      <c r="DA48">
        <v>44</v>
      </c>
      <c r="DB48">
        <v>13700</v>
      </c>
      <c r="DC48">
        <v>3460</v>
      </c>
    </row>
    <row r="49" spans="1:107" x14ac:dyDescent="0.25">
      <c r="A49" s="24" t="s">
        <v>898</v>
      </c>
      <c r="B49" s="24"/>
      <c r="C49" s="24">
        <v>0.375</v>
      </c>
      <c r="D49" s="24"/>
      <c r="E49" s="24"/>
      <c r="F49" s="24"/>
      <c r="G49" s="24">
        <f t="shared" si="10"/>
        <v>0.375</v>
      </c>
      <c r="H49" s="24">
        <v>50</v>
      </c>
      <c r="I49" s="24">
        <v>3.4375</v>
      </c>
      <c r="J49" s="24" t="s">
        <v>108</v>
      </c>
      <c r="L49" s="24"/>
      <c r="R49" s="24">
        <v>4.5</v>
      </c>
      <c r="CV49" t="s">
        <v>130</v>
      </c>
      <c r="CW49">
        <v>1</v>
      </c>
      <c r="CX49" t="s">
        <v>249</v>
      </c>
      <c r="CY49" t="s">
        <v>250</v>
      </c>
      <c r="CZ49">
        <v>924</v>
      </c>
      <c r="DA49">
        <v>1.9</v>
      </c>
      <c r="DB49">
        <v>13700</v>
      </c>
      <c r="DC49">
        <v>3460</v>
      </c>
    </row>
    <row r="50" spans="1:107" x14ac:dyDescent="0.25">
      <c r="CV50" t="s">
        <v>130</v>
      </c>
      <c r="CW50">
        <v>2</v>
      </c>
      <c r="CX50" t="s">
        <v>251</v>
      </c>
      <c r="CY50" t="s">
        <v>252</v>
      </c>
      <c r="CZ50">
        <v>815</v>
      </c>
      <c r="DA50">
        <v>2.1</v>
      </c>
      <c r="DB50">
        <v>13700</v>
      </c>
      <c r="DC50">
        <v>3460</v>
      </c>
    </row>
    <row r="51" spans="1:107" x14ac:dyDescent="0.25">
      <c r="CV51" t="s">
        <v>130</v>
      </c>
      <c r="CW51">
        <v>3</v>
      </c>
      <c r="CX51" t="s">
        <v>253</v>
      </c>
      <c r="CY51" t="s">
        <v>254</v>
      </c>
      <c r="CZ51">
        <v>709</v>
      </c>
      <c r="DA51">
        <v>2.5</v>
      </c>
      <c r="DB51">
        <v>13700</v>
      </c>
      <c r="DC51">
        <v>3460</v>
      </c>
    </row>
    <row r="52" spans="1:107" x14ac:dyDescent="0.25">
      <c r="CV52" t="s">
        <v>130</v>
      </c>
      <c r="CW52">
        <v>4</v>
      </c>
      <c r="CX52" t="s">
        <v>255</v>
      </c>
      <c r="CY52" t="s">
        <v>256</v>
      </c>
      <c r="CZ52">
        <v>622</v>
      </c>
      <c r="DA52">
        <v>2.8</v>
      </c>
      <c r="DB52">
        <v>13700</v>
      </c>
      <c r="DC52">
        <v>3460</v>
      </c>
    </row>
    <row r="53" spans="1:107" x14ac:dyDescent="0.25">
      <c r="CV53" t="s">
        <v>130</v>
      </c>
      <c r="CW53">
        <v>5</v>
      </c>
      <c r="CX53" t="s">
        <v>257</v>
      </c>
      <c r="CY53" t="s">
        <v>258</v>
      </c>
      <c r="CZ53">
        <v>552</v>
      </c>
      <c r="DA53">
        <v>3.2</v>
      </c>
      <c r="DB53">
        <v>13700</v>
      </c>
      <c r="DC53">
        <v>3460</v>
      </c>
    </row>
    <row r="54" spans="1:107" x14ac:dyDescent="0.25">
      <c r="CV54" t="s">
        <v>130</v>
      </c>
      <c r="CW54">
        <v>6</v>
      </c>
      <c r="CX54" t="s">
        <v>259</v>
      </c>
      <c r="CY54" t="s">
        <v>260</v>
      </c>
      <c r="CZ54">
        <v>485</v>
      </c>
      <c r="DA54">
        <v>3.6</v>
      </c>
      <c r="DB54">
        <v>13700</v>
      </c>
      <c r="DC54">
        <v>3460</v>
      </c>
    </row>
    <row r="55" spans="1:107" x14ac:dyDescent="0.25">
      <c r="CV55" t="s">
        <v>130</v>
      </c>
      <c r="CW55">
        <v>7</v>
      </c>
      <c r="CX55" t="s">
        <v>261</v>
      </c>
      <c r="CY55" t="s">
        <v>262</v>
      </c>
      <c r="CZ55">
        <v>428</v>
      </c>
      <c r="DA55">
        <v>4.0999999999999996</v>
      </c>
      <c r="DB55">
        <v>13700</v>
      </c>
      <c r="DC55">
        <v>3460</v>
      </c>
    </row>
    <row r="56" spans="1:107" x14ac:dyDescent="0.25">
      <c r="CV56" t="s">
        <v>130</v>
      </c>
      <c r="CW56">
        <v>8</v>
      </c>
      <c r="CX56" t="s">
        <v>263</v>
      </c>
      <c r="CY56" t="s">
        <v>264</v>
      </c>
      <c r="CZ56">
        <v>367</v>
      </c>
      <c r="DA56">
        <v>4.8</v>
      </c>
      <c r="DB56">
        <v>13700</v>
      </c>
      <c r="DC56">
        <v>3460</v>
      </c>
    </row>
    <row r="57" spans="1:107" x14ac:dyDescent="0.25">
      <c r="A57" s="24" t="s">
        <v>6</v>
      </c>
      <c r="B57" s="24">
        <v>3.5</v>
      </c>
      <c r="CV57" t="s">
        <v>130</v>
      </c>
      <c r="CW57">
        <v>9</v>
      </c>
      <c r="CX57" t="s">
        <v>265</v>
      </c>
      <c r="CY57" t="s">
        <v>266</v>
      </c>
      <c r="CZ57">
        <v>328</v>
      </c>
      <c r="DA57">
        <v>5.3</v>
      </c>
      <c r="DB57">
        <v>13700</v>
      </c>
      <c r="DC57">
        <v>3460</v>
      </c>
    </row>
    <row r="58" spans="1:107" x14ac:dyDescent="0.25">
      <c r="A58" s="24" t="s">
        <v>105</v>
      </c>
      <c r="B58" s="24">
        <v>3.5</v>
      </c>
      <c r="CV58" t="s">
        <v>130</v>
      </c>
      <c r="CW58">
        <v>10</v>
      </c>
      <c r="CX58" t="s">
        <v>267</v>
      </c>
      <c r="CY58" t="s">
        <v>268</v>
      </c>
      <c r="CZ58">
        <v>290</v>
      </c>
      <c r="DA58">
        <v>6</v>
      </c>
      <c r="DB58">
        <v>13700</v>
      </c>
      <c r="DC58">
        <v>3460</v>
      </c>
    </row>
    <row r="59" spans="1:107" x14ac:dyDescent="0.25">
      <c r="A59" s="24" t="s">
        <v>106</v>
      </c>
      <c r="B59" s="24">
        <v>4</v>
      </c>
      <c r="CV59" t="s">
        <v>130</v>
      </c>
      <c r="CW59">
        <v>11</v>
      </c>
      <c r="CX59" t="s">
        <v>269</v>
      </c>
      <c r="CY59" t="s">
        <v>270</v>
      </c>
      <c r="CZ59">
        <v>252</v>
      </c>
      <c r="DA59">
        <v>6.9</v>
      </c>
      <c r="DB59">
        <v>13700</v>
      </c>
      <c r="DC59">
        <v>3460</v>
      </c>
    </row>
    <row r="60" spans="1:107" x14ac:dyDescent="0.25">
      <c r="A60" s="24" t="s">
        <v>107</v>
      </c>
      <c r="B60" s="24">
        <v>4</v>
      </c>
      <c r="CV60" t="s">
        <v>130</v>
      </c>
      <c r="CW60">
        <v>12</v>
      </c>
      <c r="CX60" t="s">
        <v>271</v>
      </c>
      <c r="CY60" t="s">
        <v>272</v>
      </c>
      <c r="CZ60">
        <v>221</v>
      </c>
      <c r="DA60">
        <v>7.9</v>
      </c>
      <c r="DB60">
        <v>13700</v>
      </c>
      <c r="DC60">
        <v>3460</v>
      </c>
    </row>
    <row r="61" spans="1:107" x14ac:dyDescent="0.25">
      <c r="A61" s="24" t="s">
        <v>108</v>
      </c>
      <c r="B61" s="24">
        <v>4.5</v>
      </c>
      <c r="CV61" t="s">
        <v>130</v>
      </c>
      <c r="CW61">
        <v>13</v>
      </c>
      <c r="CX61" t="s">
        <v>273</v>
      </c>
      <c r="CY61" t="s">
        <v>274</v>
      </c>
      <c r="CZ61">
        <v>195</v>
      </c>
      <c r="DA61">
        <v>9</v>
      </c>
      <c r="DB61">
        <v>13700</v>
      </c>
      <c r="DC61">
        <v>3460</v>
      </c>
    </row>
    <row r="62" spans="1:107" x14ac:dyDescent="0.25">
      <c r="A62" s="24" t="s">
        <v>109</v>
      </c>
      <c r="B62" s="24">
        <v>4.5</v>
      </c>
      <c r="CV62" t="s">
        <v>130</v>
      </c>
      <c r="CW62">
        <v>14</v>
      </c>
      <c r="CX62" t="s">
        <v>275</v>
      </c>
      <c r="CY62" t="s">
        <v>276</v>
      </c>
      <c r="CZ62">
        <v>175</v>
      </c>
      <c r="DA62">
        <v>10</v>
      </c>
      <c r="DB62">
        <v>13700</v>
      </c>
      <c r="DC62">
        <v>3460</v>
      </c>
    </row>
    <row r="63" spans="1:107" x14ac:dyDescent="0.25">
      <c r="A63" s="24" t="s">
        <v>110</v>
      </c>
      <c r="B63" s="24">
        <v>5.5629999999999997</v>
      </c>
      <c r="CV63" t="s">
        <v>130</v>
      </c>
      <c r="CW63">
        <v>15</v>
      </c>
      <c r="CX63" t="s">
        <v>277</v>
      </c>
      <c r="CY63" t="s">
        <v>278</v>
      </c>
      <c r="CZ63">
        <v>154</v>
      </c>
      <c r="DA63">
        <v>11</v>
      </c>
      <c r="DB63">
        <v>13700</v>
      </c>
      <c r="DC63">
        <v>3460</v>
      </c>
    </row>
    <row r="64" spans="1:107" x14ac:dyDescent="0.25">
      <c r="A64" s="24" t="s">
        <v>111</v>
      </c>
      <c r="B64" s="24">
        <v>5.5629999999999997</v>
      </c>
      <c r="CV64" t="s">
        <v>131</v>
      </c>
      <c r="CW64">
        <v>1</v>
      </c>
      <c r="CX64" t="s">
        <v>279</v>
      </c>
      <c r="CY64" t="s">
        <v>280</v>
      </c>
      <c r="CZ64">
        <v>197.37</v>
      </c>
      <c r="DA64">
        <v>8.9</v>
      </c>
      <c r="DB64">
        <v>23900</v>
      </c>
      <c r="DC64">
        <v>6130</v>
      </c>
    </row>
    <row r="65" spans="1:107" x14ac:dyDescent="0.25">
      <c r="A65" s="24" t="s">
        <v>112</v>
      </c>
      <c r="B65" s="24">
        <v>6.625</v>
      </c>
      <c r="CV65" t="s">
        <v>131</v>
      </c>
      <c r="CW65">
        <v>2</v>
      </c>
      <c r="CX65" t="s">
        <v>281</v>
      </c>
      <c r="CY65" t="s">
        <v>282</v>
      </c>
      <c r="CZ65">
        <v>174.19</v>
      </c>
      <c r="DA65">
        <v>10</v>
      </c>
      <c r="DB65">
        <v>23900</v>
      </c>
      <c r="DC65">
        <v>6130</v>
      </c>
    </row>
    <row r="66" spans="1:107" x14ac:dyDescent="0.25">
      <c r="A66" s="24" t="s">
        <v>113</v>
      </c>
      <c r="B66" s="24">
        <v>6.625</v>
      </c>
      <c r="CV66" t="s">
        <v>131</v>
      </c>
      <c r="CW66">
        <v>3</v>
      </c>
      <c r="CX66" t="s">
        <v>283</v>
      </c>
      <c r="CY66" t="s">
        <v>284</v>
      </c>
      <c r="CZ66">
        <v>164.34</v>
      </c>
      <c r="DA66">
        <v>11</v>
      </c>
      <c r="DB66">
        <v>23900</v>
      </c>
      <c r="DC66">
        <v>6130</v>
      </c>
    </row>
    <row r="67" spans="1:107" x14ac:dyDescent="0.25">
      <c r="A67" s="24" t="s">
        <v>114</v>
      </c>
      <c r="B67" s="24">
        <v>8.625</v>
      </c>
      <c r="CV67" t="s">
        <v>131</v>
      </c>
      <c r="CW67">
        <v>4</v>
      </c>
      <c r="CX67" t="s">
        <v>285</v>
      </c>
      <c r="CY67" t="s">
        <v>286</v>
      </c>
      <c r="CZ67">
        <v>147.32</v>
      </c>
      <c r="DA67">
        <v>12</v>
      </c>
      <c r="DB67">
        <v>23900</v>
      </c>
      <c r="DC67">
        <v>6130</v>
      </c>
    </row>
    <row r="68" spans="1:107" x14ac:dyDescent="0.25">
      <c r="A68" s="24" t="s">
        <v>115</v>
      </c>
      <c r="B68" s="24">
        <v>8.625</v>
      </c>
      <c r="CV68" t="s">
        <v>131</v>
      </c>
      <c r="CW68">
        <v>5</v>
      </c>
      <c r="CX68" t="s">
        <v>287</v>
      </c>
      <c r="CY68" t="s">
        <v>288</v>
      </c>
      <c r="CZ68">
        <v>126.91</v>
      </c>
      <c r="DA68">
        <v>14</v>
      </c>
      <c r="DB68">
        <v>23900</v>
      </c>
      <c r="DC68">
        <v>6130</v>
      </c>
    </row>
    <row r="69" spans="1:107" x14ac:dyDescent="0.25">
      <c r="A69" s="24" t="s">
        <v>116</v>
      </c>
      <c r="B69" s="24">
        <v>10.75</v>
      </c>
      <c r="CV69" t="s">
        <v>131</v>
      </c>
      <c r="CW69">
        <v>6</v>
      </c>
      <c r="CX69" t="s">
        <v>289</v>
      </c>
      <c r="CY69" t="s">
        <v>290</v>
      </c>
      <c r="CZ69">
        <v>115.82</v>
      </c>
      <c r="DA69">
        <v>15</v>
      </c>
      <c r="DB69">
        <v>23900</v>
      </c>
      <c r="DC69">
        <v>6130</v>
      </c>
    </row>
    <row r="70" spans="1:107" x14ac:dyDescent="0.25">
      <c r="A70" s="24" t="s">
        <v>739</v>
      </c>
      <c r="B70" s="24">
        <v>10.75</v>
      </c>
      <c r="CV70" t="s">
        <v>131</v>
      </c>
      <c r="CW70">
        <v>7</v>
      </c>
      <c r="CX70" t="s">
        <v>291</v>
      </c>
      <c r="CY70" t="s">
        <v>292</v>
      </c>
      <c r="CZ70">
        <v>102.71</v>
      </c>
      <c r="DA70">
        <v>17</v>
      </c>
      <c r="DB70">
        <v>23900</v>
      </c>
      <c r="DC70">
        <v>6130</v>
      </c>
    </row>
    <row r="71" spans="1:107" x14ac:dyDescent="0.25">
      <c r="A71" s="24" t="s">
        <v>118</v>
      </c>
      <c r="B71" s="24">
        <v>12.75</v>
      </c>
      <c r="CV71" t="s">
        <v>131</v>
      </c>
      <c r="CW71">
        <v>8</v>
      </c>
      <c r="CX71" t="s">
        <v>293</v>
      </c>
      <c r="CY71" t="s">
        <v>294</v>
      </c>
      <c r="CZ71">
        <v>86.34</v>
      </c>
      <c r="DA71">
        <v>20</v>
      </c>
      <c r="DB71">
        <v>23900</v>
      </c>
      <c r="DC71">
        <v>6130</v>
      </c>
    </row>
    <row r="72" spans="1:107" x14ac:dyDescent="0.25">
      <c r="A72" s="24" t="s">
        <v>119</v>
      </c>
      <c r="B72" s="24">
        <v>12.75</v>
      </c>
      <c r="CV72" t="s">
        <v>131</v>
      </c>
      <c r="CW72">
        <v>9</v>
      </c>
      <c r="CX72" t="s">
        <v>295</v>
      </c>
      <c r="CY72" t="s">
        <v>296</v>
      </c>
      <c r="CZ72">
        <v>79.34</v>
      </c>
      <c r="DA72">
        <v>22</v>
      </c>
      <c r="DB72">
        <v>23900</v>
      </c>
      <c r="DC72">
        <v>5970</v>
      </c>
    </row>
    <row r="73" spans="1:107" x14ac:dyDescent="0.25">
      <c r="CV73" t="s">
        <v>131</v>
      </c>
      <c r="CW73">
        <v>10</v>
      </c>
      <c r="CX73" t="s">
        <v>297</v>
      </c>
      <c r="CY73" t="s">
        <v>298</v>
      </c>
      <c r="CZ73">
        <v>70.459999999999994</v>
      </c>
      <c r="DA73">
        <v>25</v>
      </c>
      <c r="DB73">
        <v>23900</v>
      </c>
      <c r="DC73">
        <v>5670</v>
      </c>
    </row>
    <row r="74" spans="1:107" x14ac:dyDescent="0.25">
      <c r="CV74" t="s">
        <v>131</v>
      </c>
      <c r="CW74">
        <v>11</v>
      </c>
      <c r="CX74" t="s">
        <v>299</v>
      </c>
      <c r="CY74" t="s">
        <v>300</v>
      </c>
      <c r="CZ74">
        <v>63</v>
      </c>
      <c r="DA74">
        <v>28</v>
      </c>
      <c r="DB74">
        <v>23900</v>
      </c>
      <c r="DC74">
        <v>5410</v>
      </c>
    </row>
    <row r="75" spans="1:107" x14ac:dyDescent="0.25">
      <c r="CV75" t="s">
        <v>131</v>
      </c>
      <c r="CW75">
        <v>12</v>
      </c>
      <c r="CX75" t="s">
        <v>301</v>
      </c>
      <c r="CY75" t="s">
        <v>302</v>
      </c>
      <c r="CZ75">
        <v>56.64</v>
      </c>
      <c r="DA75">
        <v>31</v>
      </c>
      <c r="DB75">
        <v>23900</v>
      </c>
      <c r="DC75">
        <v>5160</v>
      </c>
    </row>
    <row r="76" spans="1:107" x14ac:dyDescent="0.25">
      <c r="CV76" t="s">
        <v>131</v>
      </c>
      <c r="CW76">
        <v>13</v>
      </c>
      <c r="CX76" t="s">
        <v>303</v>
      </c>
      <c r="CY76" t="s">
        <v>304</v>
      </c>
      <c r="CZ76">
        <v>49.16</v>
      </c>
      <c r="DA76">
        <v>36</v>
      </c>
      <c r="DB76">
        <v>23900</v>
      </c>
      <c r="DC76">
        <v>4840</v>
      </c>
    </row>
    <row r="77" spans="1:107" x14ac:dyDescent="0.25">
      <c r="CV77" t="s">
        <v>131</v>
      </c>
      <c r="CW77">
        <v>14</v>
      </c>
      <c r="CX77" t="s">
        <v>305</v>
      </c>
      <c r="CY77" t="s">
        <v>306</v>
      </c>
      <c r="CZ77">
        <v>44.02</v>
      </c>
      <c r="DA77">
        <v>40</v>
      </c>
      <c r="DB77">
        <v>23000</v>
      </c>
      <c r="DC77">
        <v>4700</v>
      </c>
    </row>
    <row r="78" spans="1:107" x14ac:dyDescent="0.25">
      <c r="CV78" t="s">
        <v>131</v>
      </c>
      <c r="CW78">
        <v>15</v>
      </c>
      <c r="CX78" t="s">
        <v>307</v>
      </c>
      <c r="CY78" t="s">
        <v>308</v>
      </c>
      <c r="CZ78">
        <v>36.520000000000003</v>
      </c>
      <c r="DA78">
        <v>48</v>
      </c>
      <c r="DB78">
        <v>22100</v>
      </c>
      <c r="DC78">
        <v>4400</v>
      </c>
    </row>
    <row r="79" spans="1:107" x14ac:dyDescent="0.25">
      <c r="CV79" t="s">
        <v>132</v>
      </c>
      <c r="CW79">
        <v>1</v>
      </c>
      <c r="CX79" t="s">
        <v>309</v>
      </c>
      <c r="CY79" t="s">
        <v>310</v>
      </c>
      <c r="CZ79">
        <v>837</v>
      </c>
      <c r="DA79">
        <v>2.1</v>
      </c>
      <c r="DB79">
        <v>23900</v>
      </c>
      <c r="DC79">
        <v>6130</v>
      </c>
    </row>
    <row r="80" spans="1:107" x14ac:dyDescent="0.25">
      <c r="CV80" t="s">
        <v>132</v>
      </c>
      <c r="CW80">
        <v>2</v>
      </c>
      <c r="CX80" t="s">
        <v>311</v>
      </c>
      <c r="CY80" t="s">
        <v>312</v>
      </c>
      <c r="CZ80">
        <v>726</v>
      </c>
      <c r="DA80">
        <v>2.4</v>
      </c>
      <c r="DB80">
        <v>23900</v>
      </c>
      <c r="DC80">
        <v>6130</v>
      </c>
    </row>
    <row r="81" spans="100:107" x14ac:dyDescent="0.25">
      <c r="CV81" t="s">
        <v>132</v>
      </c>
      <c r="CW81">
        <v>3</v>
      </c>
      <c r="CX81" t="s">
        <v>313</v>
      </c>
      <c r="CY81" t="s">
        <v>314</v>
      </c>
      <c r="CZ81">
        <v>638</v>
      </c>
      <c r="DA81">
        <v>2.7</v>
      </c>
      <c r="DB81">
        <v>23900</v>
      </c>
      <c r="DC81">
        <v>6130</v>
      </c>
    </row>
    <row r="82" spans="100:107" x14ac:dyDescent="0.25">
      <c r="CV82" t="s">
        <v>132</v>
      </c>
      <c r="CW82">
        <v>4</v>
      </c>
      <c r="CX82" t="s">
        <v>315</v>
      </c>
      <c r="CY82" t="s">
        <v>316</v>
      </c>
      <c r="CZ82">
        <v>562</v>
      </c>
      <c r="DA82">
        <v>3.1</v>
      </c>
      <c r="DB82">
        <v>23900</v>
      </c>
      <c r="DC82">
        <v>6130</v>
      </c>
    </row>
    <row r="83" spans="100:107" x14ac:dyDescent="0.25">
      <c r="CV83" t="s">
        <v>132</v>
      </c>
      <c r="CW83">
        <v>5</v>
      </c>
      <c r="CX83" t="s">
        <v>317</v>
      </c>
      <c r="CY83" t="s">
        <v>318</v>
      </c>
      <c r="CZ83">
        <v>474</v>
      </c>
      <c r="DA83">
        <v>3.7</v>
      </c>
      <c r="DB83">
        <v>23900</v>
      </c>
      <c r="DC83">
        <v>6130</v>
      </c>
    </row>
    <row r="84" spans="100:107" x14ac:dyDescent="0.25">
      <c r="CV84" t="s">
        <v>132</v>
      </c>
      <c r="CW84">
        <v>6</v>
      </c>
      <c r="CX84" t="s">
        <v>319</v>
      </c>
      <c r="CY84" t="s">
        <v>320</v>
      </c>
      <c r="CZ84">
        <v>426</v>
      </c>
      <c r="DA84">
        <v>4.0999999999999996</v>
      </c>
      <c r="DB84">
        <v>23900</v>
      </c>
      <c r="DC84">
        <v>6130</v>
      </c>
    </row>
    <row r="85" spans="100:107" x14ac:dyDescent="0.25">
      <c r="CV85" t="s">
        <v>132</v>
      </c>
      <c r="CW85">
        <v>7</v>
      </c>
      <c r="CX85" t="s">
        <v>321</v>
      </c>
      <c r="CY85" t="s">
        <v>322</v>
      </c>
      <c r="CZ85">
        <v>373</v>
      </c>
      <c r="DA85">
        <v>4.7</v>
      </c>
      <c r="DB85">
        <v>23900</v>
      </c>
      <c r="DC85">
        <v>6130</v>
      </c>
    </row>
    <row r="86" spans="100:107" x14ac:dyDescent="0.25">
      <c r="CV86" t="s">
        <v>132</v>
      </c>
      <c r="CW86">
        <v>8</v>
      </c>
      <c r="CX86" t="s">
        <v>323</v>
      </c>
      <c r="CY86" t="s">
        <v>324</v>
      </c>
      <c r="CZ86">
        <v>330</v>
      </c>
      <c r="DA86">
        <v>5.3</v>
      </c>
      <c r="DB86">
        <v>23900</v>
      </c>
      <c r="DC86">
        <v>6130</v>
      </c>
    </row>
    <row r="87" spans="100:107" x14ac:dyDescent="0.25">
      <c r="CV87" t="s">
        <v>132</v>
      </c>
      <c r="CW87">
        <v>9</v>
      </c>
      <c r="CX87" t="s">
        <v>325</v>
      </c>
      <c r="CY87" t="s">
        <v>326</v>
      </c>
      <c r="CZ87">
        <v>294</v>
      </c>
      <c r="DA87">
        <v>6</v>
      </c>
      <c r="DB87">
        <v>23900</v>
      </c>
      <c r="DC87">
        <v>6130</v>
      </c>
    </row>
    <row r="88" spans="100:107" x14ac:dyDescent="0.25">
      <c r="CV88" t="s">
        <v>132</v>
      </c>
      <c r="CW88">
        <v>10</v>
      </c>
      <c r="CX88" t="s">
        <v>327</v>
      </c>
      <c r="CY88" t="s">
        <v>328</v>
      </c>
      <c r="CZ88">
        <v>250</v>
      </c>
      <c r="DA88">
        <v>7</v>
      </c>
      <c r="DB88">
        <v>23900</v>
      </c>
      <c r="DC88">
        <v>6130</v>
      </c>
    </row>
    <row r="89" spans="100:107" x14ac:dyDescent="0.25">
      <c r="CV89" t="s">
        <v>132</v>
      </c>
      <c r="CW89">
        <v>11</v>
      </c>
      <c r="CX89" t="s">
        <v>329</v>
      </c>
      <c r="CY89" t="s">
        <v>330</v>
      </c>
      <c r="CZ89">
        <v>236</v>
      </c>
      <c r="DA89">
        <v>7.4</v>
      </c>
      <c r="DB89">
        <v>23900</v>
      </c>
      <c r="DC89">
        <v>6130</v>
      </c>
    </row>
    <row r="90" spans="100:107" x14ac:dyDescent="0.25">
      <c r="CV90" t="s">
        <v>132</v>
      </c>
      <c r="CW90">
        <v>12</v>
      </c>
      <c r="CX90" t="s">
        <v>331</v>
      </c>
      <c r="CY90" t="s">
        <v>332</v>
      </c>
      <c r="CZ90">
        <v>201</v>
      </c>
      <c r="DA90">
        <v>8.6999999999999993</v>
      </c>
      <c r="DB90">
        <v>23900</v>
      </c>
      <c r="DC90">
        <v>6130</v>
      </c>
    </row>
    <row r="91" spans="100:107" x14ac:dyDescent="0.25">
      <c r="CV91" t="s">
        <v>132</v>
      </c>
      <c r="CW91">
        <v>13</v>
      </c>
      <c r="CX91" t="s">
        <v>333</v>
      </c>
      <c r="CY91" t="s">
        <v>334</v>
      </c>
      <c r="CZ91">
        <v>183</v>
      </c>
      <c r="DA91">
        <v>9.6</v>
      </c>
      <c r="DB91">
        <v>23900</v>
      </c>
      <c r="DC91">
        <v>6130</v>
      </c>
    </row>
    <row r="92" spans="100:107" x14ac:dyDescent="0.25">
      <c r="CV92" t="s">
        <v>132</v>
      </c>
      <c r="CW92">
        <v>14</v>
      </c>
      <c r="CX92" t="s">
        <v>335</v>
      </c>
      <c r="CY92" t="s">
        <v>336</v>
      </c>
      <c r="CZ92">
        <v>159</v>
      </c>
      <c r="DA92">
        <v>11</v>
      </c>
      <c r="DB92">
        <v>23900</v>
      </c>
      <c r="DC92">
        <v>6130</v>
      </c>
    </row>
    <row r="93" spans="100:107" x14ac:dyDescent="0.25">
      <c r="CV93" t="s">
        <v>132</v>
      </c>
      <c r="CW93">
        <v>15</v>
      </c>
      <c r="CX93" t="s">
        <v>337</v>
      </c>
      <c r="CY93" t="s">
        <v>338</v>
      </c>
      <c r="CZ93">
        <v>141</v>
      </c>
      <c r="DA93">
        <v>12</v>
      </c>
      <c r="DB93">
        <v>23900</v>
      </c>
      <c r="DC93">
        <v>6130</v>
      </c>
    </row>
    <row r="94" spans="100:107" x14ac:dyDescent="0.25">
      <c r="CV94" t="s">
        <v>133</v>
      </c>
      <c r="CW94">
        <v>1</v>
      </c>
      <c r="CX94" t="s">
        <v>339</v>
      </c>
      <c r="CY94" t="s">
        <v>340</v>
      </c>
      <c r="CZ94">
        <v>176.05</v>
      </c>
      <c r="DA94">
        <v>9.9</v>
      </c>
      <c r="DB94">
        <v>38100</v>
      </c>
      <c r="DC94">
        <v>8990</v>
      </c>
    </row>
    <row r="95" spans="100:107" x14ac:dyDescent="0.25">
      <c r="CV95" t="s">
        <v>133</v>
      </c>
      <c r="CW95">
        <v>2</v>
      </c>
      <c r="CX95" t="s">
        <v>341</v>
      </c>
      <c r="CY95" t="s">
        <v>342</v>
      </c>
      <c r="CZ95">
        <v>153.21</v>
      </c>
      <c r="DA95">
        <v>11</v>
      </c>
      <c r="DB95">
        <v>38100</v>
      </c>
      <c r="DC95">
        <v>8990</v>
      </c>
    </row>
    <row r="96" spans="100:107" x14ac:dyDescent="0.25">
      <c r="CV96" t="s">
        <v>133</v>
      </c>
      <c r="CW96">
        <v>3</v>
      </c>
      <c r="CX96" t="s">
        <v>343</v>
      </c>
      <c r="CY96" t="s">
        <v>344</v>
      </c>
      <c r="CZ96">
        <v>140.28</v>
      </c>
      <c r="DA96">
        <v>12</v>
      </c>
      <c r="DB96">
        <v>38100</v>
      </c>
      <c r="DC96">
        <v>8990</v>
      </c>
    </row>
    <row r="97" spans="100:107" x14ac:dyDescent="0.25">
      <c r="CV97" t="s">
        <v>133</v>
      </c>
      <c r="CW97">
        <v>4</v>
      </c>
      <c r="CX97" t="s">
        <v>345</v>
      </c>
      <c r="CY97" t="s">
        <v>346</v>
      </c>
      <c r="CZ97">
        <v>123.93</v>
      </c>
      <c r="DA97">
        <v>14</v>
      </c>
      <c r="DB97">
        <v>38100</v>
      </c>
      <c r="DC97">
        <v>8990</v>
      </c>
    </row>
    <row r="98" spans="100:107" x14ac:dyDescent="0.25">
      <c r="CV98" t="s">
        <v>133</v>
      </c>
      <c r="CW98">
        <v>5</v>
      </c>
      <c r="CX98" t="s">
        <v>347</v>
      </c>
      <c r="CY98" t="s">
        <v>348</v>
      </c>
      <c r="CZ98">
        <v>105.13</v>
      </c>
      <c r="DA98">
        <v>17</v>
      </c>
      <c r="DB98">
        <v>38100</v>
      </c>
      <c r="DC98">
        <v>8710</v>
      </c>
    </row>
    <row r="99" spans="100:107" x14ac:dyDescent="0.25">
      <c r="CV99" t="s">
        <v>133</v>
      </c>
      <c r="CW99">
        <v>6</v>
      </c>
      <c r="CX99" t="s">
        <v>349</v>
      </c>
      <c r="CY99" t="s">
        <v>350</v>
      </c>
      <c r="CZ99">
        <v>96.8</v>
      </c>
      <c r="DA99">
        <v>18</v>
      </c>
      <c r="DB99">
        <v>38100</v>
      </c>
      <c r="DC99">
        <v>8420</v>
      </c>
    </row>
    <row r="100" spans="100:107" x14ac:dyDescent="0.25">
      <c r="CV100" t="s">
        <v>133</v>
      </c>
      <c r="CW100">
        <v>7</v>
      </c>
      <c r="CX100" t="s">
        <v>351</v>
      </c>
      <c r="CY100" t="s">
        <v>352</v>
      </c>
      <c r="CZ100">
        <v>86.52</v>
      </c>
      <c r="DA100">
        <v>20</v>
      </c>
      <c r="DB100">
        <v>38100</v>
      </c>
      <c r="DC100">
        <v>8030</v>
      </c>
    </row>
    <row r="101" spans="100:107" x14ac:dyDescent="0.25">
      <c r="CV101" t="s">
        <v>133</v>
      </c>
      <c r="CW101">
        <v>8</v>
      </c>
      <c r="CX101" t="s">
        <v>353</v>
      </c>
      <c r="CY101" t="s">
        <v>354</v>
      </c>
      <c r="CZ101">
        <v>77.89</v>
      </c>
      <c r="DA101">
        <v>22</v>
      </c>
      <c r="DB101">
        <v>38100</v>
      </c>
      <c r="DC101">
        <v>7670</v>
      </c>
    </row>
    <row r="102" spans="100:107" x14ac:dyDescent="0.25">
      <c r="CV102" t="s">
        <v>133</v>
      </c>
      <c r="CW102">
        <v>9</v>
      </c>
      <c r="CX102" t="s">
        <v>355</v>
      </c>
      <c r="CY102" t="s">
        <v>356</v>
      </c>
      <c r="CZ102">
        <v>70.540000000000006</v>
      </c>
      <c r="DA102">
        <v>25</v>
      </c>
      <c r="DB102">
        <v>38100</v>
      </c>
      <c r="DC102">
        <v>7350</v>
      </c>
    </row>
    <row r="103" spans="100:107" x14ac:dyDescent="0.25">
      <c r="CV103" t="s">
        <v>133</v>
      </c>
      <c r="CW103">
        <v>10</v>
      </c>
      <c r="CX103" t="s">
        <v>357</v>
      </c>
      <c r="CY103" t="s">
        <v>358</v>
      </c>
      <c r="CZ103">
        <v>62.55</v>
      </c>
      <c r="DA103">
        <v>28</v>
      </c>
      <c r="DB103">
        <v>38100</v>
      </c>
      <c r="DC103">
        <v>6970</v>
      </c>
    </row>
    <row r="104" spans="100:107" x14ac:dyDescent="0.25">
      <c r="CV104" t="s">
        <v>133</v>
      </c>
      <c r="CW104">
        <v>11</v>
      </c>
      <c r="CX104" t="s">
        <v>359</v>
      </c>
      <c r="CY104" t="s">
        <v>360</v>
      </c>
      <c r="CZ104">
        <v>56.55</v>
      </c>
      <c r="DA104">
        <v>31</v>
      </c>
      <c r="DB104">
        <v>38100</v>
      </c>
      <c r="DC104">
        <v>6660</v>
      </c>
    </row>
    <row r="105" spans="100:107" x14ac:dyDescent="0.25">
      <c r="CV105" t="s">
        <v>133</v>
      </c>
      <c r="CW105">
        <v>12</v>
      </c>
      <c r="CX105" t="s">
        <v>361</v>
      </c>
      <c r="CY105" t="s">
        <v>362</v>
      </c>
      <c r="CZ105">
        <v>47.93</v>
      </c>
      <c r="DA105">
        <v>37</v>
      </c>
      <c r="DB105">
        <v>38100</v>
      </c>
      <c r="DC105">
        <v>6180</v>
      </c>
    </row>
    <row r="106" spans="100:107" x14ac:dyDescent="0.25">
      <c r="CV106" t="s">
        <v>133</v>
      </c>
      <c r="CW106">
        <v>13</v>
      </c>
      <c r="CX106" t="s">
        <v>363</v>
      </c>
      <c r="CY106" t="s">
        <v>364</v>
      </c>
      <c r="CZ106">
        <v>41.87</v>
      </c>
      <c r="DA106">
        <v>42</v>
      </c>
      <c r="DB106">
        <v>38100</v>
      </c>
      <c r="DC106">
        <v>5800</v>
      </c>
    </row>
    <row r="107" spans="100:107" x14ac:dyDescent="0.25">
      <c r="CV107" t="s">
        <v>133</v>
      </c>
      <c r="CW107">
        <v>14</v>
      </c>
      <c r="CX107" t="s">
        <v>365</v>
      </c>
      <c r="CY107" t="s">
        <v>366</v>
      </c>
      <c r="CZ107">
        <v>38.299999999999997</v>
      </c>
      <c r="DA107">
        <v>46</v>
      </c>
      <c r="DB107">
        <v>38100</v>
      </c>
      <c r="DC107">
        <v>5560</v>
      </c>
    </row>
    <row r="108" spans="100:107" x14ac:dyDescent="0.25">
      <c r="CV108" t="s">
        <v>133</v>
      </c>
      <c r="CW108">
        <v>15</v>
      </c>
      <c r="CX108" t="s">
        <v>367</v>
      </c>
      <c r="CY108" t="s">
        <v>368</v>
      </c>
      <c r="CZ108">
        <v>34.229999999999997</v>
      </c>
      <c r="DA108">
        <v>51</v>
      </c>
      <c r="DB108">
        <v>38100</v>
      </c>
      <c r="DC108">
        <v>5260</v>
      </c>
    </row>
    <row r="109" spans="100:107" x14ac:dyDescent="0.25">
      <c r="CV109" t="s">
        <v>134</v>
      </c>
      <c r="CW109">
        <v>1</v>
      </c>
      <c r="CX109" t="s">
        <v>369</v>
      </c>
      <c r="CY109" t="s">
        <v>370</v>
      </c>
      <c r="CZ109">
        <v>1261</v>
      </c>
      <c r="DA109">
        <v>1.4</v>
      </c>
      <c r="DB109">
        <v>38100</v>
      </c>
      <c r="DC109">
        <v>8990</v>
      </c>
    </row>
    <row r="110" spans="100:107" x14ac:dyDescent="0.25">
      <c r="CV110" t="s">
        <v>134</v>
      </c>
      <c r="CW110">
        <v>2</v>
      </c>
      <c r="CX110" t="s">
        <v>371</v>
      </c>
      <c r="CY110" t="s">
        <v>372</v>
      </c>
      <c r="CZ110">
        <v>1102</v>
      </c>
      <c r="DA110">
        <v>1.6</v>
      </c>
      <c r="DB110">
        <v>38100</v>
      </c>
      <c r="DC110">
        <v>8990</v>
      </c>
    </row>
    <row r="111" spans="100:107" x14ac:dyDescent="0.25">
      <c r="CV111" t="s">
        <v>134</v>
      </c>
      <c r="CW111">
        <v>3</v>
      </c>
      <c r="CX111" t="s">
        <v>373</v>
      </c>
      <c r="CY111" t="s">
        <v>374</v>
      </c>
      <c r="CZ111">
        <v>957</v>
      </c>
      <c r="DA111">
        <v>1.8</v>
      </c>
      <c r="DB111">
        <v>38100</v>
      </c>
      <c r="DC111">
        <v>8990</v>
      </c>
    </row>
    <row r="112" spans="100:107" x14ac:dyDescent="0.25">
      <c r="CV112" t="s">
        <v>134</v>
      </c>
      <c r="CW112">
        <v>4</v>
      </c>
      <c r="CX112" t="s">
        <v>375</v>
      </c>
      <c r="CY112" t="s">
        <v>376</v>
      </c>
      <c r="CZ112">
        <v>855</v>
      </c>
      <c r="DA112">
        <v>2</v>
      </c>
      <c r="DB112">
        <v>38100</v>
      </c>
      <c r="DC112">
        <v>8990</v>
      </c>
    </row>
    <row r="113" spans="100:107" x14ac:dyDescent="0.25">
      <c r="CV113" t="s">
        <v>134</v>
      </c>
      <c r="CW113">
        <v>5</v>
      </c>
      <c r="CX113" t="s">
        <v>377</v>
      </c>
      <c r="CY113" t="s">
        <v>378</v>
      </c>
      <c r="CZ113">
        <v>743</v>
      </c>
      <c r="DA113">
        <v>2.4</v>
      </c>
      <c r="DB113">
        <v>38100</v>
      </c>
      <c r="DC113">
        <v>8990</v>
      </c>
    </row>
    <row r="114" spans="100:107" x14ac:dyDescent="0.25">
      <c r="CV114" t="s">
        <v>134</v>
      </c>
      <c r="CW114">
        <v>6</v>
      </c>
      <c r="CX114" t="s">
        <v>379</v>
      </c>
      <c r="CY114" t="s">
        <v>380</v>
      </c>
      <c r="CZ114">
        <v>652</v>
      </c>
      <c r="DA114">
        <v>2.7</v>
      </c>
      <c r="DB114">
        <v>38100</v>
      </c>
      <c r="DC114">
        <v>8990</v>
      </c>
    </row>
    <row r="115" spans="100:107" x14ac:dyDescent="0.25">
      <c r="CV115" t="s">
        <v>134</v>
      </c>
      <c r="CW115">
        <v>7</v>
      </c>
      <c r="CX115" t="s">
        <v>381</v>
      </c>
      <c r="CY115" t="s">
        <v>382</v>
      </c>
      <c r="CZ115">
        <v>573</v>
      </c>
      <c r="DA115">
        <v>3.1</v>
      </c>
      <c r="DB115">
        <v>38100</v>
      </c>
      <c r="DC115">
        <v>8990</v>
      </c>
    </row>
    <row r="116" spans="100:107" x14ac:dyDescent="0.25">
      <c r="CV116" t="s">
        <v>134</v>
      </c>
      <c r="CW116">
        <v>8</v>
      </c>
      <c r="CX116" t="s">
        <v>383</v>
      </c>
      <c r="CY116" t="s">
        <v>384</v>
      </c>
      <c r="CZ116">
        <v>504</v>
      </c>
      <c r="DA116">
        <v>3.5</v>
      </c>
      <c r="DB116">
        <v>38100</v>
      </c>
      <c r="DC116">
        <v>8990</v>
      </c>
    </row>
    <row r="117" spans="100:107" x14ac:dyDescent="0.25">
      <c r="CV117" t="s">
        <v>134</v>
      </c>
      <c r="CW117">
        <v>9</v>
      </c>
      <c r="CX117" t="s">
        <v>385</v>
      </c>
      <c r="CY117" t="s">
        <v>386</v>
      </c>
      <c r="CZ117">
        <v>437</v>
      </c>
      <c r="DA117">
        <v>4</v>
      </c>
      <c r="DB117">
        <v>38100</v>
      </c>
      <c r="DC117">
        <v>8990</v>
      </c>
    </row>
    <row r="118" spans="100:107" x14ac:dyDescent="0.25">
      <c r="CV118" t="s">
        <v>134</v>
      </c>
      <c r="CW118">
        <v>10</v>
      </c>
      <c r="CX118" t="s">
        <v>387</v>
      </c>
      <c r="CY118" t="s">
        <v>388</v>
      </c>
      <c r="CZ118">
        <v>382</v>
      </c>
      <c r="DA118">
        <v>4.5999999999999996</v>
      </c>
      <c r="DB118">
        <v>38100</v>
      </c>
      <c r="DC118">
        <v>8990</v>
      </c>
    </row>
    <row r="119" spans="100:107" x14ac:dyDescent="0.25">
      <c r="CV119" t="s">
        <v>134</v>
      </c>
      <c r="CW119">
        <v>11</v>
      </c>
      <c r="CX119" t="s">
        <v>389</v>
      </c>
      <c r="CY119" t="s">
        <v>390</v>
      </c>
      <c r="CZ119">
        <v>342</v>
      </c>
      <c r="DA119">
        <v>5.0999999999999996</v>
      </c>
      <c r="DB119">
        <v>38100</v>
      </c>
      <c r="DC119">
        <v>8990</v>
      </c>
    </row>
    <row r="120" spans="100:107" x14ac:dyDescent="0.25">
      <c r="CV120" t="s">
        <v>134</v>
      </c>
      <c r="CW120">
        <v>12</v>
      </c>
      <c r="CX120" t="s">
        <v>391</v>
      </c>
      <c r="CY120" t="s">
        <v>392</v>
      </c>
      <c r="CZ120">
        <v>305</v>
      </c>
      <c r="DA120">
        <v>5.7</v>
      </c>
      <c r="DB120">
        <v>38100</v>
      </c>
      <c r="DC120">
        <v>8990</v>
      </c>
    </row>
    <row r="121" spans="100:107" x14ac:dyDescent="0.25">
      <c r="CV121" t="s">
        <v>134</v>
      </c>
      <c r="CW121">
        <v>13</v>
      </c>
      <c r="CX121" t="s">
        <v>393</v>
      </c>
      <c r="CY121" t="s">
        <v>394</v>
      </c>
      <c r="CZ121">
        <v>258</v>
      </c>
      <c r="DA121">
        <v>6.8</v>
      </c>
      <c r="DB121">
        <v>38100</v>
      </c>
      <c r="DC121">
        <v>8990</v>
      </c>
    </row>
    <row r="122" spans="100:107" x14ac:dyDescent="0.25">
      <c r="CV122" t="s">
        <v>134</v>
      </c>
      <c r="CW122">
        <v>14</v>
      </c>
      <c r="CX122" t="s">
        <v>395</v>
      </c>
      <c r="CY122" t="s">
        <v>396</v>
      </c>
      <c r="CZ122">
        <v>232</v>
      </c>
      <c r="DA122">
        <v>7.5</v>
      </c>
      <c r="DB122">
        <v>38100</v>
      </c>
      <c r="DC122">
        <v>8990</v>
      </c>
    </row>
    <row r="123" spans="100:107" x14ac:dyDescent="0.25">
      <c r="CV123" t="s">
        <v>134</v>
      </c>
      <c r="CW123">
        <v>15</v>
      </c>
      <c r="CX123" t="s">
        <v>397</v>
      </c>
      <c r="CY123" t="s">
        <v>398</v>
      </c>
      <c r="CZ123">
        <v>199</v>
      </c>
      <c r="DA123">
        <v>8.8000000000000007</v>
      </c>
      <c r="DB123">
        <v>38100</v>
      </c>
      <c r="DC123">
        <v>8990</v>
      </c>
    </row>
    <row r="124" spans="100:107" x14ac:dyDescent="0.25">
      <c r="CV124" t="s">
        <v>135</v>
      </c>
      <c r="CW124">
        <v>1</v>
      </c>
      <c r="CX124" t="s">
        <v>399</v>
      </c>
      <c r="CY124" t="s">
        <v>400</v>
      </c>
      <c r="CZ124">
        <v>143.47</v>
      </c>
      <c r="DA124">
        <v>12</v>
      </c>
      <c r="DB124">
        <v>70800</v>
      </c>
      <c r="DC124">
        <v>13600</v>
      </c>
    </row>
    <row r="125" spans="100:107" x14ac:dyDescent="0.25">
      <c r="CV125" t="s">
        <v>135</v>
      </c>
      <c r="CW125">
        <v>2</v>
      </c>
      <c r="CX125" t="s">
        <v>401</v>
      </c>
      <c r="CY125" t="s">
        <v>402</v>
      </c>
      <c r="CZ125">
        <v>121.46</v>
      </c>
      <c r="DA125">
        <v>14</v>
      </c>
      <c r="DB125">
        <v>70800</v>
      </c>
      <c r="DC125">
        <v>12600</v>
      </c>
    </row>
    <row r="126" spans="100:107" x14ac:dyDescent="0.25">
      <c r="CV126" t="s">
        <v>135</v>
      </c>
      <c r="CW126">
        <v>3</v>
      </c>
      <c r="CX126" t="s">
        <v>403</v>
      </c>
      <c r="CY126" t="s">
        <v>404</v>
      </c>
      <c r="CZ126">
        <v>112.41</v>
      </c>
      <c r="DA126">
        <v>16</v>
      </c>
      <c r="DB126">
        <v>70800</v>
      </c>
      <c r="DC126">
        <v>12100</v>
      </c>
    </row>
    <row r="127" spans="100:107" x14ac:dyDescent="0.25">
      <c r="CV127" t="s">
        <v>135</v>
      </c>
      <c r="CW127">
        <v>4</v>
      </c>
      <c r="CX127" t="s">
        <v>405</v>
      </c>
      <c r="CY127" t="s">
        <v>406</v>
      </c>
      <c r="CZ127">
        <v>100.75</v>
      </c>
      <c r="DA127">
        <v>17</v>
      </c>
      <c r="DB127">
        <v>70800</v>
      </c>
      <c r="DC127">
        <v>11500</v>
      </c>
    </row>
    <row r="128" spans="100:107" x14ac:dyDescent="0.25">
      <c r="CV128" t="s">
        <v>135</v>
      </c>
      <c r="CW128">
        <v>5</v>
      </c>
      <c r="CX128" t="s">
        <v>407</v>
      </c>
      <c r="CY128" t="s">
        <v>408</v>
      </c>
      <c r="CZ128">
        <v>90.96</v>
      </c>
      <c r="DA128">
        <v>19</v>
      </c>
      <c r="DB128">
        <v>70800</v>
      </c>
      <c r="DC128">
        <v>10900</v>
      </c>
    </row>
    <row r="129" spans="100:107" x14ac:dyDescent="0.25">
      <c r="CV129" t="s">
        <v>135</v>
      </c>
      <c r="CW129">
        <v>6</v>
      </c>
      <c r="CX129" t="s">
        <v>409</v>
      </c>
      <c r="CY129" t="s">
        <v>410</v>
      </c>
      <c r="CZ129">
        <v>82.61</v>
      </c>
      <c r="DA129">
        <v>21</v>
      </c>
      <c r="DB129">
        <v>70800</v>
      </c>
      <c r="DC129">
        <v>10300</v>
      </c>
    </row>
    <row r="130" spans="100:107" x14ac:dyDescent="0.25">
      <c r="CV130" t="s">
        <v>135</v>
      </c>
      <c r="CW130">
        <v>7</v>
      </c>
      <c r="CX130" t="s">
        <v>411</v>
      </c>
      <c r="CY130" t="s">
        <v>412</v>
      </c>
      <c r="CZ130">
        <v>73.3</v>
      </c>
      <c r="DA130">
        <v>24</v>
      </c>
      <c r="DB130">
        <v>70800</v>
      </c>
      <c r="DC130">
        <v>9680</v>
      </c>
    </row>
    <row r="131" spans="100:107" x14ac:dyDescent="0.25">
      <c r="CV131" t="s">
        <v>135</v>
      </c>
      <c r="CW131">
        <v>8</v>
      </c>
      <c r="CX131" t="s">
        <v>413</v>
      </c>
      <c r="CY131" t="s">
        <v>414</v>
      </c>
      <c r="CZ131">
        <v>66.52</v>
      </c>
      <c r="DA131">
        <v>26</v>
      </c>
      <c r="DB131">
        <v>70800</v>
      </c>
      <c r="DC131">
        <v>9150</v>
      </c>
    </row>
    <row r="132" spans="100:107" x14ac:dyDescent="0.25">
      <c r="CV132" t="s">
        <v>135</v>
      </c>
      <c r="CW132">
        <v>9</v>
      </c>
      <c r="CX132" t="s">
        <v>415</v>
      </c>
      <c r="CY132" t="s">
        <v>416</v>
      </c>
      <c r="CZ132">
        <v>57.17</v>
      </c>
      <c r="DA132">
        <v>31</v>
      </c>
      <c r="DB132">
        <v>70800</v>
      </c>
      <c r="DC132">
        <v>8360</v>
      </c>
    </row>
    <row r="133" spans="100:107" x14ac:dyDescent="0.25">
      <c r="CV133" t="s">
        <v>135</v>
      </c>
      <c r="CW133">
        <v>10</v>
      </c>
      <c r="CX133" t="s">
        <v>417</v>
      </c>
      <c r="CY133" t="s">
        <v>418</v>
      </c>
      <c r="CZ133">
        <v>49.9</v>
      </c>
      <c r="DA133">
        <v>35</v>
      </c>
      <c r="DB133">
        <v>69400</v>
      </c>
      <c r="DC133">
        <v>7840</v>
      </c>
    </row>
    <row r="134" spans="100:107" x14ac:dyDescent="0.25">
      <c r="CV134" t="s">
        <v>135</v>
      </c>
      <c r="CW134">
        <v>11</v>
      </c>
      <c r="CX134" t="s">
        <v>419</v>
      </c>
      <c r="CY134" t="s">
        <v>420</v>
      </c>
      <c r="CZ134">
        <v>42.33</v>
      </c>
      <c r="DA134">
        <v>41</v>
      </c>
      <c r="DB134">
        <v>65100</v>
      </c>
      <c r="DC134">
        <v>7580</v>
      </c>
    </row>
    <row r="135" spans="100:107" x14ac:dyDescent="0.25">
      <c r="CV135" t="s">
        <v>135</v>
      </c>
      <c r="CW135">
        <v>12</v>
      </c>
      <c r="CX135" t="s">
        <v>421</v>
      </c>
      <c r="CY135" t="s">
        <v>422</v>
      </c>
      <c r="CZ135">
        <v>37</v>
      </c>
      <c r="DA135">
        <v>47</v>
      </c>
      <c r="DB135">
        <v>63700</v>
      </c>
      <c r="DC135">
        <v>7130</v>
      </c>
    </row>
    <row r="136" spans="100:107" x14ac:dyDescent="0.25">
      <c r="CV136" t="s">
        <v>135</v>
      </c>
      <c r="CW136">
        <v>13</v>
      </c>
      <c r="CX136" t="s">
        <v>423</v>
      </c>
      <c r="CY136" t="s">
        <v>424</v>
      </c>
      <c r="CZ136">
        <v>32.69</v>
      </c>
      <c r="DA136">
        <v>54</v>
      </c>
      <c r="DB136">
        <v>63700</v>
      </c>
      <c r="DC136">
        <v>6570</v>
      </c>
    </row>
    <row r="137" spans="100:107" x14ac:dyDescent="0.25">
      <c r="CV137" t="s">
        <v>135</v>
      </c>
      <c r="CW137">
        <v>14</v>
      </c>
      <c r="CX137" t="s">
        <v>425</v>
      </c>
      <c r="CY137" t="s">
        <v>426</v>
      </c>
      <c r="CZ137">
        <v>31.28</v>
      </c>
      <c r="DA137">
        <v>56</v>
      </c>
      <c r="DB137">
        <v>60200</v>
      </c>
      <c r="DC137">
        <v>6840</v>
      </c>
    </row>
    <row r="138" spans="100:107" x14ac:dyDescent="0.25">
      <c r="CV138" t="s">
        <v>135</v>
      </c>
      <c r="CW138">
        <v>15</v>
      </c>
      <c r="CX138" t="s">
        <v>427</v>
      </c>
      <c r="CY138" t="s">
        <v>428</v>
      </c>
      <c r="CZ138">
        <v>29</v>
      </c>
      <c r="DA138">
        <v>60</v>
      </c>
      <c r="DB138">
        <v>63700</v>
      </c>
      <c r="DC138">
        <v>6040</v>
      </c>
    </row>
    <row r="139" spans="100:107" x14ac:dyDescent="0.25">
      <c r="CV139" t="s">
        <v>136</v>
      </c>
      <c r="CW139">
        <v>1</v>
      </c>
      <c r="CX139" t="s">
        <v>429</v>
      </c>
      <c r="CY139" t="s">
        <v>430</v>
      </c>
      <c r="CZ139">
        <v>793</v>
      </c>
      <c r="DA139">
        <v>2.2000000000000002</v>
      </c>
      <c r="DB139">
        <v>70800</v>
      </c>
      <c r="DC139">
        <v>14600</v>
      </c>
    </row>
    <row r="140" spans="100:107" x14ac:dyDescent="0.25">
      <c r="CV140" t="s">
        <v>136</v>
      </c>
      <c r="CW140">
        <v>2</v>
      </c>
      <c r="CX140" t="s">
        <v>431</v>
      </c>
      <c r="CY140" t="s">
        <v>432</v>
      </c>
      <c r="CZ140">
        <v>696</v>
      </c>
      <c r="DA140">
        <v>2.5</v>
      </c>
      <c r="DB140">
        <v>70800</v>
      </c>
      <c r="DC140">
        <v>14600</v>
      </c>
    </row>
    <row r="141" spans="100:107" x14ac:dyDescent="0.25">
      <c r="CV141" t="s">
        <v>136</v>
      </c>
      <c r="CW141">
        <v>3</v>
      </c>
      <c r="CX141" t="s">
        <v>433</v>
      </c>
      <c r="CY141" t="s">
        <v>434</v>
      </c>
      <c r="CZ141">
        <v>615</v>
      </c>
      <c r="DA141">
        <v>2.8</v>
      </c>
      <c r="DB141">
        <v>70800</v>
      </c>
      <c r="DC141">
        <v>14600</v>
      </c>
    </row>
    <row r="142" spans="100:107" x14ac:dyDescent="0.25">
      <c r="CV142" t="s">
        <v>136</v>
      </c>
      <c r="CW142">
        <v>4</v>
      </c>
      <c r="CX142" t="s">
        <v>435</v>
      </c>
      <c r="CY142" t="s">
        <v>436</v>
      </c>
      <c r="CZ142">
        <v>522</v>
      </c>
      <c r="DA142">
        <v>3.4</v>
      </c>
      <c r="DB142">
        <v>70800</v>
      </c>
      <c r="DC142">
        <v>14600</v>
      </c>
    </row>
    <row r="143" spans="100:107" x14ac:dyDescent="0.25">
      <c r="CV143" t="s">
        <v>136</v>
      </c>
      <c r="CW143">
        <v>5</v>
      </c>
      <c r="CX143" t="s">
        <v>437</v>
      </c>
      <c r="CY143" t="s">
        <v>438</v>
      </c>
      <c r="CZ143">
        <v>461</v>
      </c>
      <c r="DA143">
        <v>3.8</v>
      </c>
      <c r="DB143">
        <v>70800</v>
      </c>
      <c r="DC143">
        <v>14600</v>
      </c>
    </row>
    <row r="144" spans="100:107" x14ac:dyDescent="0.25">
      <c r="CV144" t="s">
        <v>136</v>
      </c>
      <c r="CW144">
        <v>6</v>
      </c>
      <c r="CX144" t="s">
        <v>439</v>
      </c>
      <c r="CY144" t="s">
        <v>440</v>
      </c>
      <c r="CZ144">
        <v>408</v>
      </c>
      <c r="DA144">
        <v>4.3</v>
      </c>
      <c r="DB144">
        <v>70800</v>
      </c>
      <c r="DC144">
        <v>14600</v>
      </c>
    </row>
    <row r="145" spans="100:107" x14ac:dyDescent="0.25">
      <c r="CV145" t="s">
        <v>136</v>
      </c>
      <c r="CW145">
        <v>7</v>
      </c>
      <c r="CX145" t="s">
        <v>441</v>
      </c>
      <c r="CY145" t="s">
        <v>442</v>
      </c>
      <c r="CZ145">
        <v>364</v>
      </c>
      <c r="DA145">
        <v>4.8</v>
      </c>
      <c r="DB145">
        <v>70800</v>
      </c>
      <c r="DC145">
        <v>14600</v>
      </c>
    </row>
    <row r="146" spans="100:107" x14ac:dyDescent="0.25">
      <c r="CV146" t="s">
        <v>136</v>
      </c>
      <c r="CW146">
        <v>8</v>
      </c>
      <c r="CX146" t="s">
        <v>443</v>
      </c>
      <c r="CY146" t="s">
        <v>444</v>
      </c>
      <c r="CZ146">
        <v>318</v>
      </c>
      <c r="DA146">
        <v>5.5</v>
      </c>
      <c r="DB146">
        <v>70800</v>
      </c>
      <c r="DC146">
        <v>14600</v>
      </c>
    </row>
    <row r="147" spans="100:107" x14ac:dyDescent="0.25">
      <c r="CV147" t="s">
        <v>136</v>
      </c>
      <c r="CW147">
        <v>9</v>
      </c>
      <c r="CX147" t="s">
        <v>445</v>
      </c>
      <c r="CY147" t="s">
        <v>446</v>
      </c>
      <c r="CZ147">
        <v>286</v>
      </c>
      <c r="DA147">
        <v>6.1</v>
      </c>
      <c r="DB147">
        <v>70800</v>
      </c>
      <c r="DC147">
        <v>14600</v>
      </c>
    </row>
    <row r="148" spans="100:107" x14ac:dyDescent="0.25">
      <c r="CV148" t="s">
        <v>136</v>
      </c>
      <c r="CW148">
        <v>10</v>
      </c>
      <c r="CX148" t="s">
        <v>447</v>
      </c>
      <c r="CY148" t="s">
        <v>448</v>
      </c>
      <c r="CZ148">
        <v>251</v>
      </c>
      <c r="DA148">
        <v>7</v>
      </c>
      <c r="DB148">
        <v>70800</v>
      </c>
      <c r="DC148">
        <v>14600</v>
      </c>
    </row>
    <row r="149" spans="100:107" x14ac:dyDescent="0.25">
      <c r="CV149" t="s">
        <v>136</v>
      </c>
      <c r="CW149">
        <v>11</v>
      </c>
      <c r="CX149" t="s">
        <v>449</v>
      </c>
      <c r="CY149" t="s">
        <v>450</v>
      </c>
      <c r="CZ149">
        <v>222</v>
      </c>
      <c r="DA149">
        <v>7.9</v>
      </c>
      <c r="DB149">
        <v>70800</v>
      </c>
      <c r="DC149">
        <v>14600</v>
      </c>
    </row>
    <row r="150" spans="100:107" x14ac:dyDescent="0.25">
      <c r="CV150" t="s">
        <v>136</v>
      </c>
      <c r="CW150">
        <v>12</v>
      </c>
      <c r="CX150" t="s">
        <v>451</v>
      </c>
      <c r="CY150" t="s">
        <v>452</v>
      </c>
      <c r="CZ150">
        <v>196</v>
      </c>
      <c r="DA150">
        <v>8.9</v>
      </c>
      <c r="DB150">
        <v>70800</v>
      </c>
      <c r="DC150">
        <v>14600</v>
      </c>
    </row>
    <row r="151" spans="100:107" x14ac:dyDescent="0.25">
      <c r="CV151" t="s">
        <v>136</v>
      </c>
      <c r="CW151">
        <v>13</v>
      </c>
      <c r="CX151" t="s">
        <v>453</v>
      </c>
      <c r="CY151" t="s">
        <v>454</v>
      </c>
      <c r="CZ151">
        <v>174</v>
      </c>
      <c r="DA151">
        <v>10</v>
      </c>
      <c r="DB151">
        <v>63700</v>
      </c>
      <c r="DC151">
        <v>14600</v>
      </c>
    </row>
    <row r="152" spans="100:107" x14ac:dyDescent="0.25">
      <c r="CV152" t="s">
        <v>136</v>
      </c>
      <c r="CW152">
        <v>14</v>
      </c>
      <c r="CX152" t="s">
        <v>455</v>
      </c>
      <c r="CY152" t="s">
        <v>456</v>
      </c>
      <c r="CZ152">
        <v>154</v>
      </c>
      <c r="DA152">
        <v>11</v>
      </c>
      <c r="DB152">
        <v>63700</v>
      </c>
      <c r="DC152">
        <v>14600</v>
      </c>
    </row>
    <row r="153" spans="100:107" x14ac:dyDescent="0.25">
      <c r="CV153" t="s">
        <v>136</v>
      </c>
      <c r="CW153">
        <v>15</v>
      </c>
      <c r="CX153" t="s">
        <v>457</v>
      </c>
      <c r="CY153" t="s">
        <v>458</v>
      </c>
      <c r="CZ153">
        <v>140</v>
      </c>
      <c r="DA153">
        <v>13</v>
      </c>
      <c r="DB153">
        <v>63700</v>
      </c>
      <c r="DC153">
        <v>14100</v>
      </c>
    </row>
    <row r="154" spans="100:107" x14ac:dyDescent="0.25">
      <c r="CV154" t="s">
        <v>137</v>
      </c>
      <c r="CW154">
        <v>1</v>
      </c>
      <c r="CX154" t="s">
        <v>459</v>
      </c>
      <c r="CY154" t="s">
        <v>460</v>
      </c>
      <c r="CZ154">
        <v>146.07</v>
      </c>
      <c r="DA154">
        <v>12</v>
      </c>
      <c r="DB154">
        <v>115100</v>
      </c>
      <c r="DC154">
        <v>17800</v>
      </c>
    </row>
    <row r="155" spans="100:107" x14ac:dyDescent="0.25">
      <c r="CV155" t="s">
        <v>137</v>
      </c>
      <c r="CW155">
        <v>2</v>
      </c>
      <c r="CX155" t="s">
        <v>461</v>
      </c>
      <c r="CY155" t="s">
        <v>462</v>
      </c>
      <c r="CZ155">
        <v>136.13999999999999</v>
      </c>
      <c r="DA155">
        <v>13</v>
      </c>
      <c r="DB155">
        <v>115100</v>
      </c>
      <c r="DC155">
        <v>17800</v>
      </c>
    </row>
    <row r="156" spans="100:107" x14ac:dyDescent="0.25">
      <c r="CV156" t="s">
        <v>137</v>
      </c>
      <c r="CW156">
        <v>3</v>
      </c>
      <c r="CX156" t="s">
        <v>463</v>
      </c>
      <c r="CY156" t="s">
        <v>464</v>
      </c>
      <c r="CZ156">
        <v>122.48</v>
      </c>
      <c r="DA156">
        <v>14</v>
      </c>
      <c r="DB156">
        <v>115100</v>
      </c>
      <c r="DC156">
        <v>17700</v>
      </c>
    </row>
    <row r="157" spans="100:107" x14ac:dyDescent="0.25">
      <c r="CV157" t="s">
        <v>137</v>
      </c>
      <c r="CW157">
        <v>4</v>
      </c>
      <c r="CX157" t="s">
        <v>465</v>
      </c>
      <c r="CY157" t="s">
        <v>466</v>
      </c>
      <c r="CZ157">
        <v>110.18</v>
      </c>
      <c r="DA157">
        <v>16</v>
      </c>
      <c r="DB157">
        <v>115100</v>
      </c>
      <c r="DC157">
        <v>16900</v>
      </c>
    </row>
    <row r="158" spans="100:107" x14ac:dyDescent="0.25">
      <c r="CV158" t="s">
        <v>137</v>
      </c>
      <c r="CW158">
        <v>5</v>
      </c>
      <c r="CX158" t="s">
        <v>467</v>
      </c>
      <c r="CY158" t="s">
        <v>468</v>
      </c>
      <c r="CZ158">
        <v>89.89</v>
      </c>
      <c r="DA158">
        <v>19</v>
      </c>
      <c r="DB158">
        <v>115100</v>
      </c>
      <c r="DC158">
        <v>15500</v>
      </c>
    </row>
    <row r="159" spans="100:107" x14ac:dyDescent="0.25">
      <c r="CV159" t="s">
        <v>137</v>
      </c>
      <c r="CW159">
        <v>6</v>
      </c>
      <c r="CX159" t="s">
        <v>469</v>
      </c>
      <c r="CY159" t="s">
        <v>470</v>
      </c>
      <c r="CZ159">
        <v>81.98</v>
      </c>
      <c r="DA159">
        <v>21</v>
      </c>
      <c r="DB159">
        <v>115100</v>
      </c>
      <c r="DC159">
        <v>14900</v>
      </c>
    </row>
    <row r="160" spans="100:107" x14ac:dyDescent="0.25">
      <c r="CV160" t="s">
        <v>137</v>
      </c>
      <c r="CW160">
        <v>7</v>
      </c>
      <c r="CX160" t="s">
        <v>471</v>
      </c>
      <c r="CY160" t="s">
        <v>472</v>
      </c>
      <c r="CZ160">
        <v>70.95</v>
      </c>
      <c r="DA160">
        <v>25</v>
      </c>
      <c r="DB160">
        <v>115100</v>
      </c>
      <c r="DC160">
        <v>13900</v>
      </c>
    </row>
    <row r="161" spans="100:107" x14ac:dyDescent="0.25">
      <c r="CV161" t="s">
        <v>137</v>
      </c>
      <c r="CW161">
        <v>8</v>
      </c>
      <c r="CX161" t="s">
        <v>473</v>
      </c>
      <c r="CY161" t="s">
        <v>474</v>
      </c>
      <c r="CZ161">
        <v>62.6</v>
      </c>
      <c r="DA161">
        <v>28</v>
      </c>
      <c r="DB161">
        <v>115100</v>
      </c>
      <c r="DC161">
        <v>13200</v>
      </c>
    </row>
    <row r="162" spans="100:107" x14ac:dyDescent="0.25">
      <c r="CV162" t="s">
        <v>137</v>
      </c>
      <c r="CW162">
        <v>9</v>
      </c>
      <c r="CX162" t="s">
        <v>475</v>
      </c>
      <c r="CY162" t="s">
        <v>476</v>
      </c>
      <c r="CZ162">
        <v>54.07</v>
      </c>
      <c r="DA162">
        <v>32</v>
      </c>
      <c r="DB162">
        <v>115100</v>
      </c>
      <c r="DC162">
        <v>12300</v>
      </c>
    </row>
    <row r="163" spans="100:107" x14ac:dyDescent="0.25">
      <c r="CV163" t="s">
        <v>137</v>
      </c>
      <c r="CW163">
        <v>10</v>
      </c>
      <c r="CX163" t="s">
        <v>477</v>
      </c>
      <c r="CY163" t="s">
        <v>478</v>
      </c>
      <c r="CZ163">
        <v>47.82</v>
      </c>
      <c r="DA163">
        <v>37</v>
      </c>
      <c r="DB163">
        <v>115100</v>
      </c>
      <c r="DC163">
        <v>11600</v>
      </c>
    </row>
    <row r="164" spans="100:107" x14ac:dyDescent="0.25">
      <c r="CV164" t="s">
        <v>137</v>
      </c>
      <c r="CW164">
        <v>11</v>
      </c>
      <c r="CX164" t="s">
        <v>479</v>
      </c>
      <c r="CY164" t="s">
        <v>480</v>
      </c>
      <c r="CZ164">
        <v>40.19</v>
      </c>
      <c r="DA164">
        <v>44</v>
      </c>
      <c r="DB164">
        <v>115100</v>
      </c>
      <c r="DC164">
        <v>10600</v>
      </c>
    </row>
    <row r="165" spans="100:107" x14ac:dyDescent="0.25">
      <c r="CV165" t="s">
        <v>137</v>
      </c>
      <c r="CW165">
        <v>12</v>
      </c>
      <c r="CX165" t="s">
        <v>481</v>
      </c>
      <c r="CY165" t="s">
        <v>482</v>
      </c>
      <c r="CZ165">
        <v>36.25</v>
      </c>
      <c r="DA165">
        <v>48</v>
      </c>
      <c r="DB165">
        <v>115100</v>
      </c>
      <c r="DC165">
        <v>10100</v>
      </c>
    </row>
    <row r="166" spans="100:107" x14ac:dyDescent="0.25">
      <c r="CV166" t="s">
        <v>137</v>
      </c>
      <c r="CW166">
        <v>13</v>
      </c>
      <c r="CX166" t="s">
        <v>483</v>
      </c>
      <c r="CY166" t="s">
        <v>484</v>
      </c>
      <c r="CZ166">
        <v>31.37</v>
      </c>
      <c r="DA166">
        <v>56</v>
      </c>
      <c r="DB166">
        <v>115100</v>
      </c>
      <c r="DC166">
        <v>9320</v>
      </c>
    </row>
    <row r="167" spans="100:107" x14ac:dyDescent="0.25">
      <c r="CV167" t="s">
        <v>137</v>
      </c>
      <c r="CW167">
        <v>14</v>
      </c>
      <c r="CX167" t="s">
        <v>485</v>
      </c>
      <c r="CY167" t="s">
        <v>486</v>
      </c>
      <c r="CZ167">
        <v>27.68</v>
      </c>
      <c r="DA167">
        <v>63</v>
      </c>
      <c r="DB167">
        <v>115100</v>
      </c>
      <c r="DC167">
        <v>8710</v>
      </c>
    </row>
    <row r="168" spans="100:107" x14ac:dyDescent="0.25">
      <c r="CV168" t="s">
        <v>137</v>
      </c>
      <c r="CW168">
        <v>15</v>
      </c>
      <c r="CX168" t="s">
        <v>487</v>
      </c>
      <c r="CY168" t="s">
        <v>488</v>
      </c>
      <c r="CZ168">
        <v>23.91</v>
      </c>
      <c r="DA168">
        <v>73</v>
      </c>
      <c r="DB168">
        <v>115100</v>
      </c>
      <c r="DC168">
        <v>7940</v>
      </c>
    </row>
    <row r="169" spans="100:107" x14ac:dyDescent="0.25">
      <c r="CV169" t="s">
        <v>138</v>
      </c>
      <c r="CW169">
        <v>1</v>
      </c>
      <c r="CX169" t="s">
        <v>489</v>
      </c>
      <c r="CY169" t="s">
        <v>490</v>
      </c>
      <c r="CZ169">
        <v>2607</v>
      </c>
      <c r="DA169">
        <v>0.67</v>
      </c>
      <c r="DB169">
        <v>115100</v>
      </c>
      <c r="DC169">
        <v>17800</v>
      </c>
    </row>
    <row r="170" spans="100:107" x14ac:dyDescent="0.25">
      <c r="CV170" t="s">
        <v>138</v>
      </c>
      <c r="CW170">
        <v>2</v>
      </c>
      <c r="CX170" t="s">
        <v>491</v>
      </c>
      <c r="CY170" t="s">
        <v>492</v>
      </c>
      <c r="CZ170">
        <v>2268</v>
      </c>
      <c r="DA170">
        <v>0.77</v>
      </c>
      <c r="DB170">
        <v>115100</v>
      </c>
      <c r="DC170">
        <v>17800</v>
      </c>
    </row>
    <row r="171" spans="100:107" x14ac:dyDescent="0.25">
      <c r="CV171" t="s">
        <v>138</v>
      </c>
      <c r="CW171">
        <v>3</v>
      </c>
      <c r="CX171" t="s">
        <v>493</v>
      </c>
      <c r="CY171" t="s">
        <v>494</v>
      </c>
      <c r="CZ171">
        <v>1926</v>
      </c>
      <c r="DA171">
        <v>0.91</v>
      </c>
      <c r="DB171">
        <v>115100</v>
      </c>
      <c r="DC171">
        <v>17800</v>
      </c>
    </row>
    <row r="172" spans="100:107" x14ac:dyDescent="0.25">
      <c r="CV172" t="s">
        <v>138</v>
      </c>
      <c r="CW172">
        <v>4</v>
      </c>
      <c r="CX172" t="s">
        <v>495</v>
      </c>
      <c r="CY172" t="s">
        <v>496</v>
      </c>
      <c r="CZ172">
        <v>1757</v>
      </c>
      <c r="DA172">
        <v>1</v>
      </c>
      <c r="DB172">
        <v>115100</v>
      </c>
      <c r="DC172">
        <v>17800</v>
      </c>
    </row>
    <row r="173" spans="100:107" x14ac:dyDescent="0.25">
      <c r="CV173" t="s">
        <v>138</v>
      </c>
      <c r="CW173">
        <v>5</v>
      </c>
      <c r="CX173" t="s">
        <v>497</v>
      </c>
      <c r="CY173" t="s">
        <v>498</v>
      </c>
      <c r="CZ173">
        <v>1541</v>
      </c>
      <c r="DA173">
        <v>1.1000000000000001</v>
      </c>
      <c r="DB173">
        <v>115100</v>
      </c>
      <c r="DC173">
        <v>17800</v>
      </c>
    </row>
    <row r="174" spans="100:107" x14ac:dyDescent="0.25">
      <c r="CV174" t="s">
        <v>138</v>
      </c>
      <c r="CW174">
        <v>6</v>
      </c>
      <c r="CX174" t="s">
        <v>499</v>
      </c>
      <c r="CY174" t="s">
        <v>500</v>
      </c>
      <c r="CZ174">
        <v>1342</v>
      </c>
      <c r="DA174">
        <v>1.3</v>
      </c>
      <c r="DB174">
        <v>115100</v>
      </c>
      <c r="DC174">
        <v>17800</v>
      </c>
    </row>
    <row r="175" spans="100:107" x14ac:dyDescent="0.25">
      <c r="CV175" t="s">
        <v>138</v>
      </c>
      <c r="CW175">
        <v>7</v>
      </c>
      <c r="CX175" t="s">
        <v>501</v>
      </c>
      <c r="CY175" t="s">
        <v>502</v>
      </c>
      <c r="CZ175">
        <v>1177</v>
      </c>
      <c r="DA175">
        <v>1.5</v>
      </c>
      <c r="DB175">
        <v>115100</v>
      </c>
      <c r="DC175">
        <v>17800</v>
      </c>
    </row>
    <row r="176" spans="100:107" x14ac:dyDescent="0.25">
      <c r="CV176" t="s">
        <v>138</v>
      </c>
      <c r="CW176">
        <v>8</v>
      </c>
      <c r="CX176" t="s">
        <v>503</v>
      </c>
      <c r="CY176" t="s">
        <v>504</v>
      </c>
      <c r="CZ176">
        <v>1025</v>
      </c>
      <c r="DA176">
        <v>1.7</v>
      </c>
      <c r="DB176">
        <v>115100</v>
      </c>
      <c r="DC176">
        <v>17800</v>
      </c>
    </row>
    <row r="177" spans="100:107" x14ac:dyDescent="0.25">
      <c r="CV177" t="s">
        <v>138</v>
      </c>
      <c r="CW177">
        <v>9</v>
      </c>
      <c r="CX177" t="s">
        <v>505</v>
      </c>
      <c r="CY177" t="s">
        <v>506</v>
      </c>
      <c r="CZ177">
        <v>899</v>
      </c>
      <c r="DA177">
        <v>1.9</v>
      </c>
      <c r="DB177">
        <v>115100</v>
      </c>
      <c r="DC177">
        <v>17800</v>
      </c>
    </row>
    <row r="178" spans="100:107" x14ac:dyDescent="0.25">
      <c r="CV178" t="s">
        <v>138</v>
      </c>
      <c r="CW178">
        <v>10</v>
      </c>
      <c r="CX178" t="s">
        <v>507</v>
      </c>
      <c r="CY178" t="s">
        <v>508</v>
      </c>
      <c r="CZ178">
        <v>790</v>
      </c>
      <c r="DA178">
        <v>2.2000000000000002</v>
      </c>
      <c r="DB178">
        <v>115100</v>
      </c>
      <c r="DC178">
        <v>17800</v>
      </c>
    </row>
    <row r="179" spans="100:107" x14ac:dyDescent="0.25">
      <c r="CV179" t="s">
        <v>138</v>
      </c>
      <c r="CW179">
        <v>11</v>
      </c>
      <c r="CX179" t="s">
        <v>509</v>
      </c>
      <c r="CY179" t="s">
        <v>510</v>
      </c>
      <c r="CZ179">
        <v>704</v>
      </c>
      <c r="DA179">
        <v>2.5</v>
      </c>
      <c r="DB179">
        <v>115100</v>
      </c>
      <c r="DC179">
        <v>17800</v>
      </c>
    </row>
    <row r="180" spans="100:107" x14ac:dyDescent="0.25">
      <c r="CV180" t="s">
        <v>138</v>
      </c>
      <c r="CW180">
        <v>12</v>
      </c>
      <c r="CX180" t="s">
        <v>511</v>
      </c>
      <c r="CY180" t="s">
        <v>512</v>
      </c>
      <c r="CZ180">
        <v>610</v>
      </c>
      <c r="DA180">
        <v>2.9</v>
      </c>
      <c r="DB180">
        <v>115100</v>
      </c>
      <c r="DC180">
        <v>17800</v>
      </c>
    </row>
    <row r="181" spans="100:107" x14ac:dyDescent="0.25">
      <c r="CV181" t="s">
        <v>138</v>
      </c>
      <c r="CW181">
        <v>13</v>
      </c>
      <c r="CX181" t="s">
        <v>513</v>
      </c>
      <c r="CY181" t="s">
        <v>514</v>
      </c>
      <c r="CZ181">
        <v>549</v>
      </c>
      <c r="DA181">
        <v>3.2</v>
      </c>
      <c r="DB181">
        <v>115100</v>
      </c>
      <c r="DC181">
        <v>17800</v>
      </c>
    </row>
    <row r="182" spans="100:107" x14ac:dyDescent="0.25">
      <c r="CV182" t="s">
        <v>138</v>
      </c>
      <c r="CW182">
        <v>14</v>
      </c>
      <c r="CX182" t="s">
        <v>515</v>
      </c>
      <c r="CY182" t="s">
        <v>516</v>
      </c>
      <c r="CZ182">
        <v>477</v>
      </c>
      <c r="DA182">
        <v>3.7</v>
      </c>
      <c r="DB182">
        <v>115100</v>
      </c>
      <c r="DC182">
        <v>17800</v>
      </c>
    </row>
    <row r="183" spans="100:107" x14ac:dyDescent="0.25">
      <c r="CV183" t="s">
        <v>138</v>
      </c>
      <c r="CW183">
        <v>15</v>
      </c>
      <c r="CX183" t="s">
        <v>517</v>
      </c>
      <c r="CY183" t="s">
        <v>518</v>
      </c>
      <c r="CZ183">
        <v>418</v>
      </c>
      <c r="DA183">
        <v>4.2</v>
      </c>
      <c r="DB183">
        <v>115100</v>
      </c>
      <c r="DC183">
        <v>17800</v>
      </c>
    </row>
    <row r="184" spans="100:107" x14ac:dyDescent="0.25">
      <c r="CV184" t="s">
        <v>139</v>
      </c>
      <c r="CW184">
        <v>1</v>
      </c>
      <c r="CX184" t="s">
        <v>519</v>
      </c>
      <c r="CY184" t="s">
        <v>520</v>
      </c>
      <c r="CZ184">
        <v>536</v>
      </c>
      <c r="DA184">
        <v>3.3</v>
      </c>
      <c r="DB184">
        <v>115100</v>
      </c>
      <c r="DC184">
        <v>17800</v>
      </c>
    </row>
    <row r="185" spans="100:107" x14ac:dyDescent="0.25">
      <c r="CV185" t="s">
        <v>139</v>
      </c>
      <c r="CW185">
        <v>2</v>
      </c>
      <c r="CX185" t="s">
        <v>521</v>
      </c>
      <c r="CY185" t="s">
        <v>522</v>
      </c>
      <c r="CZ185">
        <v>473</v>
      </c>
      <c r="DA185">
        <v>3.7</v>
      </c>
      <c r="DB185">
        <v>115100</v>
      </c>
      <c r="DC185">
        <v>17800</v>
      </c>
    </row>
    <row r="186" spans="100:107" x14ac:dyDescent="0.25">
      <c r="CV186" t="s">
        <v>139</v>
      </c>
      <c r="CW186">
        <v>3</v>
      </c>
      <c r="CX186" t="s">
        <v>523</v>
      </c>
      <c r="CY186" t="s">
        <v>524</v>
      </c>
      <c r="CZ186">
        <v>418</v>
      </c>
      <c r="DA186">
        <v>4.2</v>
      </c>
      <c r="DB186">
        <v>115100</v>
      </c>
      <c r="DC186">
        <v>17800</v>
      </c>
    </row>
    <row r="187" spans="100:107" x14ac:dyDescent="0.25">
      <c r="CV187" t="s">
        <v>139</v>
      </c>
      <c r="CW187">
        <v>4</v>
      </c>
      <c r="CX187" t="s">
        <v>525</v>
      </c>
      <c r="CY187" t="s">
        <v>526</v>
      </c>
      <c r="CZ187">
        <v>367</v>
      </c>
      <c r="DA187">
        <v>4.8</v>
      </c>
      <c r="DB187">
        <v>115100</v>
      </c>
      <c r="DC187">
        <v>17800</v>
      </c>
    </row>
    <row r="188" spans="100:107" x14ac:dyDescent="0.25">
      <c r="CV188" t="s">
        <v>139</v>
      </c>
      <c r="CW188">
        <v>5</v>
      </c>
      <c r="CX188" t="s">
        <v>527</v>
      </c>
      <c r="CY188" t="s">
        <v>528</v>
      </c>
      <c r="CZ188">
        <v>330</v>
      </c>
      <c r="DA188">
        <v>5.3</v>
      </c>
      <c r="DB188">
        <v>115100</v>
      </c>
      <c r="DC188">
        <v>17800</v>
      </c>
    </row>
    <row r="189" spans="100:107" x14ac:dyDescent="0.25">
      <c r="CV189" t="s">
        <v>139</v>
      </c>
      <c r="CW189">
        <v>6</v>
      </c>
      <c r="CX189" t="s">
        <v>529</v>
      </c>
      <c r="CY189" t="s">
        <v>530</v>
      </c>
      <c r="CZ189">
        <v>287</v>
      </c>
      <c r="DA189">
        <v>6.1</v>
      </c>
      <c r="DB189">
        <v>115100</v>
      </c>
      <c r="DC189">
        <v>17800</v>
      </c>
    </row>
    <row r="190" spans="100:107" x14ac:dyDescent="0.25">
      <c r="CV190" t="s">
        <v>139</v>
      </c>
      <c r="CW190">
        <v>7</v>
      </c>
      <c r="CX190" t="s">
        <v>531</v>
      </c>
      <c r="CY190" t="s">
        <v>532</v>
      </c>
      <c r="CZ190">
        <v>253</v>
      </c>
      <c r="DA190">
        <v>6.9</v>
      </c>
      <c r="DB190">
        <v>115100</v>
      </c>
      <c r="DC190">
        <v>17800</v>
      </c>
    </row>
    <row r="191" spans="100:107" x14ac:dyDescent="0.25">
      <c r="CV191" t="s">
        <v>139</v>
      </c>
      <c r="CW191">
        <v>8</v>
      </c>
      <c r="CX191" t="s">
        <v>533</v>
      </c>
      <c r="CY191" t="s">
        <v>534</v>
      </c>
      <c r="CZ191">
        <v>213</v>
      </c>
      <c r="DA191">
        <v>8.1999999999999993</v>
      </c>
      <c r="DB191">
        <v>115100</v>
      </c>
      <c r="DC191">
        <v>17800</v>
      </c>
    </row>
    <row r="192" spans="100:107" x14ac:dyDescent="0.25">
      <c r="CV192" t="s">
        <v>139</v>
      </c>
      <c r="CW192">
        <v>9</v>
      </c>
      <c r="CX192" t="s">
        <v>535</v>
      </c>
      <c r="CY192" t="s">
        <v>536</v>
      </c>
      <c r="CZ192">
        <v>200</v>
      </c>
      <c r="DA192">
        <v>8.6999999999999993</v>
      </c>
      <c r="DB192">
        <v>106200</v>
      </c>
      <c r="DC192">
        <v>17800</v>
      </c>
    </row>
    <row r="193" spans="100:107" x14ac:dyDescent="0.25">
      <c r="CV193" t="s">
        <v>139</v>
      </c>
      <c r="CW193">
        <v>10</v>
      </c>
      <c r="CX193" t="s">
        <v>537</v>
      </c>
      <c r="CY193" t="s">
        <v>538</v>
      </c>
      <c r="CZ193">
        <v>166</v>
      </c>
      <c r="DA193">
        <v>11</v>
      </c>
      <c r="DB193">
        <v>106200</v>
      </c>
      <c r="DC193">
        <v>17800</v>
      </c>
    </row>
    <row r="194" spans="100:107" x14ac:dyDescent="0.25">
      <c r="CV194" t="s">
        <v>139</v>
      </c>
      <c r="CW194">
        <v>11</v>
      </c>
      <c r="CX194" t="s">
        <v>539</v>
      </c>
      <c r="CY194" t="s">
        <v>540</v>
      </c>
      <c r="CZ194">
        <v>147</v>
      </c>
      <c r="DA194">
        <v>12</v>
      </c>
      <c r="DB194">
        <v>106200</v>
      </c>
      <c r="DC194">
        <v>17800</v>
      </c>
    </row>
    <row r="195" spans="100:107" x14ac:dyDescent="0.25">
      <c r="CV195" t="s">
        <v>139</v>
      </c>
      <c r="CW195">
        <v>12</v>
      </c>
      <c r="CX195" t="s">
        <v>541</v>
      </c>
      <c r="CY195" t="s">
        <v>542</v>
      </c>
      <c r="CZ195">
        <v>0</v>
      </c>
      <c r="DA195">
        <v>0</v>
      </c>
      <c r="DB195">
        <v>0</v>
      </c>
      <c r="DC195">
        <v>17800</v>
      </c>
    </row>
    <row r="196" spans="100:107" x14ac:dyDescent="0.25">
      <c r="CV196" t="s">
        <v>139</v>
      </c>
      <c r="CW196">
        <v>13</v>
      </c>
      <c r="CX196" t="s">
        <v>543</v>
      </c>
      <c r="CY196" t="s">
        <v>542</v>
      </c>
      <c r="CZ196">
        <v>0</v>
      </c>
      <c r="DA196">
        <v>0</v>
      </c>
      <c r="DB196">
        <v>0</v>
      </c>
      <c r="DC196">
        <v>17800</v>
      </c>
    </row>
    <row r="197" spans="100:107" x14ac:dyDescent="0.25">
      <c r="CV197" t="s">
        <v>139</v>
      </c>
      <c r="CW197">
        <v>14</v>
      </c>
      <c r="CX197" t="s">
        <v>544</v>
      </c>
      <c r="CY197" t="s">
        <v>542</v>
      </c>
      <c r="CZ197">
        <v>0</v>
      </c>
      <c r="DA197">
        <v>0</v>
      </c>
      <c r="DB197">
        <v>0</v>
      </c>
      <c r="DC197">
        <v>17800</v>
      </c>
    </row>
    <row r="198" spans="100:107" x14ac:dyDescent="0.25">
      <c r="CV198" t="s">
        <v>139</v>
      </c>
      <c r="CW198">
        <v>15</v>
      </c>
      <c r="CX198" t="s">
        <v>545</v>
      </c>
      <c r="CY198" t="s">
        <v>542</v>
      </c>
      <c r="CZ198">
        <v>0</v>
      </c>
      <c r="DA198">
        <v>0</v>
      </c>
      <c r="DB198">
        <v>0</v>
      </c>
      <c r="DC198">
        <v>17800</v>
      </c>
    </row>
    <row r="199" spans="100:107" x14ac:dyDescent="0.25">
      <c r="CV199" t="s">
        <v>140</v>
      </c>
      <c r="CW199">
        <v>1</v>
      </c>
      <c r="CX199" t="s">
        <v>546</v>
      </c>
      <c r="CY199" t="s">
        <v>547</v>
      </c>
      <c r="CZ199">
        <v>150.41</v>
      </c>
      <c r="DA199">
        <v>12</v>
      </c>
      <c r="DB199">
        <v>159300</v>
      </c>
      <c r="DC199">
        <v>24100</v>
      </c>
    </row>
    <row r="200" spans="100:107" x14ac:dyDescent="0.25">
      <c r="CV200" t="s">
        <v>140</v>
      </c>
      <c r="CW200">
        <v>2</v>
      </c>
      <c r="CX200" t="s">
        <v>548</v>
      </c>
      <c r="CY200" t="s">
        <v>549</v>
      </c>
      <c r="CZ200">
        <v>122.39</v>
      </c>
      <c r="DA200">
        <v>14</v>
      </c>
      <c r="DB200">
        <v>159300</v>
      </c>
      <c r="DC200">
        <v>22100</v>
      </c>
    </row>
    <row r="201" spans="100:107" x14ac:dyDescent="0.25">
      <c r="CV201" t="s">
        <v>140</v>
      </c>
      <c r="CW201">
        <v>3</v>
      </c>
      <c r="CX201" t="s">
        <v>550</v>
      </c>
      <c r="CY201" t="s">
        <v>551</v>
      </c>
      <c r="CZ201">
        <v>100.22</v>
      </c>
      <c r="DA201">
        <v>17</v>
      </c>
      <c r="DB201">
        <v>159300</v>
      </c>
      <c r="DC201">
        <v>20300</v>
      </c>
    </row>
    <row r="202" spans="100:107" x14ac:dyDescent="0.25">
      <c r="CV202" t="s">
        <v>140</v>
      </c>
      <c r="CW202">
        <v>4</v>
      </c>
      <c r="CX202" t="s">
        <v>552</v>
      </c>
      <c r="CY202" t="s">
        <v>553</v>
      </c>
      <c r="CZ202">
        <v>91.65</v>
      </c>
      <c r="DA202">
        <v>19</v>
      </c>
      <c r="DB202">
        <v>159300</v>
      </c>
      <c r="DC202">
        <v>19500</v>
      </c>
    </row>
    <row r="203" spans="100:107" x14ac:dyDescent="0.25">
      <c r="CV203" t="s">
        <v>140</v>
      </c>
      <c r="CW203">
        <v>5</v>
      </c>
      <c r="CX203" t="s">
        <v>554</v>
      </c>
      <c r="CY203" t="s">
        <v>555</v>
      </c>
      <c r="CZ203">
        <v>79.75</v>
      </c>
      <c r="DA203">
        <v>22</v>
      </c>
      <c r="DB203">
        <v>159300</v>
      </c>
      <c r="DC203">
        <v>18300</v>
      </c>
    </row>
    <row r="204" spans="100:107" x14ac:dyDescent="0.25">
      <c r="CV204" t="s">
        <v>140</v>
      </c>
      <c r="CW204">
        <v>6</v>
      </c>
      <c r="CX204" t="s">
        <v>556</v>
      </c>
      <c r="CY204" t="s">
        <v>557</v>
      </c>
      <c r="CZ204">
        <v>70.38</v>
      </c>
      <c r="DA204">
        <v>25</v>
      </c>
      <c r="DB204">
        <v>159300</v>
      </c>
      <c r="DC204">
        <v>17400</v>
      </c>
    </row>
    <row r="205" spans="100:107" x14ac:dyDescent="0.25">
      <c r="CV205" t="s">
        <v>140</v>
      </c>
      <c r="CW205">
        <v>7</v>
      </c>
      <c r="CX205" t="s">
        <v>558</v>
      </c>
      <c r="CY205" t="s">
        <v>559</v>
      </c>
      <c r="CZ205">
        <v>61.02</v>
      </c>
      <c r="DA205">
        <v>29</v>
      </c>
      <c r="DB205">
        <v>159300</v>
      </c>
      <c r="DC205">
        <v>16300</v>
      </c>
    </row>
    <row r="206" spans="100:107" x14ac:dyDescent="0.25">
      <c r="CV206" t="s">
        <v>140</v>
      </c>
      <c r="CW206">
        <v>8</v>
      </c>
      <c r="CX206" t="s">
        <v>560</v>
      </c>
      <c r="CY206" t="s">
        <v>561</v>
      </c>
      <c r="CZ206">
        <v>54.29</v>
      </c>
      <c r="DA206">
        <v>32</v>
      </c>
      <c r="DB206">
        <v>159300</v>
      </c>
      <c r="DC206">
        <v>15400</v>
      </c>
    </row>
    <row r="207" spans="100:107" x14ac:dyDescent="0.25">
      <c r="CV207" t="s">
        <v>140</v>
      </c>
      <c r="CW207">
        <v>9</v>
      </c>
      <c r="CX207" t="s">
        <v>562</v>
      </c>
      <c r="CY207" t="s">
        <v>563</v>
      </c>
      <c r="CZ207">
        <v>46.79</v>
      </c>
      <c r="DA207">
        <v>37</v>
      </c>
      <c r="DB207">
        <v>159300</v>
      </c>
      <c r="DC207">
        <v>14300</v>
      </c>
    </row>
    <row r="208" spans="100:107" x14ac:dyDescent="0.25">
      <c r="CV208" t="s">
        <v>140</v>
      </c>
      <c r="CW208">
        <v>10</v>
      </c>
      <c r="CX208" t="s">
        <v>564</v>
      </c>
      <c r="CY208" t="s">
        <v>565</v>
      </c>
      <c r="CZ208">
        <v>38.020000000000003</v>
      </c>
      <c r="DA208">
        <v>46</v>
      </c>
      <c r="DB208">
        <v>159300</v>
      </c>
      <c r="DC208">
        <v>12900</v>
      </c>
    </row>
    <row r="209" spans="100:107" x14ac:dyDescent="0.25">
      <c r="CV209" t="s">
        <v>140</v>
      </c>
      <c r="CW209">
        <v>11</v>
      </c>
      <c r="CX209" t="s">
        <v>566</v>
      </c>
      <c r="CY209" t="s">
        <v>567</v>
      </c>
      <c r="CZ209">
        <v>31.3</v>
      </c>
      <c r="DA209">
        <v>56</v>
      </c>
      <c r="DB209">
        <v>159300</v>
      </c>
      <c r="DC209">
        <v>11700</v>
      </c>
    </row>
    <row r="210" spans="100:107" x14ac:dyDescent="0.25">
      <c r="CV210" t="s">
        <v>140</v>
      </c>
      <c r="CW210">
        <v>12</v>
      </c>
      <c r="CX210" t="s">
        <v>568</v>
      </c>
      <c r="CY210" t="s">
        <v>569</v>
      </c>
      <c r="CZ210">
        <v>27.62</v>
      </c>
      <c r="DA210">
        <v>63</v>
      </c>
      <c r="DB210">
        <v>159300</v>
      </c>
      <c r="DC210">
        <v>10900</v>
      </c>
    </row>
    <row r="211" spans="100:107" x14ac:dyDescent="0.25">
      <c r="CV211" t="s">
        <v>140</v>
      </c>
      <c r="CW211">
        <v>13</v>
      </c>
      <c r="CX211" t="s">
        <v>570</v>
      </c>
      <c r="CY211" t="s">
        <v>571</v>
      </c>
      <c r="CZ211">
        <v>23.95</v>
      </c>
      <c r="DA211">
        <v>73</v>
      </c>
      <c r="DB211">
        <v>159300</v>
      </c>
      <c r="DC211">
        <v>10100</v>
      </c>
    </row>
    <row r="212" spans="100:107" x14ac:dyDescent="0.25">
      <c r="CV212" t="s">
        <v>140</v>
      </c>
      <c r="CW212">
        <v>14</v>
      </c>
      <c r="CX212" t="s">
        <v>572</v>
      </c>
      <c r="CY212" t="s">
        <v>573</v>
      </c>
      <c r="CZ212">
        <v>21.31</v>
      </c>
      <c r="DA212">
        <v>82</v>
      </c>
      <c r="DB212">
        <v>159300</v>
      </c>
      <c r="DC212">
        <v>9450</v>
      </c>
    </row>
    <row r="213" spans="100:107" x14ac:dyDescent="0.25">
      <c r="CV213" t="s">
        <v>140</v>
      </c>
      <c r="CW213">
        <v>15</v>
      </c>
      <c r="CX213" t="s">
        <v>574</v>
      </c>
      <c r="CY213" t="s">
        <v>575</v>
      </c>
      <c r="CZ213">
        <v>18.37</v>
      </c>
      <c r="DA213">
        <v>95</v>
      </c>
      <c r="DB213">
        <v>159300</v>
      </c>
      <c r="DC213">
        <v>8660</v>
      </c>
    </row>
    <row r="214" spans="100:107" x14ac:dyDescent="0.25">
      <c r="CV214" t="s">
        <v>141</v>
      </c>
      <c r="CW214">
        <v>1</v>
      </c>
      <c r="CX214" t="s">
        <v>576</v>
      </c>
      <c r="CY214" t="s">
        <v>577</v>
      </c>
      <c r="CZ214">
        <v>2029</v>
      </c>
      <c r="DA214">
        <v>0.86</v>
      </c>
      <c r="DB214">
        <v>159300</v>
      </c>
      <c r="DC214">
        <v>25200</v>
      </c>
    </row>
    <row r="215" spans="100:107" x14ac:dyDescent="0.25">
      <c r="CV215" t="s">
        <v>141</v>
      </c>
      <c r="CW215">
        <v>2</v>
      </c>
      <c r="CX215" t="s">
        <v>578</v>
      </c>
      <c r="CY215" t="s">
        <v>579</v>
      </c>
      <c r="CZ215">
        <v>1805</v>
      </c>
      <c r="DA215">
        <v>0.97</v>
      </c>
      <c r="DB215">
        <v>159300</v>
      </c>
      <c r="DC215">
        <v>25200</v>
      </c>
    </row>
    <row r="216" spans="100:107" x14ac:dyDescent="0.25">
      <c r="CV216" t="s">
        <v>141</v>
      </c>
      <c r="CW216">
        <v>3</v>
      </c>
      <c r="CX216" t="s">
        <v>580</v>
      </c>
      <c r="CY216" t="s">
        <v>581</v>
      </c>
      <c r="CZ216">
        <v>1365</v>
      </c>
      <c r="DA216">
        <v>1.3</v>
      </c>
      <c r="DB216">
        <v>159300</v>
      </c>
      <c r="DC216">
        <v>25200</v>
      </c>
    </row>
    <row r="217" spans="100:107" x14ac:dyDescent="0.25">
      <c r="CV217" t="s">
        <v>141</v>
      </c>
      <c r="CW217">
        <v>4</v>
      </c>
      <c r="CX217" t="s">
        <v>582</v>
      </c>
      <c r="CY217" t="s">
        <v>583</v>
      </c>
      <c r="CZ217">
        <v>1229</v>
      </c>
      <c r="DA217">
        <v>1.4</v>
      </c>
      <c r="DB217">
        <v>159300</v>
      </c>
      <c r="DC217">
        <v>25200</v>
      </c>
    </row>
    <row r="218" spans="100:107" x14ac:dyDescent="0.25">
      <c r="CV218" t="s">
        <v>141</v>
      </c>
      <c r="CW218">
        <v>5</v>
      </c>
      <c r="CX218" t="s">
        <v>584</v>
      </c>
      <c r="CY218" t="s">
        <v>585</v>
      </c>
      <c r="CZ218">
        <v>1093</v>
      </c>
      <c r="DA218">
        <v>1.6</v>
      </c>
      <c r="DB218">
        <v>159300</v>
      </c>
      <c r="DC218">
        <v>25200</v>
      </c>
    </row>
    <row r="219" spans="100:107" x14ac:dyDescent="0.25">
      <c r="CV219" t="s">
        <v>141</v>
      </c>
      <c r="CW219">
        <v>6</v>
      </c>
      <c r="CX219" t="s">
        <v>586</v>
      </c>
      <c r="CY219" t="s">
        <v>587</v>
      </c>
      <c r="CZ219">
        <v>942</v>
      </c>
      <c r="DA219">
        <v>1.9</v>
      </c>
      <c r="DB219">
        <v>159300</v>
      </c>
      <c r="DC219">
        <v>25200</v>
      </c>
    </row>
    <row r="220" spans="100:107" x14ac:dyDescent="0.25">
      <c r="CV220" t="s">
        <v>141</v>
      </c>
      <c r="CW220">
        <v>7</v>
      </c>
      <c r="CX220" t="s">
        <v>588</v>
      </c>
      <c r="CY220" t="s">
        <v>589</v>
      </c>
      <c r="CZ220">
        <v>854</v>
      </c>
      <c r="DA220">
        <v>2</v>
      </c>
      <c r="DB220">
        <v>159300</v>
      </c>
      <c r="DC220">
        <v>25200</v>
      </c>
    </row>
    <row r="221" spans="100:107" x14ac:dyDescent="0.25">
      <c r="CV221" t="s">
        <v>141</v>
      </c>
      <c r="CW221">
        <v>8</v>
      </c>
      <c r="CX221" t="s">
        <v>590</v>
      </c>
      <c r="CY221" t="s">
        <v>591</v>
      </c>
      <c r="CZ221">
        <v>756</v>
      </c>
      <c r="DA221">
        <v>2.2999999999999998</v>
      </c>
      <c r="DB221">
        <v>159300</v>
      </c>
      <c r="DC221">
        <v>25200</v>
      </c>
    </row>
    <row r="222" spans="100:107" x14ac:dyDescent="0.25">
      <c r="CV222" t="s">
        <v>141</v>
      </c>
      <c r="CW222">
        <v>9</v>
      </c>
      <c r="CX222" t="s">
        <v>592</v>
      </c>
      <c r="CY222" t="s">
        <v>593</v>
      </c>
      <c r="CZ222">
        <v>661</v>
      </c>
      <c r="DA222">
        <v>2.6</v>
      </c>
      <c r="DB222">
        <v>159300</v>
      </c>
      <c r="DC222">
        <v>25200</v>
      </c>
    </row>
    <row r="223" spans="100:107" x14ac:dyDescent="0.25">
      <c r="CV223" t="s">
        <v>141</v>
      </c>
      <c r="CW223">
        <v>10</v>
      </c>
      <c r="CX223" t="s">
        <v>594</v>
      </c>
      <c r="CY223" t="s">
        <v>595</v>
      </c>
      <c r="CZ223">
        <v>567</v>
      </c>
      <c r="DA223">
        <v>3.1</v>
      </c>
      <c r="DB223">
        <v>159300</v>
      </c>
      <c r="DC223">
        <v>25200</v>
      </c>
    </row>
    <row r="224" spans="100:107" x14ac:dyDescent="0.25">
      <c r="CV224" t="s">
        <v>141</v>
      </c>
      <c r="CW224">
        <v>11</v>
      </c>
      <c r="CX224" t="s">
        <v>596</v>
      </c>
      <c r="CY224" t="s">
        <v>597</v>
      </c>
      <c r="CZ224">
        <v>504</v>
      </c>
      <c r="DA224">
        <v>3.5</v>
      </c>
      <c r="DB224">
        <v>159300</v>
      </c>
      <c r="DC224">
        <v>25200</v>
      </c>
    </row>
    <row r="225" spans="100:107" x14ac:dyDescent="0.25">
      <c r="CV225" t="s">
        <v>141</v>
      </c>
      <c r="CW225">
        <v>12</v>
      </c>
      <c r="CX225" t="s">
        <v>598</v>
      </c>
      <c r="CY225" t="s">
        <v>599</v>
      </c>
      <c r="CZ225">
        <v>434</v>
      </c>
      <c r="DA225">
        <v>4</v>
      </c>
      <c r="DB225">
        <v>159300</v>
      </c>
      <c r="DC225">
        <v>25200</v>
      </c>
    </row>
    <row r="226" spans="100:107" x14ac:dyDescent="0.25">
      <c r="CV226" t="s">
        <v>141</v>
      </c>
      <c r="CW226">
        <v>13</v>
      </c>
      <c r="CX226" t="s">
        <v>600</v>
      </c>
      <c r="CY226" t="s">
        <v>601</v>
      </c>
      <c r="CZ226">
        <v>379</v>
      </c>
      <c r="DA226">
        <v>4.5999999999999996</v>
      </c>
      <c r="DB226">
        <v>159300</v>
      </c>
      <c r="DC226">
        <v>25200</v>
      </c>
    </row>
    <row r="227" spans="100:107" x14ac:dyDescent="0.25">
      <c r="CV227" t="s">
        <v>141</v>
      </c>
      <c r="CW227">
        <v>14</v>
      </c>
      <c r="CX227" t="s">
        <v>602</v>
      </c>
      <c r="CY227" t="s">
        <v>603</v>
      </c>
      <c r="CZ227">
        <v>333</v>
      </c>
      <c r="DA227">
        <v>5.3</v>
      </c>
      <c r="DB227">
        <v>159300</v>
      </c>
      <c r="DC227">
        <v>25200</v>
      </c>
    </row>
    <row r="228" spans="100:107" x14ac:dyDescent="0.25">
      <c r="CV228" t="s">
        <v>141</v>
      </c>
      <c r="CW228">
        <v>15</v>
      </c>
      <c r="CX228" t="s">
        <v>604</v>
      </c>
      <c r="CY228" t="s">
        <v>605</v>
      </c>
      <c r="CZ228">
        <v>291</v>
      </c>
      <c r="DA228">
        <v>6</v>
      </c>
      <c r="DB228">
        <v>159300</v>
      </c>
      <c r="DC228">
        <v>25200</v>
      </c>
    </row>
    <row r="229" spans="100:107" x14ac:dyDescent="0.25">
      <c r="CV229" t="s">
        <v>142</v>
      </c>
      <c r="CW229">
        <v>1</v>
      </c>
      <c r="CX229" t="s">
        <v>606</v>
      </c>
      <c r="CY229" t="s">
        <v>607</v>
      </c>
      <c r="CZ229">
        <v>385</v>
      </c>
      <c r="DA229">
        <v>4.5</v>
      </c>
      <c r="DB229">
        <v>159300</v>
      </c>
      <c r="DC229">
        <v>25200</v>
      </c>
    </row>
    <row r="230" spans="100:107" x14ac:dyDescent="0.25">
      <c r="CV230" t="s">
        <v>142</v>
      </c>
      <c r="CW230">
        <v>2</v>
      </c>
      <c r="CX230" t="s">
        <v>608</v>
      </c>
      <c r="CY230" t="s">
        <v>609</v>
      </c>
      <c r="CZ230">
        <v>325</v>
      </c>
      <c r="DA230">
        <v>5.4</v>
      </c>
      <c r="DB230">
        <v>159300</v>
      </c>
      <c r="DC230">
        <v>25200</v>
      </c>
    </row>
    <row r="231" spans="100:107" x14ac:dyDescent="0.25">
      <c r="CV231" t="s">
        <v>142</v>
      </c>
      <c r="CW231">
        <v>3</v>
      </c>
      <c r="CX231" t="s">
        <v>610</v>
      </c>
      <c r="CY231" t="s">
        <v>611</v>
      </c>
      <c r="CZ231">
        <v>299</v>
      </c>
      <c r="DA231">
        <v>5.9</v>
      </c>
      <c r="DB231">
        <v>159300</v>
      </c>
      <c r="DC231">
        <v>25200</v>
      </c>
    </row>
    <row r="232" spans="100:107" x14ac:dyDescent="0.25">
      <c r="CV232" t="s">
        <v>142</v>
      </c>
      <c r="CW232">
        <v>4</v>
      </c>
      <c r="CX232" t="s">
        <v>612</v>
      </c>
      <c r="CY232" t="s">
        <v>613</v>
      </c>
      <c r="CZ232">
        <v>253</v>
      </c>
      <c r="DA232">
        <v>6.9</v>
      </c>
      <c r="DB232">
        <v>159300</v>
      </c>
      <c r="DC232">
        <v>25200</v>
      </c>
    </row>
    <row r="233" spans="100:107" x14ac:dyDescent="0.25">
      <c r="CV233" t="s">
        <v>142</v>
      </c>
      <c r="CW233">
        <v>5</v>
      </c>
      <c r="CX233" t="s">
        <v>614</v>
      </c>
      <c r="CY233" t="s">
        <v>615</v>
      </c>
      <c r="CZ233">
        <v>230</v>
      </c>
      <c r="DA233">
        <v>7.6</v>
      </c>
      <c r="DB233">
        <v>159300</v>
      </c>
      <c r="DC233">
        <v>25200</v>
      </c>
    </row>
    <row r="234" spans="100:107" x14ac:dyDescent="0.25">
      <c r="CV234" t="s">
        <v>142</v>
      </c>
      <c r="CW234">
        <v>6</v>
      </c>
      <c r="CX234" t="s">
        <v>616</v>
      </c>
      <c r="CY234" t="s">
        <v>617</v>
      </c>
      <c r="CZ234">
        <v>213</v>
      </c>
      <c r="DA234">
        <v>8.1999999999999993</v>
      </c>
      <c r="DB234">
        <v>159300</v>
      </c>
      <c r="DC234">
        <v>25200</v>
      </c>
    </row>
    <row r="235" spans="100:107" x14ac:dyDescent="0.25">
      <c r="CV235" t="s">
        <v>142</v>
      </c>
      <c r="CW235">
        <v>7</v>
      </c>
      <c r="CX235" t="s">
        <v>618</v>
      </c>
      <c r="CY235" t="s">
        <v>619</v>
      </c>
      <c r="CZ235">
        <v>187</v>
      </c>
      <c r="DA235">
        <v>9.3000000000000007</v>
      </c>
      <c r="DB235">
        <v>159300</v>
      </c>
      <c r="DC235">
        <v>25200</v>
      </c>
    </row>
    <row r="236" spans="100:107" x14ac:dyDescent="0.25">
      <c r="CV236" t="s">
        <v>142</v>
      </c>
      <c r="CW236">
        <v>8</v>
      </c>
      <c r="CX236" t="s">
        <v>620</v>
      </c>
      <c r="CY236" t="s">
        <v>621</v>
      </c>
      <c r="CZ236">
        <v>157</v>
      </c>
      <c r="DA236">
        <v>11</v>
      </c>
      <c r="DB236">
        <v>159300</v>
      </c>
      <c r="DC236">
        <v>24500</v>
      </c>
    </row>
    <row r="237" spans="100:107" x14ac:dyDescent="0.25">
      <c r="CV237" t="s">
        <v>142</v>
      </c>
      <c r="CW237">
        <v>9</v>
      </c>
      <c r="CX237" t="s">
        <v>622</v>
      </c>
      <c r="CY237" t="s">
        <v>623</v>
      </c>
      <c r="CZ237">
        <v>122</v>
      </c>
      <c r="DA237">
        <v>14</v>
      </c>
      <c r="DB237">
        <v>159300</v>
      </c>
      <c r="DC237">
        <v>22100</v>
      </c>
    </row>
    <row r="238" spans="100:107" x14ac:dyDescent="0.25">
      <c r="CV238" t="s">
        <v>142</v>
      </c>
      <c r="CW238">
        <v>10</v>
      </c>
      <c r="CX238" t="s">
        <v>624</v>
      </c>
      <c r="CY238" t="s">
        <v>625</v>
      </c>
      <c r="CZ238">
        <v>107</v>
      </c>
      <c r="DA238">
        <v>16</v>
      </c>
      <c r="DB238">
        <v>159300</v>
      </c>
      <c r="DC238">
        <v>20900</v>
      </c>
    </row>
    <row r="239" spans="100:107" x14ac:dyDescent="0.25">
      <c r="CV239" t="s">
        <v>142</v>
      </c>
      <c r="CW239">
        <v>11</v>
      </c>
      <c r="CX239" t="s">
        <v>626</v>
      </c>
      <c r="CY239" t="s">
        <v>627</v>
      </c>
      <c r="CZ239">
        <v>0</v>
      </c>
      <c r="DA239">
        <v>0</v>
      </c>
      <c r="DB239">
        <v>0</v>
      </c>
    </row>
    <row r="240" spans="100:107" x14ac:dyDescent="0.25">
      <c r="CV240" t="s">
        <v>142</v>
      </c>
      <c r="CW240">
        <v>12</v>
      </c>
      <c r="CX240" t="s">
        <v>628</v>
      </c>
      <c r="CY240" t="s">
        <v>629</v>
      </c>
      <c r="CZ240">
        <v>0</v>
      </c>
      <c r="DA240">
        <v>63</v>
      </c>
      <c r="DB240">
        <v>0</v>
      </c>
    </row>
    <row r="241" spans="100:107" x14ac:dyDescent="0.25">
      <c r="CV241" t="s">
        <v>142</v>
      </c>
      <c r="CW241">
        <v>13</v>
      </c>
      <c r="CX241" t="s">
        <v>630</v>
      </c>
      <c r="CY241" t="s">
        <v>627</v>
      </c>
      <c r="CZ241">
        <v>0</v>
      </c>
      <c r="DA241">
        <v>0</v>
      </c>
      <c r="DB241">
        <v>0</v>
      </c>
    </row>
    <row r="242" spans="100:107" x14ac:dyDescent="0.25">
      <c r="CV242" t="s">
        <v>142</v>
      </c>
      <c r="CW242">
        <v>14</v>
      </c>
      <c r="CX242" t="s">
        <v>631</v>
      </c>
      <c r="CY242" t="s">
        <v>627</v>
      </c>
      <c r="CZ242">
        <v>0</v>
      </c>
      <c r="DA242">
        <v>0</v>
      </c>
      <c r="DB242">
        <v>0</v>
      </c>
    </row>
    <row r="243" spans="100:107" x14ac:dyDescent="0.25">
      <c r="CV243" t="s">
        <v>142</v>
      </c>
      <c r="CW243">
        <v>15</v>
      </c>
      <c r="CX243" t="s">
        <v>632</v>
      </c>
      <c r="CY243" t="s">
        <v>627</v>
      </c>
      <c r="CZ243">
        <v>0</v>
      </c>
      <c r="DA243">
        <v>0</v>
      </c>
      <c r="DB243">
        <v>0</v>
      </c>
    </row>
    <row r="244" spans="100:107" x14ac:dyDescent="0.25">
      <c r="CV244" t="s">
        <v>143</v>
      </c>
      <c r="CW244">
        <v>1</v>
      </c>
      <c r="CX244" t="s">
        <v>633</v>
      </c>
      <c r="CY244" t="s">
        <v>634</v>
      </c>
      <c r="CZ244">
        <v>164.5</v>
      </c>
      <c r="DA244">
        <v>11</v>
      </c>
      <c r="DB244">
        <v>283200</v>
      </c>
      <c r="DC244">
        <v>33700</v>
      </c>
    </row>
    <row r="245" spans="100:107" x14ac:dyDescent="0.25">
      <c r="CV245" t="s">
        <v>143</v>
      </c>
      <c r="CW245">
        <v>2</v>
      </c>
      <c r="CX245" t="s">
        <v>635</v>
      </c>
      <c r="CY245" t="s">
        <v>636</v>
      </c>
      <c r="CZ245">
        <v>134.99</v>
      </c>
      <c r="DA245">
        <v>13</v>
      </c>
      <c r="DB245">
        <v>283200</v>
      </c>
      <c r="DC245">
        <v>33700</v>
      </c>
    </row>
    <row r="246" spans="100:107" x14ac:dyDescent="0.25">
      <c r="CV246" t="s">
        <v>143</v>
      </c>
      <c r="CW246">
        <v>3</v>
      </c>
      <c r="CX246" t="s">
        <v>637</v>
      </c>
      <c r="CY246" t="s">
        <v>638</v>
      </c>
      <c r="CZ246">
        <v>109.83</v>
      </c>
      <c r="DA246">
        <v>16</v>
      </c>
      <c r="DB246">
        <v>283200</v>
      </c>
      <c r="DC246">
        <v>33500</v>
      </c>
    </row>
    <row r="247" spans="100:107" x14ac:dyDescent="0.25">
      <c r="CV247" t="s">
        <v>143</v>
      </c>
      <c r="CW247">
        <v>4</v>
      </c>
      <c r="CX247" t="s">
        <v>639</v>
      </c>
      <c r="CY247" t="s">
        <v>640</v>
      </c>
      <c r="CZ247">
        <v>87.86</v>
      </c>
      <c r="DA247">
        <v>20</v>
      </c>
      <c r="DB247">
        <v>283200</v>
      </c>
      <c r="DC247">
        <v>30500</v>
      </c>
    </row>
    <row r="248" spans="100:107" x14ac:dyDescent="0.25">
      <c r="CV248" t="s">
        <v>143</v>
      </c>
      <c r="CW248">
        <v>5</v>
      </c>
      <c r="CX248" t="s">
        <v>641</v>
      </c>
      <c r="CY248" t="s">
        <v>642</v>
      </c>
      <c r="CZ248">
        <v>78.14</v>
      </c>
      <c r="DA248">
        <v>22</v>
      </c>
      <c r="DB248">
        <v>283200</v>
      </c>
      <c r="DC248">
        <v>28900</v>
      </c>
    </row>
    <row r="249" spans="100:107" x14ac:dyDescent="0.25">
      <c r="CV249" t="s">
        <v>143</v>
      </c>
      <c r="CW249">
        <v>6</v>
      </c>
      <c r="CX249" t="s">
        <v>643</v>
      </c>
      <c r="CY249" t="s">
        <v>644</v>
      </c>
      <c r="CZ249">
        <v>68.069999999999993</v>
      </c>
      <c r="DA249">
        <v>26</v>
      </c>
      <c r="DB249">
        <v>283200</v>
      </c>
      <c r="DC249">
        <v>27200</v>
      </c>
    </row>
    <row r="250" spans="100:107" x14ac:dyDescent="0.25">
      <c r="CV250" t="s">
        <v>143</v>
      </c>
      <c r="CW250">
        <v>7</v>
      </c>
      <c r="CX250" t="s">
        <v>645</v>
      </c>
      <c r="CY250" t="s">
        <v>646</v>
      </c>
      <c r="CZ250">
        <v>60.74</v>
      </c>
      <c r="DA250">
        <v>29</v>
      </c>
      <c r="DB250">
        <v>283200</v>
      </c>
      <c r="DC250">
        <v>25900</v>
      </c>
    </row>
    <row r="251" spans="100:107" x14ac:dyDescent="0.25">
      <c r="CV251" t="s">
        <v>143</v>
      </c>
      <c r="CW251">
        <v>8</v>
      </c>
      <c r="CX251" t="s">
        <v>647</v>
      </c>
      <c r="CY251" t="s">
        <v>648</v>
      </c>
      <c r="CZ251">
        <v>51.77</v>
      </c>
      <c r="DA251">
        <v>34</v>
      </c>
      <c r="DB251">
        <v>283200</v>
      </c>
      <c r="DC251">
        <v>24100</v>
      </c>
    </row>
    <row r="252" spans="100:107" x14ac:dyDescent="0.25">
      <c r="CV252" t="s">
        <v>143</v>
      </c>
      <c r="CW252">
        <v>9</v>
      </c>
      <c r="CX252" t="s">
        <v>649</v>
      </c>
      <c r="CY252" t="s">
        <v>650</v>
      </c>
      <c r="CZ252">
        <v>42.89</v>
      </c>
      <c r="DA252">
        <v>41</v>
      </c>
      <c r="DB252">
        <v>283200</v>
      </c>
      <c r="DC252">
        <v>22000</v>
      </c>
    </row>
    <row r="253" spans="100:107" x14ac:dyDescent="0.25">
      <c r="CV253" t="s">
        <v>143</v>
      </c>
      <c r="CW253">
        <v>10</v>
      </c>
      <c r="CX253" t="s">
        <v>651</v>
      </c>
      <c r="CY253" t="s">
        <v>652</v>
      </c>
      <c r="CZ253">
        <v>36.61</v>
      </c>
      <c r="DA253">
        <v>48</v>
      </c>
      <c r="DB253">
        <v>283200</v>
      </c>
      <c r="DC253">
        <v>20400</v>
      </c>
    </row>
    <row r="254" spans="100:107" x14ac:dyDescent="0.25">
      <c r="CV254" t="s">
        <v>143</v>
      </c>
      <c r="CW254">
        <v>11</v>
      </c>
      <c r="CX254" t="s">
        <v>653</v>
      </c>
      <c r="CY254" t="s">
        <v>654</v>
      </c>
      <c r="CZ254">
        <v>32.25</v>
      </c>
      <c r="DA254">
        <v>54</v>
      </c>
      <c r="DB254">
        <v>283200</v>
      </c>
      <c r="DC254">
        <v>19100</v>
      </c>
    </row>
    <row r="255" spans="100:107" x14ac:dyDescent="0.25">
      <c r="CV255" t="s">
        <v>143</v>
      </c>
      <c r="CW255">
        <v>12</v>
      </c>
      <c r="CX255" t="s">
        <v>655</v>
      </c>
      <c r="CY255" t="s">
        <v>656</v>
      </c>
      <c r="CZ255">
        <v>28.77</v>
      </c>
      <c r="DA255">
        <v>61</v>
      </c>
      <c r="DB255">
        <v>283200</v>
      </c>
      <c r="DC255">
        <v>18000</v>
      </c>
    </row>
    <row r="256" spans="100:107" x14ac:dyDescent="0.25">
      <c r="CV256" t="s">
        <v>143</v>
      </c>
      <c r="CW256">
        <v>13</v>
      </c>
      <c r="CX256" t="s">
        <v>657</v>
      </c>
      <c r="CY256" t="s">
        <v>658</v>
      </c>
      <c r="CZ256">
        <v>24.52</v>
      </c>
      <c r="DA256">
        <v>71</v>
      </c>
      <c r="DB256">
        <v>283200</v>
      </c>
      <c r="DC256">
        <v>16600</v>
      </c>
    </row>
    <row r="257" spans="100:107" x14ac:dyDescent="0.25">
      <c r="CV257" t="s">
        <v>143</v>
      </c>
      <c r="CW257">
        <v>14</v>
      </c>
      <c r="CX257" t="s">
        <v>659</v>
      </c>
      <c r="CY257" t="s">
        <v>660</v>
      </c>
      <c r="CZ257">
        <v>20.32</v>
      </c>
      <c r="DA257">
        <v>86</v>
      </c>
      <c r="DB257">
        <v>283200</v>
      </c>
      <c r="DC257">
        <v>14900</v>
      </c>
    </row>
    <row r="258" spans="100:107" x14ac:dyDescent="0.25">
      <c r="CV258" t="s">
        <v>143</v>
      </c>
      <c r="CW258">
        <v>15</v>
      </c>
      <c r="CX258" t="s">
        <v>661</v>
      </c>
      <c r="CY258" t="s">
        <v>662</v>
      </c>
      <c r="CZ258">
        <v>17.34</v>
      </c>
      <c r="DA258">
        <v>101</v>
      </c>
      <c r="DB258">
        <v>283200</v>
      </c>
      <c r="DC258">
        <v>13600</v>
      </c>
    </row>
    <row r="259" spans="100:107" x14ac:dyDescent="0.25">
      <c r="CV259" t="s">
        <v>144</v>
      </c>
      <c r="CW259">
        <v>1</v>
      </c>
      <c r="CX259" t="s">
        <v>663</v>
      </c>
      <c r="CY259" t="s">
        <v>664</v>
      </c>
      <c r="CZ259">
        <v>4788</v>
      </c>
      <c r="DA259">
        <v>0.37</v>
      </c>
      <c r="DB259">
        <v>283200</v>
      </c>
      <c r="DC259">
        <v>33700</v>
      </c>
    </row>
    <row r="260" spans="100:107" x14ac:dyDescent="0.25">
      <c r="CV260" t="s">
        <v>144</v>
      </c>
      <c r="CW260">
        <v>2</v>
      </c>
      <c r="CX260" t="s">
        <v>665</v>
      </c>
      <c r="CY260" t="s">
        <v>666</v>
      </c>
      <c r="CZ260">
        <v>1079</v>
      </c>
      <c r="DA260">
        <v>0.43</v>
      </c>
      <c r="DB260">
        <v>283200</v>
      </c>
      <c r="DC260">
        <v>33700</v>
      </c>
    </row>
    <row r="261" spans="100:107" x14ac:dyDescent="0.25">
      <c r="CV261" t="s">
        <v>144</v>
      </c>
      <c r="CW261">
        <v>3</v>
      </c>
      <c r="CX261" t="s">
        <v>667</v>
      </c>
      <c r="CY261" t="s">
        <v>668</v>
      </c>
      <c r="CZ261">
        <v>2755</v>
      </c>
      <c r="DA261">
        <v>0.64</v>
      </c>
      <c r="DB261">
        <v>283200</v>
      </c>
      <c r="DC261">
        <v>33700</v>
      </c>
    </row>
    <row r="262" spans="100:107" x14ac:dyDescent="0.25">
      <c r="CV262" t="s">
        <v>144</v>
      </c>
      <c r="CW262">
        <v>4</v>
      </c>
      <c r="CX262" t="s">
        <v>669</v>
      </c>
      <c r="CY262" t="s">
        <v>670</v>
      </c>
      <c r="CZ262">
        <v>2263</v>
      </c>
      <c r="DA262">
        <v>0.77</v>
      </c>
      <c r="DB262">
        <v>283200</v>
      </c>
      <c r="DC262">
        <v>33700</v>
      </c>
    </row>
    <row r="263" spans="100:107" x14ac:dyDescent="0.25">
      <c r="CV263" t="s">
        <v>144</v>
      </c>
      <c r="CW263">
        <v>5</v>
      </c>
      <c r="CX263" t="s">
        <v>671</v>
      </c>
      <c r="CY263" t="s">
        <v>672</v>
      </c>
      <c r="CZ263">
        <v>1704</v>
      </c>
      <c r="DA263">
        <v>1</v>
      </c>
      <c r="DB263">
        <v>283200</v>
      </c>
      <c r="DC263">
        <v>33700</v>
      </c>
    </row>
    <row r="264" spans="100:107" x14ac:dyDescent="0.25">
      <c r="CV264" t="s">
        <v>144</v>
      </c>
      <c r="CW264">
        <v>6</v>
      </c>
      <c r="CX264" t="s">
        <v>673</v>
      </c>
      <c r="CY264" t="s">
        <v>674</v>
      </c>
      <c r="CZ264">
        <v>1296</v>
      </c>
      <c r="DA264">
        <v>1.4</v>
      </c>
      <c r="DB264">
        <v>283200</v>
      </c>
      <c r="DC264">
        <v>33700</v>
      </c>
    </row>
    <row r="265" spans="100:107" x14ac:dyDescent="0.25">
      <c r="CV265" t="s">
        <v>144</v>
      </c>
      <c r="CW265">
        <v>7</v>
      </c>
      <c r="CX265" t="s">
        <v>675</v>
      </c>
      <c r="CY265" t="s">
        <v>676</v>
      </c>
      <c r="CZ265">
        <v>1101</v>
      </c>
      <c r="DA265">
        <v>1.6</v>
      </c>
      <c r="DB265">
        <v>283200</v>
      </c>
      <c r="DC265">
        <v>33700</v>
      </c>
    </row>
    <row r="266" spans="100:107" x14ac:dyDescent="0.25">
      <c r="CV266" t="s">
        <v>144</v>
      </c>
      <c r="CW266">
        <v>8</v>
      </c>
      <c r="CX266" t="s">
        <v>677</v>
      </c>
      <c r="CY266" t="s">
        <v>678</v>
      </c>
      <c r="CZ266">
        <v>944</v>
      </c>
      <c r="DA266">
        <v>1.9</v>
      </c>
      <c r="DB266">
        <v>283200</v>
      </c>
      <c r="DC266">
        <v>33700</v>
      </c>
    </row>
    <row r="267" spans="100:107" x14ac:dyDescent="0.25">
      <c r="CV267" t="s">
        <v>144</v>
      </c>
      <c r="CW267">
        <v>9</v>
      </c>
      <c r="CX267" t="s">
        <v>679</v>
      </c>
      <c r="CY267" t="s">
        <v>680</v>
      </c>
      <c r="CZ267">
        <v>843</v>
      </c>
      <c r="DA267">
        <v>2.1</v>
      </c>
      <c r="DB267">
        <v>283200</v>
      </c>
      <c r="DC267">
        <v>33700</v>
      </c>
    </row>
    <row r="268" spans="100:107" x14ac:dyDescent="0.25">
      <c r="CV268" t="s">
        <v>144</v>
      </c>
      <c r="CW268">
        <v>10</v>
      </c>
      <c r="CX268" t="s">
        <v>681</v>
      </c>
      <c r="CY268" t="s">
        <v>682</v>
      </c>
      <c r="CZ268">
        <v>757</v>
      </c>
      <c r="DA268">
        <v>2.2999999999999998</v>
      </c>
      <c r="DB268">
        <v>283200</v>
      </c>
      <c r="DC268">
        <v>33700</v>
      </c>
    </row>
    <row r="269" spans="100:107" x14ac:dyDescent="0.25">
      <c r="CV269" t="s">
        <v>144</v>
      </c>
      <c r="CW269">
        <v>11</v>
      </c>
      <c r="CX269" t="s">
        <v>683</v>
      </c>
      <c r="CY269" t="s">
        <v>684</v>
      </c>
      <c r="CZ269">
        <v>632</v>
      </c>
      <c r="DA269">
        <v>2.8</v>
      </c>
      <c r="DB269">
        <v>283200</v>
      </c>
      <c r="DC269">
        <v>33700</v>
      </c>
    </row>
    <row r="270" spans="100:107" x14ac:dyDescent="0.25">
      <c r="CV270" t="s">
        <v>144</v>
      </c>
      <c r="CW270">
        <v>12</v>
      </c>
      <c r="CX270" t="s">
        <v>685</v>
      </c>
      <c r="CY270" t="s">
        <v>686</v>
      </c>
      <c r="CZ270">
        <v>561</v>
      </c>
      <c r="DA270">
        <v>3.1</v>
      </c>
      <c r="DB270">
        <v>283200</v>
      </c>
      <c r="DC270">
        <v>33700</v>
      </c>
    </row>
    <row r="271" spans="100:107" x14ac:dyDescent="0.25">
      <c r="CV271" t="s">
        <v>144</v>
      </c>
      <c r="CW271">
        <v>13</v>
      </c>
      <c r="CX271" t="s">
        <v>687</v>
      </c>
      <c r="CY271" t="s">
        <v>688</v>
      </c>
      <c r="CZ271">
        <v>481</v>
      </c>
      <c r="DA271">
        <v>3.6</v>
      </c>
      <c r="DB271">
        <v>283200</v>
      </c>
      <c r="DC271">
        <v>33700</v>
      </c>
    </row>
    <row r="272" spans="100:107" x14ac:dyDescent="0.25">
      <c r="CV272" t="s">
        <v>144</v>
      </c>
      <c r="CW272">
        <v>14</v>
      </c>
      <c r="CX272" t="s">
        <v>689</v>
      </c>
      <c r="CY272" t="s">
        <v>690</v>
      </c>
      <c r="CZ272">
        <v>423</v>
      </c>
      <c r="DA272">
        <v>4.0999999999999996</v>
      </c>
      <c r="DB272">
        <v>283200</v>
      </c>
      <c r="DC272">
        <v>33700</v>
      </c>
    </row>
    <row r="273" spans="100:107" x14ac:dyDescent="0.25">
      <c r="CV273" t="s">
        <v>144</v>
      </c>
      <c r="CW273">
        <v>15</v>
      </c>
      <c r="CX273" t="s">
        <v>691</v>
      </c>
      <c r="CY273" t="s">
        <v>692</v>
      </c>
      <c r="CZ273">
        <v>369</v>
      </c>
      <c r="DA273">
        <v>4.8</v>
      </c>
      <c r="DB273">
        <v>283200</v>
      </c>
      <c r="DC273">
        <v>33700</v>
      </c>
    </row>
    <row r="274" spans="100:107" x14ac:dyDescent="0.25">
      <c r="CV274" t="s">
        <v>145</v>
      </c>
      <c r="CW274">
        <v>1</v>
      </c>
      <c r="CX274" t="s">
        <v>693</v>
      </c>
      <c r="CY274" t="s">
        <v>694</v>
      </c>
      <c r="CZ274">
        <v>318</v>
      </c>
      <c r="DA274">
        <v>5.5</v>
      </c>
      <c r="DB274">
        <v>283200</v>
      </c>
      <c r="DC274">
        <v>33700</v>
      </c>
    </row>
    <row r="275" spans="100:107" x14ac:dyDescent="0.25">
      <c r="CV275" t="s">
        <v>145</v>
      </c>
      <c r="CW275">
        <v>2</v>
      </c>
      <c r="CX275" t="s">
        <v>695</v>
      </c>
      <c r="CY275" t="s">
        <v>696</v>
      </c>
      <c r="CZ275">
        <v>278</v>
      </c>
      <c r="DA275">
        <v>6.3</v>
      </c>
      <c r="DB275">
        <v>283200</v>
      </c>
      <c r="DC275">
        <v>33700</v>
      </c>
    </row>
    <row r="276" spans="100:107" x14ac:dyDescent="0.25">
      <c r="CV276" t="s">
        <v>145</v>
      </c>
      <c r="CW276">
        <v>3</v>
      </c>
      <c r="CX276" t="s">
        <v>697</v>
      </c>
      <c r="CY276" t="s">
        <v>698</v>
      </c>
      <c r="CZ276">
        <v>244</v>
      </c>
      <c r="DA276">
        <v>7.2</v>
      </c>
      <c r="DB276">
        <v>283200</v>
      </c>
      <c r="DC276">
        <v>33700</v>
      </c>
    </row>
    <row r="277" spans="100:107" x14ac:dyDescent="0.25">
      <c r="CV277" t="s">
        <v>145</v>
      </c>
      <c r="CW277">
        <v>4</v>
      </c>
      <c r="CX277" t="s">
        <v>699</v>
      </c>
      <c r="CY277" t="s">
        <v>700</v>
      </c>
      <c r="CZ277">
        <v>213</v>
      </c>
      <c r="DA277">
        <v>8.1999999999999993</v>
      </c>
      <c r="DB277">
        <v>283200</v>
      </c>
      <c r="DC277">
        <v>33700</v>
      </c>
    </row>
    <row r="278" spans="100:107" x14ac:dyDescent="0.25">
      <c r="CV278" t="s">
        <v>145</v>
      </c>
      <c r="CW278">
        <v>5</v>
      </c>
      <c r="CX278" t="s">
        <v>701</v>
      </c>
      <c r="CY278" t="s">
        <v>702</v>
      </c>
      <c r="CZ278">
        <v>206</v>
      </c>
      <c r="DA278">
        <v>8.5</v>
      </c>
      <c r="DB278">
        <v>283200</v>
      </c>
      <c r="DC278">
        <v>33700</v>
      </c>
    </row>
    <row r="279" spans="100:107" x14ac:dyDescent="0.25">
      <c r="CV279" t="s">
        <v>145</v>
      </c>
      <c r="CW279">
        <v>6</v>
      </c>
      <c r="CX279" t="s">
        <v>703</v>
      </c>
      <c r="CY279" t="s">
        <v>704</v>
      </c>
      <c r="CZ279">
        <v>160</v>
      </c>
      <c r="DA279">
        <v>11</v>
      </c>
      <c r="DB279">
        <v>283200</v>
      </c>
      <c r="DC279">
        <v>33700</v>
      </c>
    </row>
    <row r="280" spans="100:107" x14ac:dyDescent="0.25">
      <c r="CV280" t="s">
        <v>145</v>
      </c>
      <c r="CW280">
        <v>7</v>
      </c>
      <c r="CX280" t="s">
        <v>705</v>
      </c>
      <c r="CY280" t="s">
        <v>706</v>
      </c>
      <c r="CZ280">
        <v>135</v>
      </c>
      <c r="DA280">
        <v>13</v>
      </c>
      <c r="DB280">
        <v>283200</v>
      </c>
      <c r="DC280">
        <v>33700</v>
      </c>
    </row>
    <row r="281" spans="100:107" x14ac:dyDescent="0.25">
      <c r="CV281" t="s">
        <v>145</v>
      </c>
      <c r="CW281">
        <v>8</v>
      </c>
      <c r="CX281" t="s">
        <v>707</v>
      </c>
      <c r="CY281" t="s">
        <v>708</v>
      </c>
      <c r="CZ281">
        <v>118</v>
      </c>
      <c r="DA281">
        <v>15</v>
      </c>
      <c r="DB281">
        <v>283200</v>
      </c>
      <c r="DC281">
        <v>33700</v>
      </c>
    </row>
    <row r="282" spans="100:107" x14ac:dyDescent="0.25">
      <c r="CV282" t="s">
        <v>145</v>
      </c>
      <c r="CW282">
        <v>9</v>
      </c>
      <c r="CX282" t="s">
        <v>709</v>
      </c>
      <c r="CY282" t="s">
        <v>710</v>
      </c>
      <c r="CZ282">
        <v>0</v>
      </c>
      <c r="DA282">
        <v>0</v>
      </c>
      <c r="DB282">
        <v>0</v>
      </c>
      <c r="DC282">
        <v>0</v>
      </c>
    </row>
    <row r="283" spans="100:107" x14ac:dyDescent="0.25">
      <c r="CV283" t="s">
        <v>145</v>
      </c>
      <c r="CW283">
        <v>10</v>
      </c>
      <c r="CX283" t="s">
        <v>711</v>
      </c>
      <c r="CY283" t="s">
        <v>710</v>
      </c>
      <c r="CZ283">
        <v>0</v>
      </c>
      <c r="DA283">
        <v>0</v>
      </c>
      <c r="DB283">
        <v>0</v>
      </c>
      <c r="DC283">
        <v>0</v>
      </c>
    </row>
    <row r="284" spans="100:107" x14ac:dyDescent="0.25">
      <c r="CV284" t="s">
        <v>145</v>
      </c>
      <c r="CW284">
        <v>11</v>
      </c>
      <c r="CX284" t="s">
        <v>712</v>
      </c>
      <c r="CY284" t="s">
        <v>710</v>
      </c>
      <c r="CZ284">
        <v>0</v>
      </c>
      <c r="DA284">
        <v>0</v>
      </c>
      <c r="DB284">
        <v>0</v>
      </c>
      <c r="DC284">
        <v>0</v>
      </c>
    </row>
    <row r="285" spans="100:107" x14ac:dyDescent="0.25">
      <c r="CV285" t="s">
        <v>145</v>
      </c>
      <c r="CW285">
        <v>12</v>
      </c>
      <c r="CX285" t="s">
        <v>713</v>
      </c>
      <c r="CY285" t="s">
        <v>710</v>
      </c>
      <c r="CZ285">
        <v>0</v>
      </c>
      <c r="DA285">
        <v>0</v>
      </c>
      <c r="DB285">
        <v>0</v>
      </c>
      <c r="DC285">
        <v>0</v>
      </c>
    </row>
    <row r="286" spans="100:107" x14ac:dyDescent="0.25">
      <c r="CV286" t="s">
        <v>145</v>
      </c>
      <c r="CW286">
        <v>13</v>
      </c>
      <c r="CX286" t="s">
        <v>714</v>
      </c>
      <c r="CY286" t="s">
        <v>710</v>
      </c>
      <c r="CZ286">
        <v>0</v>
      </c>
      <c r="DA286">
        <v>0</v>
      </c>
      <c r="DB286">
        <v>0</v>
      </c>
      <c r="DC286">
        <v>0</v>
      </c>
    </row>
    <row r="287" spans="100:107" x14ac:dyDescent="0.25">
      <c r="CV287" t="s">
        <v>145</v>
      </c>
      <c r="CW287">
        <v>14</v>
      </c>
      <c r="CX287" t="s">
        <v>715</v>
      </c>
      <c r="CY287" t="s">
        <v>710</v>
      </c>
      <c r="CZ287">
        <v>0</v>
      </c>
      <c r="DA287">
        <v>0</v>
      </c>
      <c r="DB287">
        <v>0</v>
      </c>
      <c r="DC287">
        <v>0</v>
      </c>
    </row>
    <row r="288" spans="100:107" x14ac:dyDescent="0.25">
      <c r="CV288" t="s">
        <v>145</v>
      </c>
      <c r="CW288">
        <v>15</v>
      </c>
      <c r="CX288" t="s">
        <v>716</v>
      </c>
      <c r="CY288" t="s">
        <v>710</v>
      </c>
      <c r="CZ288">
        <v>0</v>
      </c>
      <c r="DA288">
        <v>0</v>
      </c>
      <c r="DB288">
        <v>0</v>
      </c>
      <c r="DC288">
        <v>0</v>
      </c>
    </row>
    <row r="289" spans="100:107" x14ac:dyDescent="0.25">
      <c r="CV289" t="s">
        <v>146</v>
      </c>
      <c r="CW289">
        <v>1</v>
      </c>
      <c r="CX289" t="s">
        <v>1375</v>
      </c>
      <c r="CY289" t="s">
        <v>1601</v>
      </c>
      <c r="CZ289" s="144">
        <v>35.79</v>
      </c>
      <c r="DA289">
        <v>47</v>
      </c>
      <c r="DB289">
        <v>5310</v>
      </c>
      <c r="DC289">
        <v>1690</v>
      </c>
    </row>
    <row r="290" spans="100:107" x14ac:dyDescent="0.25">
      <c r="CV290" t="s">
        <v>146</v>
      </c>
      <c r="CW290">
        <v>2</v>
      </c>
      <c r="CX290" t="s">
        <v>1376</v>
      </c>
      <c r="CY290" t="s">
        <v>1602</v>
      </c>
      <c r="CZ290" s="144">
        <v>38.21</v>
      </c>
      <c r="DA290">
        <v>44</v>
      </c>
      <c r="DB290">
        <v>5310</v>
      </c>
      <c r="DC290">
        <v>1740</v>
      </c>
    </row>
    <row r="291" spans="100:107" x14ac:dyDescent="0.25">
      <c r="CV291" t="s">
        <v>146</v>
      </c>
      <c r="CW291">
        <v>3</v>
      </c>
      <c r="CX291" t="s">
        <v>1377</v>
      </c>
      <c r="CY291" t="s">
        <v>1603</v>
      </c>
      <c r="CZ291" s="144">
        <v>44.73</v>
      </c>
      <c r="DA291">
        <v>38</v>
      </c>
      <c r="DB291">
        <v>5310</v>
      </c>
      <c r="DC291">
        <v>1880</v>
      </c>
    </row>
    <row r="292" spans="100:107" x14ac:dyDescent="0.25">
      <c r="CV292" t="s">
        <v>146</v>
      </c>
      <c r="CW292">
        <v>4</v>
      </c>
      <c r="CX292" t="s">
        <v>1378</v>
      </c>
      <c r="CY292" t="s">
        <v>1604</v>
      </c>
      <c r="CZ292" s="144">
        <v>50.1</v>
      </c>
      <c r="DA292">
        <v>34</v>
      </c>
      <c r="DB292">
        <v>5310</v>
      </c>
      <c r="DC292">
        <v>1980</v>
      </c>
    </row>
    <row r="293" spans="100:107" x14ac:dyDescent="0.25">
      <c r="CV293" t="s">
        <v>146</v>
      </c>
      <c r="CW293">
        <v>5</v>
      </c>
      <c r="CX293" t="s">
        <v>1379</v>
      </c>
      <c r="CY293" t="s">
        <v>1605</v>
      </c>
      <c r="CZ293" s="144">
        <v>58.97</v>
      </c>
      <c r="DA293">
        <v>29</v>
      </c>
      <c r="DB293">
        <v>5310</v>
      </c>
      <c r="DC293">
        <v>2070</v>
      </c>
    </row>
    <row r="294" spans="100:107" x14ac:dyDescent="0.25">
      <c r="CV294" t="s">
        <v>146</v>
      </c>
      <c r="CW294">
        <v>6</v>
      </c>
      <c r="CX294" t="s">
        <v>1380</v>
      </c>
      <c r="CY294" t="s">
        <v>1606</v>
      </c>
      <c r="CZ294" s="144">
        <v>68.22</v>
      </c>
      <c r="DA294">
        <v>25</v>
      </c>
      <c r="DB294">
        <v>5310</v>
      </c>
      <c r="DC294">
        <v>2070</v>
      </c>
    </row>
    <row r="295" spans="100:107" x14ac:dyDescent="0.25">
      <c r="CV295" t="s">
        <v>146</v>
      </c>
      <c r="CW295">
        <v>7</v>
      </c>
      <c r="CX295" t="s">
        <v>1381</v>
      </c>
      <c r="CY295" t="s">
        <v>1607</v>
      </c>
      <c r="CZ295" s="144">
        <v>72.98</v>
      </c>
      <c r="DA295">
        <v>23</v>
      </c>
      <c r="DB295">
        <v>5310</v>
      </c>
      <c r="DC295">
        <v>2070</v>
      </c>
    </row>
    <row r="296" spans="100:107" x14ac:dyDescent="0.25">
      <c r="CV296" t="s">
        <v>146</v>
      </c>
      <c r="CW296">
        <v>8</v>
      </c>
      <c r="CX296" t="s">
        <v>1382</v>
      </c>
      <c r="CY296" t="s">
        <v>1608</v>
      </c>
      <c r="CZ296" s="144">
        <v>83.46</v>
      </c>
      <c r="DA296">
        <v>20</v>
      </c>
      <c r="DB296">
        <v>5310</v>
      </c>
      <c r="DC296">
        <v>2070</v>
      </c>
    </row>
    <row r="297" spans="100:107" x14ac:dyDescent="0.25">
      <c r="CV297" t="s">
        <v>146</v>
      </c>
      <c r="CW297">
        <v>9</v>
      </c>
      <c r="CX297" t="s">
        <v>1383</v>
      </c>
      <c r="CY297" t="s">
        <v>1609</v>
      </c>
      <c r="CZ297" s="144">
        <v>93.47</v>
      </c>
      <c r="DA297">
        <v>18</v>
      </c>
      <c r="DB297">
        <v>5310</v>
      </c>
      <c r="DC297">
        <v>2070</v>
      </c>
    </row>
    <row r="298" spans="100:107" x14ac:dyDescent="0.25">
      <c r="CV298" t="s">
        <v>146</v>
      </c>
      <c r="CW298">
        <v>10</v>
      </c>
      <c r="CX298" t="s">
        <v>1384</v>
      </c>
      <c r="CY298" t="s">
        <v>1610</v>
      </c>
      <c r="CZ298" s="144">
        <v>110.01</v>
      </c>
      <c r="DA298">
        <v>15</v>
      </c>
      <c r="DB298">
        <v>5310</v>
      </c>
      <c r="DC298">
        <v>2070</v>
      </c>
    </row>
    <row r="299" spans="100:107" x14ac:dyDescent="0.25">
      <c r="CV299" t="s">
        <v>146</v>
      </c>
      <c r="CW299">
        <v>11</v>
      </c>
      <c r="CX299" t="s">
        <v>1385</v>
      </c>
      <c r="CY299" t="s">
        <v>1611</v>
      </c>
      <c r="CZ299" s="144">
        <v>127.27</v>
      </c>
      <c r="DA299">
        <v>13</v>
      </c>
      <c r="DB299">
        <v>5310</v>
      </c>
      <c r="DC299">
        <v>2070</v>
      </c>
    </row>
    <row r="300" spans="100:107" x14ac:dyDescent="0.25">
      <c r="CV300" t="s">
        <v>146</v>
      </c>
      <c r="CW300">
        <v>12</v>
      </c>
      <c r="CX300" t="s">
        <v>1386</v>
      </c>
      <c r="CY300" t="s">
        <v>1612</v>
      </c>
      <c r="CZ300" s="144">
        <v>136.16</v>
      </c>
      <c r="DA300">
        <v>12</v>
      </c>
      <c r="DB300">
        <v>5310</v>
      </c>
      <c r="DC300">
        <v>2070</v>
      </c>
    </row>
    <row r="301" spans="100:107" x14ac:dyDescent="0.25">
      <c r="CV301" t="s">
        <v>146</v>
      </c>
      <c r="CW301">
        <v>13</v>
      </c>
      <c r="CX301" t="s">
        <v>1387</v>
      </c>
      <c r="CY301" t="s">
        <v>1613</v>
      </c>
      <c r="CZ301" s="144">
        <v>157.09</v>
      </c>
      <c r="DA301">
        <v>11</v>
      </c>
      <c r="DB301">
        <v>5310</v>
      </c>
      <c r="DC301">
        <v>2070</v>
      </c>
    </row>
    <row r="302" spans="100:107" x14ac:dyDescent="0.25">
      <c r="CV302" t="s">
        <v>146</v>
      </c>
      <c r="CW302">
        <v>14</v>
      </c>
      <c r="CX302" t="s">
        <v>1388</v>
      </c>
      <c r="CY302" t="s">
        <v>1614</v>
      </c>
      <c r="CZ302" s="144">
        <v>183.6</v>
      </c>
      <c r="DA302">
        <v>9.3000000000000007</v>
      </c>
      <c r="DB302">
        <v>5310</v>
      </c>
      <c r="DC302">
        <v>2070</v>
      </c>
    </row>
    <row r="303" spans="100:107" x14ac:dyDescent="0.25">
      <c r="CV303" t="s">
        <v>146</v>
      </c>
      <c r="CW303">
        <v>15</v>
      </c>
      <c r="CX303" t="s">
        <v>1389</v>
      </c>
      <c r="CY303" t="s">
        <v>1615</v>
      </c>
      <c r="CZ303" s="144">
        <v>199.7</v>
      </c>
      <c r="DA303">
        <v>8.5</v>
      </c>
      <c r="DB303">
        <v>5310</v>
      </c>
      <c r="DC303">
        <v>2070</v>
      </c>
    </row>
    <row r="304" spans="100:107" x14ac:dyDescent="0.25">
      <c r="CV304" t="s">
        <v>1265</v>
      </c>
      <c r="CW304">
        <v>1</v>
      </c>
      <c r="CX304" t="s">
        <v>1390</v>
      </c>
      <c r="CY304" t="s">
        <v>1616</v>
      </c>
      <c r="CZ304" s="144" t="s">
        <v>1266</v>
      </c>
      <c r="DA304">
        <v>7.5</v>
      </c>
      <c r="DB304">
        <v>5310</v>
      </c>
      <c r="DC304">
        <v>2070</v>
      </c>
    </row>
    <row r="305" spans="100:107" x14ac:dyDescent="0.25">
      <c r="CV305" t="s">
        <v>1265</v>
      </c>
      <c r="CW305">
        <v>2</v>
      </c>
      <c r="CX305" t="s">
        <v>1391</v>
      </c>
      <c r="CY305" t="s">
        <v>1617</v>
      </c>
      <c r="CZ305" s="144" t="s">
        <v>1267</v>
      </c>
      <c r="DA305">
        <v>6.7</v>
      </c>
      <c r="DB305">
        <v>5310</v>
      </c>
      <c r="DC305">
        <v>2070</v>
      </c>
    </row>
    <row r="306" spans="100:107" x14ac:dyDescent="0.25">
      <c r="CV306" t="s">
        <v>1265</v>
      </c>
      <c r="CW306">
        <v>3</v>
      </c>
      <c r="CX306" t="s">
        <v>1392</v>
      </c>
      <c r="CY306" t="s">
        <v>1618</v>
      </c>
      <c r="CZ306" s="144" t="s">
        <v>1268</v>
      </c>
      <c r="DA306">
        <v>6.5</v>
      </c>
      <c r="DB306">
        <v>5310</v>
      </c>
      <c r="DC306">
        <v>2070</v>
      </c>
    </row>
    <row r="307" spans="100:107" x14ac:dyDescent="0.25">
      <c r="CV307" t="s">
        <v>1265</v>
      </c>
      <c r="CW307">
        <v>4</v>
      </c>
      <c r="CX307" t="s">
        <v>1393</v>
      </c>
      <c r="CY307" t="s">
        <v>1619</v>
      </c>
      <c r="CZ307" s="144" t="s">
        <v>1269</v>
      </c>
      <c r="DA307">
        <v>5.7</v>
      </c>
      <c r="DB307">
        <v>5310</v>
      </c>
      <c r="DC307">
        <v>2070</v>
      </c>
    </row>
    <row r="308" spans="100:107" x14ac:dyDescent="0.25">
      <c r="CV308" t="s">
        <v>1265</v>
      </c>
      <c r="CW308">
        <v>5</v>
      </c>
      <c r="CX308" t="s">
        <v>1394</v>
      </c>
      <c r="CY308" t="s">
        <v>1620</v>
      </c>
      <c r="CZ308" s="144" t="s">
        <v>1270</v>
      </c>
      <c r="DA308">
        <v>5.2</v>
      </c>
      <c r="DB308">
        <v>5310</v>
      </c>
      <c r="DC308">
        <v>2070</v>
      </c>
    </row>
    <row r="309" spans="100:107" x14ac:dyDescent="0.25">
      <c r="CV309" t="s">
        <v>1265</v>
      </c>
      <c r="CW309">
        <v>6</v>
      </c>
      <c r="CX309" t="s">
        <v>1395</v>
      </c>
      <c r="CY309" t="s">
        <v>1621</v>
      </c>
      <c r="CZ309" s="144" t="s">
        <v>1271</v>
      </c>
      <c r="DA309">
        <v>5</v>
      </c>
      <c r="DB309">
        <v>5310</v>
      </c>
      <c r="DC309">
        <v>2070</v>
      </c>
    </row>
    <row r="310" spans="100:107" x14ac:dyDescent="0.25">
      <c r="CV310" t="s">
        <v>1265</v>
      </c>
      <c r="CW310">
        <v>7</v>
      </c>
      <c r="CX310" t="s">
        <v>1396</v>
      </c>
      <c r="CY310" t="s">
        <v>1622</v>
      </c>
      <c r="CZ310" s="144" t="s">
        <v>1272</v>
      </c>
      <c r="DA310">
        <v>4.5</v>
      </c>
      <c r="DB310">
        <v>5310</v>
      </c>
      <c r="DC310">
        <v>2070</v>
      </c>
    </row>
    <row r="311" spans="100:107" x14ac:dyDescent="0.25">
      <c r="CV311" t="s">
        <v>1265</v>
      </c>
      <c r="CW311">
        <v>8</v>
      </c>
      <c r="CX311" t="s">
        <v>1397</v>
      </c>
      <c r="CY311" t="s">
        <v>1623</v>
      </c>
      <c r="CZ311" s="144" t="s">
        <v>1273</v>
      </c>
      <c r="DA311">
        <v>4.4000000000000004</v>
      </c>
      <c r="DB311">
        <v>5310</v>
      </c>
      <c r="DC311">
        <v>2070</v>
      </c>
    </row>
    <row r="312" spans="100:107" x14ac:dyDescent="0.25">
      <c r="CV312" t="s">
        <v>1265</v>
      </c>
      <c r="CW312">
        <v>9</v>
      </c>
      <c r="CX312" t="s">
        <v>1398</v>
      </c>
      <c r="CY312" t="s">
        <v>1624</v>
      </c>
      <c r="CZ312" s="144" t="s">
        <v>1274</v>
      </c>
      <c r="DA312">
        <v>4</v>
      </c>
      <c r="DB312">
        <v>5310</v>
      </c>
      <c r="DC312">
        <v>2070</v>
      </c>
    </row>
    <row r="313" spans="100:107" x14ac:dyDescent="0.25">
      <c r="CV313" t="s">
        <v>1265</v>
      </c>
      <c r="CW313">
        <v>10</v>
      </c>
      <c r="CX313" t="s">
        <v>1399</v>
      </c>
      <c r="CY313" t="s">
        <v>1625</v>
      </c>
      <c r="CZ313" s="144" t="s">
        <v>1275</v>
      </c>
      <c r="DA313">
        <v>3.8</v>
      </c>
      <c r="DB313">
        <v>5310</v>
      </c>
      <c r="DC313">
        <v>2070</v>
      </c>
    </row>
    <row r="314" spans="100:107" x14ac:dyDescent="0.25">
      <c r="CV314" t="s">
        <v>1265</v>
      </c>
      <c r="CW314">
        <v>11</v>
      </c>
      <c r="CX314" t="s">
        <v>1400</v>
      </c>
      <c r="CY314" t="s">
        <v>1626</v>
      </c>
      <c r="CZ314" s="144" t="s">
        <v>1276</v>
      </c>
      <c r="DA314">
        <v>3.5</v>
      </c>
      <c r="DB314">
        <v>5310</v>
      </c>
      <c r="DC314">
        <v>2070</v>
      </c>
    </row>
    <row r="315" spans="100:107" x14ac:dyDescent="0.25">
      <c r="CV315" t="s">
        <v>1265</v>
      </c>
      <c r="CW315">
        <v>12</v>
      </c>
      <c r="CX315" t="s">
        <v>1401</v>
      </c>
      <c r="CY315" t="s">
        <v>1627</v>
      </c>
      <c r="CZ315" s="144" t="s">
        <v>1277</v>
      </c>
      <c r="DA315">
        <v>3.4</v>
      </c>
      <c r="DB315">
        <v>5310</v>
      </c>
      <c r="DC315">
        <v>2070</v>
      </c>
    </row>
    <row r="316" spans="100:107" x14ac:dyDescent="0.25">
      <c r="CV316" t="s">
        <v>1265</v>
      </c>
      <c r="CW316">
        <v>13</v>
      </c>
      <c r="CX316" t="s">
        <v>1402</v>
      </c>
      <c r="CY316" t="s">
        <v>1628</v>
      </c>
      <c r="CZ316" s="144" t="s">
        <v>1278</v>
      </c>
      <c r="DA316">
        <v>3.1</v>
      </c>
      <c r="DB316">
        <v>5310</v>
      </c>
      <c r="DC316">
        <v>2070</v>
      </c>
    </row>
    <row r="317" spans="100:107" x14ac:dyDescent="0.25">
      <c r="CV317" t="s">
        <v>1265</v>
      </c>
      <c r="CW317">
        <v>14</v>
      </c>
      <c r="CX317" t="s">
        <v>1403</v>
      </c>
      <c r="CY317" t="s">
        <v>1629</v>
      </c>
      <c r="CZ317" s="144" t="s">
        <v>1279</v>
      </c>
      <c r="DA317">
        <v>3</v>
      </c>
      <c r="DB317">
        <v>5310</v>
      </c>
      <c r="DC317">
        <v>2070</v>
      </c>
    </row>
    <row r="318" spans="100:107" x14ac:dyDescent="0.25">
      <c r="CV318" t="s">
        <v>1265</v>
      </c>
      <c r="CW318">
        <v>15</v>
      </c>
      <c r="CX318" t="s">
        <v>1404</v>
      </c>
      <c r="CY318" t="s">
        <v>1630</v>
      </c>
      <c r="CZ318" s="144" t="s">
        <v>1280</v>
      </c>
      <c r="DA318">
        <v>2.6</v>
      </c>
      <c r="DB318">
        <v>5310</v>
      </c>
      <c r="DC318">
        <v>2070</v>
      </c>
    </row>
    <row r="319" spans="100:107" x14ac:dyDescent="0.25">
      <c r="CV319" t="s">
        <v>1281</v>
      </c>
      <c r="CW319">
        <v>1</v>
      </c>
      <c r="CX319" t="s">
        <v>1405</v>
      </c>
      <c r="CY319" t="s">
        <v>1631</v>
      </c>
      <c r="CZ319" s="144">
        <v>43.2</v>
      </c>
      <c r="DA319">
        <v>39</v>
      </c>
      <c r="DB319">
        <v>7260</v>
      </c>
      <c r="DC319">
        <v>2320</v>
      </c>
    </row>
    <row r="320" spans="100:107" x14ac:dyDescent="0.25">
      <c r="CV320" t="s">
        <v>1281</v>
      </c>
      <c r="CW320">
        <v>2</v>
      </c>
      <c r="CX320" t="s">
        <v>1406</v>
      </c>
      <c r="CY320" t="s">
        <v>1632</v>
      </c>
      <c r="CZ320" s="144">
        <v>50.74</v>
      </c>
      <c r="DA320">
        <v>34</v>
      </c>
      <c r="DB320">
        <v>7260</v>
      </c>
      <c r="DC320">
        <v>2320</v>
      </c>
    </row>
    <row r="321" spans="100:107" x14ac:dyDescent="0.25">
      <c r="CV321" t="s">
        <v>1281</v>
      </c>
      <c r="CW321">
        <v>3</v>
      </c>
      <c r="CX321" t="s">
        <v>1407</v>
      </c>
      <c r="CY321" t="s">
        <v>1633</v>
      </c>
      <c r="CZ321" s="144">
        <v>53.73</v>
      </c>
      <c r="DA321">
        <v>32</v>
      </c>
      <c r="DB321">
        <v>7260</v>
      </c>
      <c r="DC321">
        <v>2320</v>
      </c>
    </row>
    <row r="322" spans="100:107" x14ac:dyDescent="0.25">
      <c r="CV322" t="s">
        <v>1281</v>
      </c>
      <c r="CW322">
        <v>4</v>
      </c>
      <c r="CX322" t="s">
        <v>1408</v>
      </c>
      <c r="CY322" t="s">
        <v>1634</v>
      </c>
      <c r="CZ322" s="144">
        <v>61.07</v>
      </c>
      <c r="DA322">
        <v>28</v>
      </c>
      <c r="DB322">
        <v>7260</v>
      </c>
      <c r="DC322">
        <v>2320</v>
      </c>
    </row>
    <row r="323" spans="100:107" x14ac:dyDescent="0.25">
      <c r="CV323" t="s">
        <v>1281</v>
      </c>
      <c r="CW323">
        <v>5</v>
      </c>
      <c r="CX323" t="s">
        <v>1409</v>
      </c>
      <c r="CY323" t="s">
        <v>1635</v>
      </c>
      <c r="CZ323" s="144">
        <v>67.650000000000006</v>
      </c>
      <c r="DA323">
        <v>25</v>
      </c>
      <c r="DB323">
        <v>7260</v>
      </c>
      <c r="DC323">
        <v>2320</v>
      </c>
    </row>
    <row r="324" spans="100:107" x14ac:dyDescent="0.25">
      <c r="CV324" t="s">
        <v>1281</v>
      </c>
      <c r="CW324">
        <v>6</v>
      </c>
      <c r="CX324" t="s">
        <v>1410</v>
      </c>
      <c r="CY324" t="s">
        <v>1636</v>
      </c>
      <c r="CZ324" s="144">
        <v>79.760000000000005</v>
      </c>
      <c r="DA324">
        <v>21</v>
      </c>
      <c r="DB324">
        <v>7260</v>
      </c>
      <c r="DC324">
        <v>2320</v>
      </c>
    </row>
    <row r="325" spans="100:107" x14ac:dyDescent="0.25">
      <c r="CV325" t="s">
        <v>1281</v>
      </c>
      <c r="CW325">
        <v>7</v>
      </c>
      <c r="CX325" t="s">
        <v>1411</v>
      </c>
      <c r="CY325" t="s">
        <v>1637</v>
      </c>
      <c r="CZ325" s="144">
        <v>90.59</v>
      </c>
      <c r="DA325">
        <v>19</v>
      </c>
      <c r="DB325">
        <v>7260</v>
      </c>
      <c r="DC325">
        <v>2320</v>
      </c>
    </row>
    <row r="326" spans="100:107" x14ac:dyDescent="0.25">
      <c r="CV326" t="s">
        <v>1281</v>
      </c>
      <c r="CW326">
        <v>8</v>
      </c>
      <c r="CX326" t="s">
        <v>1412</v>
      </c>
      <c r="CY326" t="s">
        <v>1638</v>
      </c>
      <c r="CZ326" s="144">
        <v>95.94</v>
      </c>
      <c r="DA326">
        <v>18</v>
      </c>
      <c r="DB326">
        <v>7260</v>
      </c>
      <c r="DC326">
        <v>2320</v>
      </c>
    </row>
    <row r="327" spans="100:107" x14ac:dyDescent="0.25">
      <c r="CV327" t="s">
        <v>1281</v>
      </c>
      <c r="CW327">
        <v>9</v>
      </c>
      <c r="CX327" t="s">
        <v>1413</v>
      </c>
      <c r="CY327" t="s">
        <v>1639</v>
      </c>
      <c r="CZ327" s="144">
        <v>109.04</v>
      </c>
      <c r="DA327">
        <v>16</v>
      </c>
      <c r="DB327">
        <v>7260</v>
      </c>
      <c r="DC327">
        <v>2320</v>
      </c>
    </row>
    <row r="328" spans="100:107" x14ac:dyDescent="0.25">
      <c r="CV328" t="s">
        <v>1281</v>
      </c>
      <c r="CW328">
        <v>10</v>
      </c>
      <c r="CX328" t="s">
        <v>1414</v>
      </c>
      <c r="CY328" t="s">
        <v>1640</v>
      </c>
      <c r="CZ328" s="144">
        <v>120.79</v>
      </c>
      <c r="DA328">
        <v>14</v>
      </c>
      <c r="DB328">
        <v>7260</v>
      </c>
      <c r="DC328">
        <v>2320</v>
      </c>
    </row>
    <row r="329" spans="100:107" x14ac:dyDescent="0.25">
      <c r="CV329" t="s">
        <v>1281</v>
      </c>
      <c r="CW329">
        <v>11</v>
      </c>
      <c r="CX329" t="s">
        <v>1415</v>
      </c>
      <c r="CY329" t="s">
        <v>1641</v>
      </c>
      <c r="CZ329" s="144">
        <v>142.4</v>
      </c>
      <c r="DA329">
        <v>12</v>
      </c>
      <c r="DB329">
        <v>7260</v>
      </c>
      <c r="DC329">
        <v>2320</v>
      </c>
    </row>
    <row r="330" spans="100:107" x14ac:dyDescent="0.25">
      <c r="CV330" t="s">
        <v>1281</v>
      </c>
      <c r="CW330">
        <v>12</v>
      </c>
      <c r="CX330" t="s">
        <v>1416</v>
      </c>
      <c r="CY330" t="s">
        <v>1642</v>
      </c>
      <c r="CZ330" s="144">
        <v>162.31</v>
      </c>
      <c r="DA330">
        <v>10</v>
      </c>
      <c r="DB330">
        <v>7260</v>
      </c>
      <c r="DC330">
        <v>2320</v>
      </c>
    </row>
    <row r="331" spans="100:107" x14ac:dyDescent="0.25">
      <c r="CV331" t="s">
        <v>1281</v>
      </c>
      <c r="CW331">
        <v>13</v>
      </c>
      <c r="CX331" t="s">
        <v>1417</v>
      </c>
      <c r="CY331" t="s">
        <v>1642</v>
      </c>
      <c r="CZ331" s="144">
        <v>170.85</v>
      </c>
      <c r="DA331">
        <v>10</v>
      </c>
      <c r="DB331">
        <v>7260</v>
      </c>
      <c r="DC331">
        <v>2320</v>
      </c>
    </row>
    <row r="332" spans="100:107" x14ac:dyDescent="0.25">
      <c r="CV332" t="s">
        <v>1281</v>
      </c>
      <c r="CW332">
        <v>14</v>
      </c>
      <c r="CX332" t="s">
        <v>1418</v>
      </c>
      <c r="CY332" t="s">
        <v>1643</v>
      </c>
      <c r="CZ332" s="144">
        <v>195.39</v>
      </c>
      <c r="DA332">
        <v>8.6999999999999993</v>
      </c>
      <c r="DB332">
        <v>7260</v>
      </c>
      <c r="DC332">
        <v>2320</v>
      </c>
    </row>
    <row r="333" spans="100:107" x14ac:dyDescent="0.25">
      <c r="CV333" t="s">
        <v>1281</v>
      </c>
      <c r="CW333">
        <v>15</v>
      </c>
      <c r="CX333" t="s">
        <v>1419</v>
      </c>
      <c r="CY333" t="s">
        <v>1644</v>
      </c>
      <c r="CZ333" s="144">
        <v>228.99</v>
      </c>
      <c r="DA333">
        <v>7.4</v>
      </c>
      <c r="DB333">
        <v>7260</v>
      </c>
      <c r="DC333">
        <v>2320</v>
      </c>
    </row>
    <row r="334" spans="100:107" x14ac:dyDescent="0.25">
      <c r="CV334" t="s">
        <v>147</v>
      </c>
      <c r="CW334">
        <v>1</v>
      </c>
      <c r="CX334" t="s">
        <v>1420</v>
      </c>
      <c r="CY334" t="s">
        <v>1645</v>
      </c>
      <c r="CZ334" s="144" t="s">
        <v>1282</v>
      </c>
      <c r="DA334">
        <v>7.1</v>
      </c>
      <c r="DB334">
        <v>7260</v>
      </c>
      <c r="DC334">
        <v>2320</v>
      </c>
    </row>
    <row r="335" spans="100:107" x14ac:dyDescent="0.25">
      <c r="CV335" t="s">
        <v>147</v>
      </c>
      <c r="CW335">
        <v>2</v>
      </c>
      <c r="CX335" t="s">
        <v>1421</v>
      </c>
      <c r="CY335" t="s">
        <v>1646</v>
      </c>
      <c r="CZ335" s="144" t="s">
        <v>1283</v>
      </c>
      <c r="DA335">
        <v>6.6</v>
      </c>
      <c r="DB335">
        <v>7260</v>
      </c>
      <c r="DC335">
        <v>2320</v>
      </c>
    </row>
    <row r="336" spans="100:107" x14ac:dyDescent="0.25">
      <c r="CV336" t="s">
        <v>147</v>
      </c>
      <c r="CW336">
        <v>3</v>
      </c>
      <c r="CX336" t="s">
        <v>1422</v>
      </c>
      <c r="CY336" t="s">
        <v>1647</v>
      </c>
      <c r="CZ336" s="144" t="s">
        <v>1284</v>
      </c>
      <c r="DA336">
        <v>6.5</v>
      </c>
      <c r="DB336">
        <v>7260</v>
      </c>
      <c r="DC336">
        <v>2320</v>
      </c>
    </row>
    <row r="337" spans="100:107" x14ac:dyDescent="0.25">
      <c r="CV337" t="s">
        <v>147</v>
      </c>
      <c r="CW337">
        <v>4</v>
      </c>
      <c r="CX337" t="s">
        <v>1423</v>
      </c>
      <c r="CY337" t="s">
        <v>1648</v>
      </c>
      <c r="CZ337" s="144" t="s">
        <v>1285</v>
      </c>
      <c r="DA337">
        <v>5.7</v>
      </c>
      <c r="DB337">
        <v>7260</v>
      </c>
      <c r="DC337">
        <v>2320</v>
      </c>
    </row>
    <row r="338" spans="100:107" x14ac:dyDescent="0.25">
      <c r="CV338" t="s">
        <v>147</v>
      </c>
      <c r="CW338">
        <v>5</v>
      </c>
      <c r="CX338" t="s">
        <v>1424</v>
      </c>
      <c r="CY338" t="s">
        <v>1649</v>
      </c>
      <c r="CZ338" s="144" t="s">
        <v>1286</v>
      </c>
      <c r="DA338">
        <v>5.6</v>
      </c>
      <c r="DB338">
        <v>7260</v>
      </c>
      <c r="DC338">
        <v>2320</v>
      </c>
    </row>
    <row r="339" spans="100:107" x14ac:dyDescent="0.25">
      <c r="CV339" t="s">
        <v>147</v>
      </c>
      <c r="CW339">
        <v>6</v>
      </c>
      <c r="CX339" t="s">
        <v>1425</v>
      </c>
      <c r="CY339" t="s">
        <v>1650</v>
      </c>
      <c r="CZ339" s="144" t="s">
        <v>1287</v>
      </c>
      <c r="DA339">
        <v>5.0999999999999996</v>
      </c>
      <c r="DB339">
        <v>7260</v>
      </c>
      <c r="DC339">
        <v>2320</v>
      </c>
    </row>
    <row r="340" spans="100:107" x14ac:dyDescent="0.25">
      <c r="CV340" t="s">
        <v>147</v>
      </c>
      <c r="CW340">
        <v>7</v>
      </c>
      <c r="CX340" t="s">
        <v>1426</v>
      </c>
      <c r="CY340" t="s">
        <v>1651</v>
      </c>
      <c r="CZ340" s="144" t="s">
        <v>1271</v>
      </c>
      <c r="DA340">
        <v>5</v>
      </c>
      <c r="DB340">
        <v>7260</v>
      </c>
      <c r="DC340">
        <v>2320</v>
      </c>
    </row>
    <row r="341" spans="100:107" x14ac:dyDescent="0.25">
      <c r="CV341" t="s">
        <v>147</v>
      </c>
      <c r="CW341">
        <v>8</v>
      </c>
      <c r="CX341" t="s">
        <v>1427</v>
      </c>
      <c r="CY341" t="s">
        <v>1652</v>
      </c>
      <c r="CZ341" s="144" t="s">
        <v>1288</v>
      </c>
      <c r="DA341">
        <v>4.4000000000000004</v>
      </c>
      <c r="DB341">
        <v>7260</v>
      </c>
      <c r="DC341">
        <v>2320</v>
      </c>
    </row>
    <row r="342" spans="100:107" x14ac:dyDescent="0.25">
      <c r="CV342" t="s">
        <v>147</v>
      </c>
      <c r="CW342">
        <v>9</v>
      </c>
      <c r="CX342" t="s">
        <v>1428</v>
      </c>
      <c r="CY342" t="s">
        <v>1653</v>
      </c>
      <c r="CZ342" s="144" t="s">
        <v>1289</v>
      </c>
      <c r="DA342">
        <v>4.3</v>
      </c>
      <c r="DB342">
        <v>7260</v>
      </c>
      <c r="DC342">
        <v>2320</v>
      </c>
    </row>
    <row r="343" spans="100:107" x14ac:dyDescent="0.25">
      <c r="CV343" t="s">
        <v>147</v>
      </c>
      <c r="CW343">
        <v>10</v>
      </c>
      <c r="CX343" t="s">
        <v>1429</v>
      </c>
      <c r="CY343" t="s">
        <v>1654</v>
      </c>
      <c r="CZ343" s="144" t="s">
        <v>1290</v>
      </c>
      <c r="DA343">
        <v>3.9</v>
      </c>
      <c r="DB343">
        <v>7260</v>
      </c>
      <c r="DC343">
        <v>2320</v>
      </c>
    </row>
    <row r="344" spans="100:107" x14ac:dyDescent="0.25">
      <c r="CV344" t="s">
        <v>147</v>
      </c>
      <c r="CW344">
        <v>11</v>
      </c>
      <c r="CX344" t="s">
        <v>1430</v>
      </c>
      <c r="CY344" t="s">
        <v>1655</v>
      </c>
      <c r="CZ344" s="144" t="s">
        <v>1291</v>
      </c>
      <c r="DA344">
        <v>3.7</v>
      </c>
      <c r="DB344">
        <v>7260</v>
      </c>
      <c r="DC344">
        <v>2320</v>
      </c>
    </row>
    <row r="345" spans="100:107" x14ac:dyDescent="0.25">
      <c r="CV345" t="s">
        <v>147</v>
      </c>
      <c r="CW345">
        <v>12</v>
      </c>
      <c r="CX345" t="s">
        <v>1431</v>
      </c>
      <c r="CY345" t="s">
        <v>1656</v>
      </c>
      <c r="CZ345" s="144" t="s">
        <v>1292</v>
      </c>
      <c r="DA345">
        <v>3.4</v>
      </c>
      <c r="DB345">
        <v>7260</v>
      </c>
      <c r="DC345">
        <v>2320</v>
      </c>
    </row>
    <row r="346" spans="100:107" x14ac:dyDescent="0.25">
      <c r="CV346" t="s">
        <v>147</v>
      </c>
      <c r="CW346">
        <v>13</v>
      </c>
      <c r="CX346" t="s">
        <v>1432</v>
      </c>
      <c r="CY346" t="s">
        <v>1657</v>
      </c>
      <c r="CZ346" s="144" t="s">
        <v>1293</v>
      </c>
      <c r="DA346">
        <v>3.3</v>
      </c>
      <c r="DB346">
        <v>7260</v>
      </c>
      <c r="DC346">
        <v>2320</v>
      </c>
    </row>
    <row r="347" spans="100:107" x14ac:dyDescent="0.25">
      <c r="CV347" t="s">
        <v>147</v>
      </c>
      <c r="CW347">
        <v>14</v>
      </c>
      <c r="CX347" t="s">
        <v>1433</v>
      </c>
      <c r="CY347" t="s">
        <v>1658</v>
      </c>
      <c r="CZ347" s="144" t="s">
        <v>1294</v>
      </c>
      <c r="DA347">
        <v>3.2</v>
      </c>
      <c r="DB347">
        <v>7260</v>
      </c>
      <c r="DC347">
        <v>2320</v>
      </c>
    </row>
    <row r="348" spans="100:107" x14ac:dyDescent="0.25">
      <c r="CV348" t="s">
        <v>147</v>
      </c>
      <c r="CW348">
        <v>15</v>
      </c>
      <c r="CX348" t="s">
        <v>1434</v>
      </c>
      <c r="CY348" t="s">
        <v>1659</v>
      </c>
      <c r="CZ348" s="144" t="s">
        <v>1295</v>
      </c>
      <c r="DA348">
        <v>3</v>
      </c>
      <c r="DB348">
        <v>7260</v>
      </c>
      <c r="DC348">
        <v>2320</v>
      </c>
    </row>
    <row r="349" spans="100:107" x14ac:dyDescent="0.25">
      <c r="CV349" t="s">
        <v>148</v>
      </c>
      <c r="CW349">
        <v>1</v>
      </c>
      <c r="CX349" t="s">
        <v>1435</v>
      </c>
      <c r="CY349" t="s">
        <v>1660</v>
      </c>
      <c r="CZ349" s="144">
        <v>66.459999999999994</v>
      </c>
      <c r="DA349">
        <v>26</v>
      </c>
      <c r="DB349">
        <v>13280</v>
      </c>
      <c r="DC349">
        <v>3530</v>
      </c>
    </row>
    <row r="350" spans="100:107" x14ac:dyDescent="0.25">
      <c r="CV350" t="s">
        <v>148</v>
      </c>
      <c r="CW350">
        <v>2</v>
      </c>
      <c r="CX350" t="s">
        <v>1436</v>
      </c>
      <c r="CY350" t="s">
        <v>1661</v>
      </c>
      <c r="CZ350" s="144">
        <v>72.5</v>
      </c>
      <c r="DA350">
        <v>23</v>
      </c>
      <c r="DB350">
        <v>13280</v>
      </c>
      <c r="DC350">
        <v>3530</v>
      </c>
    </row>
    <row r="351" spans="100:107" x14ac:dyDescent="0.25">
      <c r="CV351" t="s">
        <v>148</v>
      </c>
      <c r="CW351">
        <v>3</v>
      </c>
      <c r="CX351" t="s">
        <v>1437</v>
      </c>
      <c r="CY351" t="s">
        <v>1661</v>
      </c>
      <c r="CZ351" s="144">
        <v>75.02</v>
      </c>
      <c r="DA351">
        <v>23</v>
      </c>
      <c r="DB351">
        <v>13280</v>
      </c>
      <c r="DC351">
        <v>3530</v>
      </c>
    </row>
    <row r="352" spans="100:107" x14ac:dyDescent="0.25">
      <c r="CV352" t="s">
        <v>148</v>
      </c>
      <c r="CW352">
        <v>4</v>
      </c>
      <c r="CX352" t="s">
        <v>1438</v>
      </c>
      <c r="CY352" t="s">
        <v>1662</v>
      </c>
      <c r="CZ352" s="144">
        <v>85.52</v>
      </c>
      <c r="DA352">
        <v>20</v>
      </c>
      <c r="DB352">
        <v>13280</v>
      </c>
      <c r="DC352">
        <v>3530</v>
      </c>
    </row>
    <row r="353" spans="100:107" x14ac:dyDescent="0.25">
      <c r="CV353" t="s">
        <v>148</v>
      </c>
      <c r="CW353">
        <v>5</v>
      </c>
      <c r="CX353" t="s">
        <v>1439</v>
      </c>
      <c r="CY353" t="s">
        <v>1663</v>
      </c>
      <c r="CZ353" s="144">
        <v>94.93</v>
      </c>
      <c r="DA353">
        <v>18</v>
      </c>
      <c r="DB353">
        <v>13280</v>
      </c>
      <c r="DC353">
        <v>3530</v>
      </c>
    </row>
    <row r="354" spans="100:107" x14ac:dyDescent="0.25">
      <c r="CV354" t="s">
        <v>148</v>
      </c>
      <c r="CW354">
        <v>6</v>
      </c>
      <c r="CX354" t="s">
        <v>1440</v>
      </c>
      <c r="CY354" t="s">
        <v>1664</v>
      </c>
      <c r="CZ354" s="144">
        <v>108.46</v>
      </c>
      <c r="DA354">
        <v>16</v>
      </c>
      <c r="DB354">
        <v>13280</v>
      </c>
      <c r="DC354">
        <v>3530</v>
      </c>
    </row>
    <row r="355" spans="100:107" x14ac:dyDescent="0.25">
      <c r="CV355" t="s">
        <v>148</v>
      </c>
      <c r="CW355">
        <v>7</v>
      </c>
      <c r="CX355" t="s">
        <v>1441</v>
      </c>
      <c r="CY355" t="s">
        <v>1665</v>
      </c>
      <c r="CZ355" s="144">
        <v>114.45</v>
      </c>
      <c r="DA355">
        <v>15</v>
      </c>
      <c r="DB355">
        <v>13280</v>
      </c>
      <c r="DC355">
        <v>3530</v>
      </c>
    </row>
    <row r="356" spans="100:107" x14ac:dyDescent="0.25">
      <c r="CV356" t="s">
        <v>148</v>
      </c>
      <c r="CW356">
        <v>8</v>
      </c>
      <c r="CX356" t="s">
        <v>1442</v>
      </c>
      <c r="CY356" t="s">
        <v>1666</v>
      </c>
      <c r="CZ356" s="144">
        <v>130.41999999999999</v>
      </c>
      <c r="DA356">
        <v>13</v>
      </c>
      <c r="DB356">
        <v>13280</v>
      </c>
      <c r="DC356">
        <v>3530</v>
      </c>
    </row>
    <row r="357" spans="100:107" x14ac:dyDescent="0.25">
      <c r="CV357" t="s">
        <v>148</v>
      </c>
      <c r="CW357">
        <v>9</v>
      </c>
      <c r="CX357" t="s">
        <v>1443</v>
      </c>
      <c r="CY357" t="s">
        <v>1667</v>
      </c>
      <c r="CZ357" s="144">
        <v>142.27000000000001</v>
      </c>
      <c r="DA357">
        <v>12</v>
      </c>
      <c r="DB357">
        <v>13280</v>
      </c>
      <c r="DC357">
        <v>3530</v>
      </c>
    </row>
    <row r="358" spans="100:107" x14ac:dyDescent="0.25">
      <c r="CV358" t="s">
        <v>148</v>
      </c>
      <c r="CW358">
        <v>10</v>
      </c>
      <c r="CX358" t="s">
        <v>1444</v>
      </c>
      <c r="CY358" t="s">
        <v>1668</v>
      </c>
      <c r="CZ358" s="144">
        <v>166.47</v>
      </c>
      <c r="DA358">
        <v>10</v>
      </c>
      <c r="DB358">
        <v>13280</v>
      </c>
      <c r="DC358">
        <v>3530</v>
      </c>
    </row>
    <row r="359" spans="100:107" x14ac:dyDescent="0.25">
      <c r="CV359" t="s">
        <v>148</v>
      </c>
      <c r="CW359">
        <v>11</v>
      </c>
      <c r="CX359" t="s">
        <v>1445</v>
      </c>
      <c r="CY359" t="s">
        <v>1669</v>
      </c>
      <c r="CZ359" s="144">
        <v>188.4</v>
      </c>
      <c r="DA359">
        <v>9</v>
      </c>
      <c r="DB359">
        <v>13280</v>
      </c>
      <c r="DC359">
        <v>3530</v>
      </c>
    </row>
    <row r="360" spans="100:107" x14ac:dyDescent="0.25">
      <c r="CV360" t="s">
        <v>148</v>
      </c>
      <c r="CW360">
        <v>12</v>
      </c>
      <c r="CX360" t="s">
        <v>1446</v>
      </c>
      <c r="CY360" t="s">
        <v>1670</v>
      </c>
      <c r="CZ360" s="144">
        <v>198.31</v>
      </c>
      <c r="DA360">
        <v>8.6</v>
      </c>
      <c r="DB360">
        <v>13280</v>
      </c>
      <c r="DC360">
        <v>3530</v>
      </c>
    </row>
    <row r="361" spans="100:107" x14ac:dyDescent="0.25">
      <c r="CV361" t="s">
        <v>148</v>
      </c>
      <c r="CW361">
        <v>13</v>
      </c>
      <c r="CX361" t="s">
        <v>1447</v>
      </c>
      <c r="CY361" t="s">
        <v>1671</v>
      </c>
      <c r="CZ361" s="144">
        <v>225.79</v>
      </c>
      <c r="DA361">
        <v>7.5</v>
      </c>
      <c r="DB361">
        <v>13280</v>
      </c>
      <c r="DC361">
        <v>3530</v>
      </c>
    </row>
    <row r="362" spans="100:107" x14ac:dyDescent="0.25">
      <c r="CV362" t="s">
        <v>148</v>
      </c>
      <c r="CW362">
        <v>14</v>
      </c>
      <c r="CX362" t="s">
        <v>1448</v>
      </c>
      <c r="CY362" t="s">
        <v>1672</v>
      </c>
      <c r="CZ362" s="144">
        <v>262.93</v>
      </c>
      <c r="DA362">
        <v>6.5</v>
      </c>
      <c r="DB362">
        <v>13280</v>
      </c>
      <c r="DC362">
        <v>3530</v>
      </c>
    </row>
    <row r="363" spans="100:107" x14ac:dyDescent="0.25">
      <c r="CV363" t="s">
        <v>148</v>
      </c>
      <c r="CW363">
        <v>15</v>
      </c>
      <c r="CX363" t="s">
        <v>1449</v>
      </c>
      <c r="CY363" t="s">
        <v>1673</v>
      </c>
      <c r="CZ363" s="144">
        <v>281.70999999999998</v>
      </c>
      <c r="DA363">
        <v>6</v>
      </c>
      <c r="DB363">
        <v>13280</v>
      </c>
      <c r="DC363">
        <v>3530</v>
      </c>
    </row>
    <row r="364" spans="100:107" x14ac:dyDescent="0.25">
      <c r="CV364" t="s">
        <v>149</v>
      </c>
      <c r="CW364">
        <v>1</v>
      </c>
      <c r="CX364" t="s">
        <v>1450</v>
      </c>
      <c r="CY364" t="s">
        <v>1674</v>
      </c>
      <c r="CZ364" s="144" t="s">
        <v>1296</v>
      </c>
      <c r="DA364">
        <v>5.8</v>
      </c>
      <c r="DB364">
        <v>9820</v>
      </c>
      <c r="DC364">
        <v>4010</v>
      </c>
    </row>
    <row r="365" spans="100:107" x14ac:dyDescent="0.25">
      <c r="CV365" t="s">
        <v>149</v>
      </c>
      <c r="CW365">
        <v>2</v>
      </c>
      <c r="CX365" t="s">
        <v>1451</v>
      </c>
      <c r="CY365" t="s">
        <v>1675</v>
      </c>
      <c r="CZ365" s="144" t="s">
        <v>1297</v>
      </c>
      <c r="DA365">
        <v>5.3</v>
      </c>
      <c r="DB365">
        <v>13280</v>
      </c>
      <c r="DC365">
        <v>3540</v>
      </c>
    </row>
    <row r="366" spans="100:107" x14ac:dyDescent="0.25">
      <c r="CV366" t="s">
        <v>149</v>
      </c>
      <c r="CW366">
        <v>3</v>
      </c>
      <c r="CX366" t="s">
        <v>1452</v>
      </c>
      <c r="CY366" t="s">
        <v>1676</v>
      </c>
      <c r="CZ366" s="144" t="s">
        <v>1298</v>
      </c>
      <c r="DA366">
        <v>4.9000000000000004</v>
      </c>
      <c r="DB366">
        <v>9820</v>
      </c>
      <c r="DC366">
        <v>4010</v>
      </c>
    </row>
    <row r="367" spans="100:107" x14ac:dyDescent="0.25">
      <c r="CV367" t="s">
        <v>149</v>
      </c>
      <c r="CW367">
        <v>4</v>
      </c>
      <c r="CX367" t="s">
        <v>1453</v>
      </c>
      <c r="CY367" t="s">
        <v>1677</v>
      </c>
      <c r="CZ367" s="144" t="s">
        <v>1299</v>
      </c>
      <c r="DA367">
        <v>4.5999999999999996</v>
      </c>
      <c r="DB367">
        <v>13280</v>
      </c>
      <c r="DC367">
        <v>3540</v>
      </c>
    </row>
    <row r="368" spans="100:107" x14ac:dyDescent="0.25">
      <c r="CV368" t="s">
        <v>149</v>
      </c>
      <c r="CW368">
        <v>5</v>
      </c>
      <c r="CX368" t="s">
        <v>1454</v>
      </c>
      <c r="CY368" t="s">
        <v>1677</v>
      </c>
      <c r="CZ368" s="144" t="s">
        <v>1300</v>
      </c>
      <c r="DA368">
        <v>4.5999999999999996</v>
      </c>
      <c r="DB368">
        <v>9820</v>
      </c>
      <c r="DC368">
        <v>4010</v>
      </c>
    </row>
    <row r="369" spans="100:107" x14ac:dyDescent="0.25">
      <c r="CV369" t="s">
        <v>149</v>
      </c>
      <c r="CW369">
        <v>6</v>
      </c>
      <c r="CX369" t="s">
        <v>1455</v>
      </c>
      <c r="CY369" t="s">
        <v>1678</v>
      </c>
      <c r="CZ369" s="144" t="s">
        <v>1301</v>
      </c>
      <c r="DA369">
        <v>4.0999999999999996</v>
      </c>
      <c r="DB369">
        <v>13280</v>
      </c>
      <c r="DC369">
        <v>3540</v>
      </c>
    </row>
    <row r="370" spans="100:107" x14ac:dyDescent="0.25">
      <c r="CV370" t="s">
        <v>149</v>
      </c>
      <c r="CW370">
        <v>7</v>
      </c>
      <c r="CX370" t="s">
        <v>1456</v>
      </c>
      <c r="CY370" t="s">
        <v>1679</v>
      </c>
      <c r="CZ370" s="144" t="s">
        <v>1302</v>
      </c>
      <c r="DA370">
        <v>3.9</v>
      </c>
      <c r="DB370">
        <v>9820</v>
      </c>
      <c r="DC370">
        <v>4010</v>
      </c>
    </row>
    <row r="371" spans="100:107" x14ac:dyDescent="0.25">
      <c r="CV371" t="s">
        <v>149</v>
      </c>
      <c r="CW371">
        <v>8</v>
      </c>
      <c r="CX371" t="s">
        <v>1457</v>
      </c>
      <c r="CY371" t="s">
        <v>1680</v>
      </c>
      <c r="CZ371" s="144" t="s">
        <v>1303</v>
      </c>
      <c r="DA371">
        <v>3.5</v>
      </c>
      <c r="DB371">
        <v>13280</v>
      </c>
      <c r="DC371">
        <v>3540</v>
      </c>
    </row>
    <row r="372" spans="100:107" x14ac:dyDescent="0.25">
      <c r="CV372" t="s">
        <v>149</v>
      </c>
      <c r="CW372">
        <v>9</v>
      </c>
      <c r="CX372" t="s">
        <v>1458</v>
      </c>
      <c r="CY372" t="s">
        <v>1680</v>
      </c>
      <c r="CZ372" s="144" t="s">
        <v>1304</v>
      </c>
      <c r="DA372">
        <v>3.5</v>
      </c>
      <c r="DB372">
        <v>9820</v>
      </c>
      <c r="DC372">
        <v>4010</v>
      </c>
    </row>
    <row r="373" spans="100:107" x14ac:dyDescent="0.25">
      <c r="CV373" t="s">
        <v>149</v>
      </c>
      <c r="CW373">
        <v>10</v>
      </c>
      <c r="CX373" t="s">
        <v>1459</v>
      </c>
      <c r="CY373" t="s">
        <v>1681</v>
      </c>
      <c r="CZ373" s="144" t="s">
        <v>1305</v>
      </c>
      <c r="DA373">
        <v>3.2</v>
      </c>
      <c r="DB373">
        <v>13280</v>
      </c>
      <c r="DC373">
        <v>3540</v>
      </c>
    </row>
    <row r="374" spans="100:107" x14ac:dyDescent="0.25">
      <c r="CV374" t="s">
        <v>149</v>
      </c>
      <c r="CW374">
        <v>11</v>
      </c>
      <c r="CX374" t="s">
        <v>1460</v>
      </c>
      <c r="CY374" t="s">
        <v>1682</v>
      </c>
      <c r="CZ374" s="144" t="s">
        <v>1306</v>
      </c>
      <c r="DA374">
        <v>3</v>
      </c>
      <c r="DB374">
        <v>9820</v>
      </c>
      <c r="DC374">
        <v>4010</v>
      </c>
    </row>
    <row r="375" spans="100:107" x14ac:dyDescent="0.25">
      <c r="CV375" t="s">
        <v>149</v>
      </c>
      <c r="CW375">
        <v>12</v>
      </c>
      <c r="CX375" t="s">
        <v>1461</v>
      </c>
      <c r="CY375" t="s">
        <v>1683</v>
      </c>
      <c r="CZ375" s="144" t="s">
        <v>1307</v>
      </c>
      <c r="DA375">
        <v>2.8</v>
      </c>
      <c r="DB375">
        <v>13280</v>
      </c>
      <c r="DC375">
        <v>3540</v>
      </c>
    </row>
    <row r="376" spans="100:107" x14ac:dyDescent="0.25">
      <c r="CV376" t="s">
        <v>149</v>
      </c>
      <c r="CW376">
        <v>13</v>
      </c>
      <c r="CX376" t="s">
        <v>1462</v>
      </c>
      <c r="CY376" t="s">
        <v>1684</v>
      </c>
      <c r="CZ376" s="144" t="s">
        <v>1308</v>
      </c>
      <c r="DA376">
        <v>2.6</v>
      </c>
      <c r="DB376">
        <v>9820</v>
      </c>
      <c r="DC376">
        <v>4010</v>
      </c>
    </row>
    <row r="377" spans="100:107" x14ac:dyDescent="0.25">
      <c r="CV377" t="s">
        <v>149</v>
      </c>
      <c r="CW377">
        <v>14</v>
      </c>
      <c r="CX377" t="s">
        <v>1463</v>
      </c>
      <c r="CY377" t="s">
        <v>1685</v>
      </c>
      <c r="CZ377" s="144" t="s">
        <v>1309</v>
      </c>
      <c r="DA377">
        <v>2.4</v>
      </c>
      <c r="DB377">
        <v>9820</v>
      </c>
      <c r="DC377">
        <v>4010</v>
      </c>
    </row>
    <row r="378" spans="100:107" x14ac:dyDescent="0.25">
      <c r="CV378" t="s">
        <v>149</v>
      </c>
      <c r="CW378">
        <v>15</v>
      </c>
      <c r="CX378" t="s">
        <v>1464</v>
      </c>
      <c r="CY378" t="s">
        <v>1685</v>
      </c>
      <c r="CZ378" s="144" t="s">
        <v>1310</v>
      </c>
      <c r="DA378">
        <v>2.4</v>
      </c>
      <c r="DB378">
        <v>13280</v>
      </c>
      <c r="DC378">
        <v>3540</v>
      </c>
    </row>
    <row r="379" spans="100:107" x14ac:dyDescent="0.25">
      <c r="CV379" t="s">
        <v>150</v>
      </c>
      <c r="CW379">
        <v>1</v>
      </c>
      <c r="CX379" t="s">
        <v>1465</v>
      </c>
      <c r="CY379" t="s">
        <v>1686</v>
      </c>
      <c r="CZ379" s="144">
        <v>50.36</v>
      </c>
      <c r="DA379">
        <v>34</v>
      </c>
      <c r="DB379">
        <v>26000</v>
      </c>
      <c r="DC379">
        <v>3370</v>
      </c>
    </row>
    <row r="380" spans="100:107" x14ac:dyDescent="0.25">
      <c r="CV380" t="s">
        <v>150</v>
      </c>
      <c r="CW380">
        <v>2</v>
      </c>
      <c r="CX380" t="s">
        <v>1466</v>
      </c>
      <c r="CY380" t="s">
        <v>1687</v>
      </c>
      <c r="CZ380" s="144">
        <v>56.75</v>
      </c>
      <c r="DA380">
        <v>30</v>
      </c>
      <c r="DB380">
        <v>26600</v>
      </c>
      <c r="DC380">
        <v>3560</v>
      </c>
    </row>
    <row r="381" spans="100:107" x14ac:dyDescent="0.25">
      <c r="CV381" t="s">
        <v>150</v>
      </c>
      <c r="CW381">
        <v>3</v>
      </c>
      <c r="CX381" t="s">
        <v>1467</v>
      </c>
      <c r="CY381" t="s">
        <v>1688</v>
      </c>
      <c r="CZ381" s="144">
        <v>68.400000000000006</v>
      </c>
      <c r="DA381">
        <v>25</v>
      </c>
      <c r="DB381">
        <v>26600</v>
      </c>
      <c r="DC381">
        <v>3960</v>
      </c>
    </row>
    <row r="382" spans="100:107" x14ac:dyDescent="0.25">
      <c r="CV382" t="s">
        <v>150</v>
      </c>
      <c r="CW382">
        <v>4</v>
      </c>
      <c r="CX382" t="s">
        <v>1468</v>
      </c>
      <c r="CY382" t="s">
        <v>1689</v>
      </c>
      <c r="CZ382" s="144">
        <v>76.39</v>
      </c>
      <c r="DA382">
        <v>22</v>
      </c>
      <c r="DB382">
        <v>26600</v>
      </c>
      <c r="DC382">
        <v>4200</v>
      </c>
    </row>
    <row r="383" spans="100:107" x14ac:dyDescent="0.25">
      <c r="CV383" t="s">
        <v>150</v>
      </c>
      <c r="CW383">
        <v>5</v>
      </c>
      <c r="CX383" t="s">
        <v>1469</v>
      </c>
      <c r="CY383" t="s">
        <v>1690</v>
      </c>
      <c r="CZ383" s="144">
        <v>88.01</v>
      </c>
      <c r="DA383">
        <v>19</v>
      </c>
      <c r="DB383">
        <v>26600</v>
      </c>
      <c r="DC383">
        <v>4450</v>
      </c>
    </row>
    <row r="384" spans="100:107" x14ac:dyDescent="0.25">
      <c r="CV384" t="s">
        <v>150</v>
      </c>
      <c r="CW384">
        <v>6</v>
      </c>
      <c r="CX384" t="s">
        <v>1470</v>
      </c>
      <c r="CY384" t="s">
        <v>1691</v>
      </c>
      <c r="CZ384" s="144">
        <v>97.89</v>
      </c>
      <c r="DA384">
        <v>17</v>
      </c>
      <c r="DB384">
        <v>26600</v>
      </c>
      <c r="DC384">
        <v>4450</v>
      </c>
    </row>
    <row r="385" spans="100:107" x14ac:dyDescent="0.25">
      <c r="CV385" t="s">
        <v>150</v>
      </c>
      <c r="CW385">
        <v>7</v>
      </c>
      <c r="CX385" t="s">
        <v>1471</v>
      </c>
      <c r="CY385" t="s">
        <v>1692</v>
      </c>
      <c r="CZ385" s="144">
        <v>109.49</v>
      </c>
      <c r="DA385">
        <v>16</v>
      </c>
      <c r="DB385">
        <v>26600</v>
      </c>
      <c r="DC385">
        <v>4450</v>
      </c>
    </row>
    <row r="386" spans="100:107" x14ac:dyDescent="0.25">
      <c r="CV386" t="s">
        <v>150</v>
      </c>
      <c r="CW386">
        <v>8</v>
      </c>
      <c r="CX386" t="s">
        <v>1472</v>
      </c>
      <c r="CY386" t="s">
        <v>1693</v>
      </c>
      <c r="CZ386" s="144">
        <v>123.29</v>
      </c>
      <c r="DA386">
        <v>14</v>
      </c>
      <c r="DB386">
        <v>26600</v>
      </c>
      <c r="DC386">
        <v>4450</v>
      </c>
    </row>
    <row r="387" spans="100:107" x14ac:dyDescent="0.25">
      <c r="CV387" t="s">
        <v>150</v>
      </c>
      <c r="CW387">
        <v>9</v>
      </c>
      <c r="CX387" t="s">
        <v>1473</v>
      </c>
      <c r="CY387" t="s">
        <v>1694</v>
      </c>
      <c r="CZ387" s="144">
        <v>134.16</v>
      </c>
      <c r="DA387">
        <v>13</v>
      </c>
      <c r="DB387">
        <v>26600</v>
      </c>
      <c r="DC387">
        <v>4450</v>
      </c>
    </row>
    <row r="388" spans="100:107" x14ac:dyDescent="0.25">
      <c r="CV388" t="s">
        <v>150</v>
      </c>
      <c r="CW388">
        <v>10</v>
      </c>
      <c r="CX388" t="s">
        <v>1474</v>
      </c>
      <c r="CY388" t="s">
        <v>1695</v>
      </c>
      <c r="CZ388" s="144">
        <v>159.61000000000001</v>
      </c>
      <c r="DA388">
        <v>11</v>
      </c>
      <c r="DB388">
        <v>26600</v>
      </c>
      <c r="DC388">
        <v>4450</v>
      </c>
    </row>
    <row r="389" spans="100:107" x14ac:dyDescent="0.25">
      <c r="CV389" t="s">
        <v>150</v>
      </c>
      <c r="CW389">
        <v>11</v>
      </c>
      <c r="CX389" t="s">
        <v>1475</v>
      </c>
      <c r="CY389" t="s">
        <v>1696</v>
      </c>
      <c r="CZ389" s="144">
        <v>179.97</v>
      </c>
      <c r="DA389">
        <v>9.4</v>
      </c>
      <c r="DB389">
        <v>26600</v>
      </c>
      <c r="DC389">
        <v>4450</v>
      </c>
    </row>
    <row r="390" spans="100:107" x14ac:dyDescent="0.25">
      <c r="CV390" t="s">
        <v>150</v>
      </c>
      <c r="CW390">
        <v>12</v>
      </c>
      <c r="CX390" t="s">
        <v>1476</v>
      </c>
      <c r="CY390" t="s">
        <v>1697</v>
      </c>
      <c r="CZ390" s="144">
        <v>197.2</v>
      </c>
      <c r="DA390">
        <v>8.6</v>
      </c>
      <c r="DB390">
        <v>26600</v>
      </c>
      <c r="DC390">
        <v>4450</v>
      </c>
    </row>
    <row r="391" spans="100:107" x14ac:dyDescent="0.25">
      <c r="CV391" t="s">
        <v>150</v>
      </c>
      <c r="CW391">
        <v>13</v>
      </c>
      <c r="CX391" t="s">
        <v>1477</v>
      </c>
      <c r="CY391" t="s">
        <v>1698</v>
      </c>
      <c r="CZ391" s="144">
        <v>228.93</v>
      </c>
      <c r="DA391">
        <v>7.4</v>
      </c>
      <c r="DB391">
        <v>26600</v>
      </c>
      <c r="DC391">
        <v>4450</v>
      </c>
    </row>
    <row r="392" spans="100:107" x14ac:dyDescent="0.25">
      <c r="CV392" t="s">
        <v>150</v>
      </c>
      <c r="CW392">
        <v>14</v>
      </c>
      <c r="CX392" t="s">
        <v>1478</v>
      </c>
      <c r="CY392" t="s">
        <v>1699</v>
      </c>
      <c r="CZ392" s="144">
        <v>255.37</v>
      </c>
      <c r="DA392">
        <v>6.7</v>
      </c>
      <c r="DB392">
        <v>26600</v>
      </c>
      <c r="DC392">
        <v>4450</v>
      </c>
    </row>
    <row r="393" spans="100:107" x14ac:dyDescent="0.25">
      <c r="CV393" t="s">
        <v>150</v>
      </c>
      <c r="CW393">
        <v>15</v>
      </c>
      <c r="CX393" t="s">
        <v>1479</v>
      </c>
      <c r="CY393" t="s">
        <v>1700</v>
      </c>
      <c r="CZ393" s="144">
        <v>270.68</v>
      </c>
      <c r="DA393">
        <v>6.3</v>
      </c>
      <c r="DB393">
        <v>26600</v>
      </c>
      <c r="DC393">
        <v>4450</v>
      </c>
    </row>
    <row r="394" spans="100:107" x14ac:dyDescent="0.25">
      <c r="CV394" t="s">
        <v>1311</v>
      </c>
      <c r="CW394">
        <v>1</v>
      </c>
      <c r="CX394" t="s">
        <v>1480</v>
      </c>
      <c r="CY394" t="s">
        <v>1701</v>
      </c>
      <c r="CZ394" s="144" t="s">
        <v>1312</v>
      </c>
      <c r="DA394">
        <v>6</v>
      </c>
      <c r="DB394">
        <v>26600</v>
      </c>
      <c r="DC394">
        <v>4450</v>
      </c>
    </row>
    <row r="395" spans="100:107" x14ac:dyDescent="0.25">
      <c r="CV395" t="s">
        <v>1311</v>
      </c>
      <c r="CW395">
        <v>2</v>
      </c>
      <c r="CX395" t="s">
        <v>1481</v>
      </c>
      <c r="CY395" t="s">
        <v>1702</v>
      </c>
      <c r="CZ395" s="144" t="s">
        <v>1313</v>
      </c>
      <c r="DA395">
        <v>5.7</v>
      </c>
      <c r="DB395">
        <v>26600</v>
      </c>
      <c r="DC395">
        <v>4450</v>
      </c>
    </row>
    <row r="396" spans="100:107" x14ac:dyDescent="0.25">
      <c r="CV396" t="s">
        <v>1311</v>
      </c>
      <c r="CW396">
        <v>3</v>
      </c>
      <c r="CX396" t="s">
        <v>1482</v>
      </c>
      <c r="CY396" t="s">
        <v>1703</v>
      </c>
      <c r="CZ396" s="144" t="s">
        <v>1314</v>
      </c>
      <c r="DA396">
        <v>5.4</v>
      </c>
      <c r="DB396">
        <v>26600</v>
      </c>
      <c r="DC396">
        <v>4450</v>
      </c>
    </row>
    <row r="397" spans="100:107" x14ac:dyDescent="0.25">
      <c r="CV397" t="s">
        <v>1311</v>
      </c>
      <c r="CW397">
        <v>4</v>
      </c>
      <c r="CX397" t="s">
        <v>1483</v>
      </c>
      <c r="CY397" t="s">
        <v>1704</v>
      </c>
      <c r="CZ397" s="144" t="s">
        <v>1315</v>
      </c>
      <c r="DA397">
        <v>4.9000000000000004</v>
      </c>
      <c r="DB397">
        <v>26600</v>
      </c>
      <c r="DC397">
        <v>4450</v>
      </c>
    </row>
    <row r="398" spans="100:107" x14ac:dyDescent="0.25">
      <c r="CV398" t="s">
        <v>1311</v>
      </c>
      <c r="CW398">
        <v>5</v>
      </c>
      <c r="CX398" t="s">
        <v>1484</v>
      </c>
      <c r="CY398" t="s">
        <v>1704</v>
      </c>
      <c r="CZ398" s="144" t="s">
        <v>1316</v>
      </c>
      <c r="DA398">
        <v>4.9000000000000004</v>
      </c>
      <c r="DB398">
        <v>26600</v>
      </c>
      <c r="DC398">
        <v>4450</v>
      </c>
    </row>
    <row r="399" spans="100:107" x14ac:dyDescent="0.25">
      <c r="CV399" t="s">
        <v>1311</v>
      </c>
      <c r="CW399">
        <v>6</v>
      </c>
      <c r="CX399" t="s">
        <v>1485</v>
      </c>
      <c r="CY399" t="s">
        <v>1705</v>
      </c>
      <c r="CZ399" s="144" t="s">
        <v>1317</v>
      </c>
      <c r="DA399">
        <v>4.3</v>
      </c>
      <c r="DB399">
        <v>26600</v>
      </c>
      <c r="DC399">
        <v>4450</v>
      </c>
    </row>
    <row r="400" spans="100:107" x14ac:dyDescent="0.25">
      <c r="CV400" t="s">
        <v>1311</v>
      </c>
      <c r="CW400">
        <v>7</v>
      </c>
      <c r="CX400" t="s">
        <v>1486</v>
      </c>
      <c r="CY400" t="s">
        <v>1706</v>
      </c>
      <c r="CZ400" s="144" t="s">
        <v>1275</v>
      </c>
      <c r="DA400">
        <v>3.8</v>
      </c>
      <c r="DB400">
        <v>26600</v>
      </c>
      <c r="DC400">
        <v>4450</v>
      </c>
    </row>
    <row r="401" spans="100:107" x14ac:dyDescent="0.25">
      <c r="CV401" t="s">
        <v>1311</v>
      </c>
      <c r="CW401">
        <v>8</v>
      </c>
      <c r="CX401" t="s">
        <v>1487</v>
      </c>
      <c r="CY401" t="s">
        <v>1707</v>
      </c>
      <c r="CZ401" s="144" t="s">
        <v>1318</v>
      </c>
      <c r="DA401">
        <v>3.6</v>
      </c>
      <c r="DB401">
        <v>26600</v>
      </c>
      <c r="DC401">
        <v>4450</v>
      </c>
    </row>
    <row r="402" spans="100:107" x14ac:dyDescent="0.25">
      <c r="CV402" t="s">
        <v>1311</v>
      </c>
      <c r="CW402">
        <v>9</v>
      </c>
      <c r="CX402" t="s">
        <v>1488</v>
      </c>
      <c r="CY402" t="s">
        <v>1708</v>
      </c>
      <c r="CZ402" s="144" t="s">
        <v>1319</v>
      </c>
      <c r="DA402">
        <v>3.3</v>
      </c>
      <c r="DB402">
        <v>26600</v>
      </c>
      <c r="DC402">
        <v>4450</v>
      </c>
    </row>
    <row r="403" spans="100:107" x14ac:dyDescent="0.25">
      <c r="CV403" t="s">
        <v>1311</v>
      </c>
      <c r="CW403">
        <v>10</v>
      </c>
      <c r="CX403" t="s">
        <v>1489</v>
      </c>
      <c r="CY403" t="s">
        <v>1708</v>
      </c>
      <c r="CZ403" s="144" t="s">
        <v>1320</v>
      </c>
      <c r="DA403">
        <v>3.3</v>
      </c>
      <c r="DB403">
        <v>26600</v>
      </c>
      <c r="DC403">
        <v>4450</v>
      </c>
    </row>
    <row r="404" spans="100:107" x14ac:dyDescent="0.25">
      <c r="CV404" t="s">
        <v>1311</v>
      </c>
      <c r="CW404">
        <v>11</v>
      </c>
      <c r="CX404" t="s">
        <v>1490</v>
      </c>
      <c r="CY404" t="s">
        <v>1709</v>
      </c>
      <c r="CZ404" s="144" t="s">
        <v>1321</v>
      </c>
      <c r="DA404">
        <v>2.9</v>
      </c>
      <c r="DB404">
        <v>26600</v>
      </c>
      <c r="DC404">
        <v>4450</v>
      </c>
    </row>
    <row r="405" spans="100:107" x14ac:dyDescent="0.25">
      <c r="CV405" t="s">
        <v>1311</v>
      </c>
      <c r="CW405">
        <v>12</v>
      </c>
      <c r="CX405" t="s">
        <v>1491</v>
      </c>
      <c r="CY405" t="s">
        <v>1710</v>
      </c>
      <c r="CZ405" s="144" t="s">
        <v>1322</v>
      </c>
      <c r="DA405">
        <v>2.8</v>
      </c>
      <c r="DB405">
        <v>26600</v>
      </c>
      <c r="DC405">
        <v>4450</v>
      </c>
    </row>
    <row r="406" spans="100:107" x14ac:dyDescent="0.25">
      <c r="CV406" t="s">
        <v>1311</v>
      </c>
      <c r="CW406">
        <v>13</v>
      </c>
      <c r="CX406" t="s">
        <v>1492</v>
      </c>
      <c r="CY406" t="s">
        <v>1711</v>
      </c>
      <c r="CZ406" s="144" t="s">
        <v>1323</v>
      </c>
      <c r="DA406">
        <v>2.6</v>
      </c>
      <c r="DB406">
        <v>26600</v>
      </c>
      <c r="DC406">
        <v>4450</v>
      </c>
    </row>
    <row r="407" spans="100:107" x14ac:dyDescent="0.25">
      <c r="CV407" t="s">
        <v>1311</v>
      </c>
      <c r="CW407">
        <v>14</v>
      </c>
      <c r="CX407" t="s">
        <v>1493</v>
      </c>
      <c r="CY407" t="s">
        <v>1712</v>
      </c>
      <c r="CZ407" s="144" t="s">
        <v>1324</v>
      </c>
      <c r="DA407">
        <v>2.5</v>
      </c>
      <c r="DB407">
        <v>26600</v>
      </c>
      <c r="DC407">
        <v>4450</v>
      </c>
    </row>
    <row r="408" spans="100:107" x14ac:dyDescent="0.25">
      <c r="CV408" t="s">
        <v>1311</v>
      </c>
      <c r="CW408">
        <v>15</v>
      </c>
      <c r="CX408" t="s">
        <v>1494</v>
      </c>
      <c r="CY408" t="s">
        <v>1713</v>
      </c>
      <c r="CZ408" s="144" t="s">
        <v>1325</v>
      </c>
      <c r="DA408">
        <v>2.2999999999999998</v>
      </c>
      <c r="DB408">
        <v>26600</v>
      </c>
      <c r="DC408">
        <v>4450</v>
      </c>
    </row>
    <row r="409" spans="100:107" x14ac:dyDescent="0.25">
      <c r="CV409" s="144" t="s">
        <v>151</v>
      </c>
      <c r="CW409">
        <v>1</v>
      </c>
      <c r="CX409" t="s">
        <v>1495</v>
      </c>
      <c r="CY409" t="s">
        <v>1714</v>
      </c>
      <c r="CZ409" s="144">
        <v>65.47</v>
      </c>
      <c r="DA409">
        <v>26</v>
      </c>
      <c r="DB409">
        <v>38100</v>
      </c>
      <c r="DC409">
        <v>5890</v>
      </c>
    </row>
    <row r="410" spans="100:107" x14ac:dyDescent="0.25">
      <c r="CV410" s="144" t="s">
        <v>151</v>
      </c>
      <c r="CW410">
        <v>2</v>
      </c>
      <c r="CX410" t="s">
        <v>1496</v>
      </c>
      <c r="CY410" t="s">
        <v>1715</v>
      </c>
      <c r="CZ410" s="144">
        <v>72.290000000000006</v>
      </c>
      <c r="DA410">
        <v>24</v>
      </c>
      <c r="DB410">
        <v>38100</v>
      </c>
      <c r="DC410">
        <v>6200</v>
      </c>
    </row>
    <row r="411" spans="100:107" x14ac:dyDescent="0.25">
      <c r="CV411" s="144" t="s">
        <v>151</v>
      </c>
      <c r="CW411">
        <v>3</v>
      </c>
      <c r="CX411" t="s">
        <v>1497</v>
      </c>
      <c r="CY411" t="s">
        <v>1716</v>
      </c>
      <c r="CZ411" s="144">
        <v>75.63</v>
      </c>
      <c r="DA411">
        <v>22</v>
      </c>
      <c r="DB411">
        <v>38100</v>
      </c>
      <c r="DC411">
        <v>6350</v>
      </c>
    </row>
    <row r="412" spans="100:107" x14ac:dyDescent="0.25">
      <c r="CV412" s="144" t="s">
        <v>151</v>
      </c>
      <c r="CW412">
        <v>4</v>
      </c>
      <c r="CX412" t="s">
        <v>1498</v>
      </c>
      <c r="CY412" t="s">
        <v>1717</v>
      </c>
      <c r="CZ412" s="144">
        <v>80.31</v>
      </c>
      <c r="DA412">
        <v>21</v>
      </c>
      <c r="DB412">
        <v>38100</v>
      </c>
      <c r="DC412">
        <v>6540</v>
      </c>
    </row>
    <row r="413" spans="100:107" x14ac:dyDescent="0.25">
      <c r="CV413" s="144" t="s">
        <v>151</v>
      </c>
      <c r="CW413">
        <v>5</v>
      </c>
      <c r="CX413" t="s">
        <v>1499</v>
      </c>
      <c r="CY413" t="s">
        <v>1718</v>
      </c>
      <c r="CZ413" s="144">
        <v>86.59</v>
      </c>
      <c r="DA413">
        <v>20</v>
      </c>
      <c r="DB413">
        <v>38100</v>
      </c>
      <c r="DC413">
        <v>6720</v>
      </c>
    </row>
    <row r="414" spans="100:107" x14ac:dyDescent="0.25">
      <c r="CV414" s="144" t="s">
        <v>151</v>
      </c>
      <c r="CW414">
        <v>6</v>
      </c>
      <c r="CX414" t="s">
        <v>1500</v>
      </c>
      <c r="CY414" t="s">
        <v>1719</v>
      </c>
      <c r="CZ414" s="144">
        <v>89.85</v>
      </c>
      <c r="DA414">
        <v>19</v>
      </c>
      <c r="DB414">
        <v>38100</v>
      </c>
      <c r="DC414">
        <v>6720</v>
      </c>
    </row>
    <row r="415" spans="100:107" x14ac:dyDescent="0.25">
      <c r="CV415" s="144" t="s">
        <v>151</v>
      </c>
      <c r="CW415">
        <v>7</v>
      </c>
      <c r="CX415" t="s">
        <v>1501</v>
      </c>
      <c r="CY415" t="s">
        <v>1720</v>
      </c>
      <c r="CZ415" s="144">
        <v>97.58</v>
      </c>
      <c r="DA415">
        <v>17</v>
      </c>
      <c r="DB415">
        <v>38100</v>
      </c>
      <c r="DC415">
        <v>6720</v>
      </c>
    </row>
    <row r="416" spans="100:107" x14ac:dyDescent="0.25">
      <c r="CV416" s="144" t="s">
        <v>151</v>
      </c>
      <c r="CW416">
        <v>8</v>
      </c>
      <c r="CX416" t="s">
        <v>1502</v>
      </c>
      <c r="CY416" t="s">
        <v>1721</v>
      </c>
      <c r="CZ416" s="144">
        <v>112.99</v>
      </c>
      <c r="DA416">
        <v>15</v>
      </c>
      <c r="DB416">
        <v>38100</v>
      </c>
      <c r="DC416">
        <v>6720</v>
      </c>
    </row>
    <row r="417" spans="100:107" x14ac:dyDescent="0.25">
      <c r="CV417" s="144" t="s">
        <v>151</v>
      </c>
      <c r="CW417">
        <v>9</v>
      </c>
      <c r="CX417" t="s">
        <v>1503</v>
      </c>
      <c r="CY417" t="s">
        <v>1722</v>
      </c>
      <c r="CZ417" s="144">
        <v>127.42</v>
      </c>
      <c r="DA417">
        <v>13</v>
      </c>
      <c r="DB417">
        <v>38100</v>
      </c>
      <c r="DC417">
        <v>6720</v>
      </c>
    </row>
    <row r="418" spans="100:107" x14ac:dyDescent="0.25">
      <c r="CV418" s="144" t="s">
        <v>151</v>
      </c>
      <c r="CW418">
        <v>10</v>
      </c>
      <c r="CX418" t="s">
        <v>1504</v>
      </c>
      <c r="CY418" t="s">
        <v>1723</v>
      </c>
      <c r="CZ418" s="144">
        <v>140.71</v>
      </c>
      <c r="DA418">
        <v>12</v>
      </c>
      <c r="DB418">
        <v>38100</v>
      </c>
      <c r="DC418">
        <v>6720</v>
      </c>
    </row>
    <row r="419" spans="100:107" x14ac:dyDescent="0.25">
      <c r="CV419" s="144" t="s">
        <v>151</v>
      </c>
      <c r="CW419">
        <v>11</v>
      </c>
      <c r="CX419" t="s">
        <v>1505</v>
      </c>
      <c r="CY419" t="s">
        <v>1724</v>
      </c>
      <c r="CZ419" s="144">
        <v>156.30000000000001</v>
      </c>
      <c r="DA419">
        <v>11</v>
      </c>
      <c r="DB419">
        <v>38100</v>
      </c>
      <c r="DC419">
        <v>6720</v>
      </c>
    </row>
    <row r="420" spans="100:107" x14ac:dyDescent="0.25">
      <c r="CV420" s="144" t="s">
        <v>151</v>
      </c>
      <c r="CW420">
        <v>12</v>
      </c>
      <c r="CX420" t="s">
        <v>1506</v>
      </c>
      <c r="CY420" t="s">
        <v>1725</v>
      </c>
      <c r="CZ420" s="144">
        <v>174.87</v>
      </c>
      <c r="DA420">
        <v>9.6999999999999993</v>
      </c>
      <c r="DB420">
        <v>38100</v>
      </c>
      <c r="DC420">
        <v>6720</v>
      </c>
    </row>
    <row r="421" spans="100:107" x14ac:dyDescent="0.25">
      <c r="CV421" s="144" t="s">
        <v>151</v>
      </c>
      <c r="CW421">
        <v>13</v>
      </c>
      <c r="CX421" t="s">
        <v>1507</v>
      </c>
      <c r="CY421" t="s">
        <v>1726</v>
      </c>
      <c r="CZ421" s="144">
        <v>189.92</v>
      </c>
      <c r="DA421">
        <v>9</v>
      </c>
      <c r="DB421">
        <v>38100</v>
      </c>
      <c r="DC421">
        <v>6720</v>
      </c>
    </row>
    <row r="422" spans="100:107" x14ac:dyDescent="0.25">
      <c r="CV422" s="144" t="s">
        <v>151</v>
      </c>
      <c r="CW422">
        <v>14</v>
      </c>
      <c r="CX422" t="s">
        <v>1508</v>
      </c>
      <c r="CY422" t="s">
        <v>1727</v>
      </c>
      <c r="CZ422" s="144">
        <v>223.88</v>
      </c>
      <c r="DA422">
        <v>7.6</v>
      </c>
      <c r="DB422">
        <v>38100</v>
      </c>
      <c r="DC422">
        <v>6720</v>
      </c>
    </row>
    <row r="423" spans="100:107" x14ac:dyDescent="0.25">
      <c r="CV423" s="144" t="s">
        <v>151</v>
      </c>
      <c r="CW423">
        <v>15</v>
      </c>
      <c r="CX423" t="s">
        <v>1509</v>
      </c>
      <c r="CY423" t="s">
        <v>1728</v>
      </c>
      <c r="CZ423" s="144">
        <v>253.41</v>
      </c>
      <c r="DA423">
        <v>6.7</v>
      </c>
      <c r="DB423">
        <v>38100</v>
      </c>
      <c r="DC423">
        <v>6720</v>
      </c>
    </row>
    <row r="424" spans="100:107" x14ac:dyDescent="0.25">
      <c r="CV424" s="144" t="s">
        <v>152</v>
      </c>
      <c r="CW424">
        <v>1</v>
      </c>
      <c r="CX424" t="s">
        <v>1510</v>
      </c>
      <c r="CY424" t="s">
        <v>1729</v>
      </c>
      <c r="CZ424" s="144" t="s">
        <v>1360</v>
      </c>
      <c r="DA424">
        <v>8.6999999999999993</v>
      </c>
      <c r="DB424">
        <v>38100</v>
      </c>
      <c r="DC424">
        <v>6720</v>
      </c>
    </row>
    <row r="425" spans="100:107" x14ac:dyDescent="0.25">
      <c r="CV425" s="144" t="s">
        <v>152</v>
      </c>
      <c r="CW425">
        <v>2</v>
      </c>
      <c r="CX425" t="s">
        <v>1511</v>
      </c>
      <c r="CY425" t="s">
        <v>1730</v>
      </c>
      <c r="CZ425" s="144" t="s">
        <v>1361</v>
      </c>
      <c r="DA425">
        <v>8.1999999999999993</v>
      </c>
      <c r="DB425">
        <v>38100</v>
      </c>
      <c r="DC425">
        <v>6720</v>
      </c>
    </row>
    <row r="426" spans="100:107" x14ac:dyDescent="0.25">
      <c r="CV426" s="144" t="s">
        <v>152</v>
      </c>
      <c r="CW426">
        <v>3</v>
      </c>
      <c r="CX426" t="s">
        <v>1512</v>
      </c>
      <c r="CY426" t="s">
        <v>1731</v>
      </c>
      <c r="CZ426" s="144" t="s">
        <v>1362</v>
      </c>
      <c r="DA426">
        <v>7</v>
      </c>
      <c r="DB426">
        <v>38100</v>
      </c>
      <c r="DC426">
        <v>6720</v>
      </c>
    </row>
    <row r="427" spans="100:107" x14ac:dyDescent="0.25">
      <c r="CV427" s="144" t="s">
        <v>152</v>
      </c>
      <c r="CW427">
        <v>4</v>
      </c>
      <c r="CX427" t="s">
        <v>1513</v>
      </c>
      <c r="CY427" t="s">
        <v>1732</v>
      </c>
      <c r="CZ427" s="144" t="s">
        <v>1363</v>
      </c>
      <c r="DA427">
        <v>6.9</v>
      </c>
      <c r="DB427">
        <v>38100</v>
      </c>
      <c r="DC427">
        <v>6720</v>
      </c>
    </row>
    <row r="428" spans="100:107" x14ac:dyDescent="0.25">
      <c r="CV428" s="144" t="s">
        <v>152</v>
      </c>
      <c r="CW428">
        <v>5</v>
      </c>
      <c r="CX428" t="s">
        <v>1514</v>
      </c>
      <c r="CY428" t="s">
        <v>1733</v>
      </c>
      <c r="CZ428" s="144" t="s">
        <v>1364</v>
      </c>
      <c r="DA428">
        <v>6.2</v>
      </c>
      <c r="DB428">
        <v>38100</v>
      </c>
      <c r="DC428">
        <v>6720</v>
      </c>
    </row>
    <row r="429" spans="100:107" x14ac:dyDescent="0.25">
      <c r="CV429" s="144" t="s">
        <v>152</v>
      </c>
      <c r="CW429">
        <v>6</v>
      </c>
      <c r="CX429" t="s">
        <v>1515</v>
      </c>
      <c r="CY429" t="s">
        <v>1734</v>
      </c>
      <c r="CZ429" s="144" t="s">
        <v>1365</v>
      </c>
      <c r="DA429">
        <v>6</v>
      </c>
      <c r="DB429">
        <v>38100</v>
      </c>
      <c r="DC429">
        <v>6720</v>
      </c>
    </row>
    <row r="430" spans="100:107" x14ac:dyDescent="0.25">
      <c r="CV430" s="144" t="s">
        <v>152</v>
      </c>
      <c r="CW430">
        <v>7</v>
      </c>
      <c r="CX430" t="s">
        <v>1516</v>
      </c>
      <c r="CY430" t="s">
        <v>1735</v>
      </c>
      <c r="CZ430" s="144" t="s">
        <v>1366</v>
      </c>
      <c r="DA430">
        <v>5.4</v>
      </c>
      <c r="DB430">
        <v>38100</v>
      </c>
      <c r="DC430">
        <v>6720</v>
      </c>
    </row>
    <row r="431" spans="100:107" x14ac:dyDescent="0.25">
      <c r="CV431" s="144" t="s">
        <v>152</v>
      </c>
      <c r="CW431">
        <v>8</v>
      </c>
      <c r="CX431" t="s">
        <v>1517</v>
      </c>
      <c r="CY431" t="s">
        <v>1736</v>
      </c>
      <c r="CZ431" s="144" t="s">
        <v>1367</v>
      </c>
      <c r="DA431">
        <v>4.7</v>
      </c>
      <c r="DB431">
        <v>38100</v>
      </c>
      <c r="DC431">
        <v>6720</v>
      </c>
    </row>
    <row r="432" spans="100:107" x14ac:dyDescent="0.25">
      <c r="CV432" s="144" t="s">
        <v>152</v>
      </c>
      <c r="CW432">
        <v>9</v>
      </c>
      <c r="CX432" t="s">
        <v>1518</v>
      </c>
      <c r="CY432" t="s">
        <v>1736</v>
      </c>
      <c r="CZ432" s="144" t="s">
        <v>1368</v>
      </c>
      <c r="DA432">
        <v>4.7</v>
      </c>
      <c r="DB432">
        <v>38100</v>
      </c>
      <c r="DC432">
        <v>6720</v>
      </c>
    </row>
    <row r="433" spans="100:107" x14ac:dyDescent="0.25">
      <c r="CV433" s="144" t="s">
        <v>152</v>
      </c>
      <c r="CW433">
        <v>10</v>
      </c>
      <c r="CX433" t="s">
        <v>1519</v>
      </c>
      <c r="CY433" t="s">
        <v>1737</v>
      </c>
      <c r="CZ433" s="144" t="s">
        <v>1369</v>
      </c>
      <c r="DA433">
        <v>4.2</v>
      </c>
      <c r="DB433">
        <v>38100</v>
      </c>
      <c r="DC433">
        <v>6720</v>
      </c>
    </row>
    <row r="434" spans="100:107" x14ac:dyDescent="0.25">
      <c r="CV434" s="144" t="s">
        <v>152</v>
      </c>
      <c r="CW434">
        <v>11</v>
      </c>
      <c r="CX434" t="s">
        <v>1520</v>
      </c>
      <c r="CY434" t="s">
        <v>1737</v>
      </c>
      <c r="CZ434" s="144" t="s">
        <v>1370</v>
      </c>
      <c r="DA434">
        <v>4.2</v>
      </c>
      <c r="DB434">
        <v>38100</v>
      </c>
      <c r="DC434">
        <v>6720</v>
      </c>
    </row>
    <row r="435" spans="100:107" x14ac:dyDescent="0.25">
      <c r="CV435" s="144" t="s">
        <v>152</v>
      </c>
      <c r="CW435">
        <v>12</v>
      </c>
      <c r="CX435" t="s">
        <v>1521</v>
      </c>
      <c r="CY435" t="s">
        <v>1738</v>
      </c>
      <c r="CZ435" s="144" t="s">
        <v>1371</v>
      </c>
      <c r="DA435">
        <v>3.6</v>
      </c>
      <c r="DB435">
        <v>38100</v>
      </c>
      <c r="DC435">
        <v>6720</v>
      </c>
    </row>
    <row r="436" spans="100:107" x14ac:dyDescent="0.25">
      <c r="CV436" s="144" t="s">
        <v>152</v>
      </c>
      <c r="CW436">
        <v>13</v>
      </c>
      <c r="CX436" t="s">
        <v>1522</v>
      </c>
      <c r="CY436" t="s">
        <v>1738</v>
      </c>
      <c r="CZ436" s="144" t="s">
        <v>1372</v>
      </c>
      <c r="DA436">
        <v>3.6</v>
      </c>
      <c r="DB436">
        <v>38100</v>
      </c>
      <c r="DC436">
        <v>6720</v>
      </c>
    </row>
    <row r="437" spans="100:107" x14ac:dyDescent="0.25">
      <c r="CV437" s="144" t="s">
        <v>152</v>
      </c>
      <c r="CW437">
        <v>14</v>
      </c>
      <c r="CX437" t="s">
        <v>1523</v>
      </c>
      <c r="CY437" t="s">
        <v>1739</v>
      </c>
      <c r="CZ437" s="144" t="s">
        <v>1373</v>
      </c>
      <c r="DA437">
        <v>3.3</v>
      </c>
      <c r="DB437">
        <v>38100</v>
      </c>
      <c r="DC437">
        <v>6720</v>
      </c>
    </row>
    <row r="438" spans="100:107" x14ac:dyDescent="0.25">
      <c r="CV438" s="144" t="s">
        <v>152</v>
      </c>
      <c r="CW438">
        <v>15</v>
      </c>
      <c r="CX438" t="s">
        <v>1524</v>
      </c>
      <c r="CY438" t="s">
        <v>1740</v>
      </c>
      <c r="CZ438" s="144" t="s">
        <v>1374</v>
      </c>
      <c r="DA438">
        <v>3.2</v>
      </c>
      <c r="DB438">
        <v>38100</v>
      </c>
      <c r="DC438">
        <v>6720</v>
      </c>
    </row>
    <row r="439" spans="100:107" x14ac:dyDescent="0.25">
      <c r="CV439" s="144" t="s">
        <v>153</v>
      </c>
      <c r="CW439">
        <v>1</v>
      </c>
      <c r="CX439" t="s">
        <v>1525</v>
      </c>
      <c r="CY439" t="s">
        <v>1741</v>
      </c>
      <c r="CZ439" s="144">
        <v>43.03</v>
      </c>
      <c r="DA439">
        <v>40</v>
      </c>
      <c r="DB439">
        <v>67900</v>
      </c>
      <c r="DC439">
        <v>8640</v>
      </c>
    </row>
    <row r="440" spans="100:107" x14ac:dyDescent="0.25">
      <c r="CV440" s="144" t="s">
        <v>153</v>
      </c>
      <c r="CW440">
        <v>2</v>
      </c>
      <c r="CX440" t="s">
        <v>1526</v>
      </c>
      <c r="CY440" t="s">
        <v>1742</v>
      </c>
      <c r="CZ440" s="144">
        <v>50.73</v>
      </c>
      <c r="DA440">
        <v>34</v>
      </c>
      <c r="DB440">
        <v>67900</v>
      </c>
      <c r="DC440">
        <v>9300</v>
      </c>
    </row>
    <row r="441" spans="100:107" x14ac:dyDescent="0.25">
      <c r="CV441" s="144" t="s">
        <v>153</v>
      </c>
      <c r="CW441">
        <v>3</v>
      </c>
      <c r="CX441" t="s">
        <v>1527</v>
      </c>
      <c r="CY441" t="s">
        <v>1743</v>
      </c>
      <c r="CZ441" s="144">
        <v>58.12</v>
      </c>
      <c r="DA441">
        <v>29</v>
      </c>
      <c r="DB441">
        <v>67900</v>
      </c>
      <c r="DC441">
        <v>9880</v>
      </c>
    </row>
    <row r="442" spans="100:107" x14ac:dyDescent="0.25">
      <c r="CV442" s="144" t="s">
        <v>153</v>
      </c>
      <c r="CW442">
        <v>4</v>
      </c>
      <c r="CX442" t="s">
        <v>1528</v>
      </c>
      <c r="CY442" t="s">
        <v>1744</v>
      </c>
      <c r="CZ442" s="144">
        <v>67.62</v>
      </c>
      <c r="DA442">
        <v>25</v>
      </c>
      <c r="DB442">
        <v>67900</v>
      </c>
      <c r="DC442">
        <v>10600</v>
      </c>
    </row>
    <row r="443" spans="100:107" x14ac:dyDescent="0.25">
      <c r="CV443" s="144" t="s">
        <v>153</v>
      </c>
      <c r="CW443">
        <v>5</v>
      </c>
      <c r="CX443" t="s">
        <v>1529</v>
      </c>
      <c r="CY443" t="s">
        <v>1745</v>
      </c>
      <c r="CZ443" s="144">
        <v>74.52</v>
      </c>
      <c r="DA443">
        <v>23</v>
      </c>
      <c r="DB443">
        <v>67900</v>
      </c>
      <c r="DC443">
        <v>11000</v>
      </c>
    </row>
    <row r="444" spans="100:107" x14ac:dyDescent="0.25">
      <c r="CV444" s="144" t="s">
        <v>153</v>
      </c>
      <c r="CW444">
        <v>6</v>
      </c>
      <c r="CX444" t="s">
        <v>1530</v>
      </c>
      <c r="CY444" t="s">
        <v>1746</v>
      </c>
      <c r="CZ444" s="144">
        <v>83.99</v>
      </c>
      <c r="DA444">
        <v>20</v>
      </c>
      <c r="DB444">
        <v>67900</v>
      </c>
      <c r="DC444">
        <v>11200</v>
      </c>
    </row>
    <row r="445" spans="100:107" x14ac:dyDescent="0.25">
      <c r="CV445" s="144" t="s">
        <v>153</v>
      </c>
      <c r="CW445">
        <v>7</v>
      </c>
      <c r="CX445" t="s">
        <v>1531</v>
      </c>
      <c r="CY445" t="s">
        <v>1747</v>
      </c>
      <c r="CZ445" s="144">
        <v>88.49</v>
      </c>
      <c r="DA445">
        <v>19</v>
      </c>
      <c r="DB445">
        <v>67900</v>
      </c>
      <c r="DC445">
        <v>11200</v>
      </c>
    </row>
    <row r="446" spans="100:107" x14ac:dyDescent="0.25">
      <c r="CV446" s="144" t="s">
        <v>153</v>
      </c>
      <c r="CW446">
        <v>8</v>
      </c>
      <c r="CX446" t="s">
        <v>1532</v>
      </c>
      <c r="CY446" t="s">
        <v>1748</v>
      </c>
      <c r="CZ446" s="144">
        <v>92.47</v>
      </c>
      <c r="DA446">
        <v>18</v>
      </c>
      <c r="DB446">
        <v>67900</v>
      </c>
      <c r="DC446">
        <v>11200</v>
      </c>
    </row>
    <row r="447" spans="100:107" x14ac:dyDescent="0.25">
      <c r="CV447" s="144" t="s">
        <v>153</v>
      </c>
      <c r="CW447">
        <v>9</v>
      </c>
      <c r="CX447" t="s">
        <v>1533</v>
      </c>
      <c r="CY447" t="s">
        <v>1749</v>
      </c>
      <c r="CZ447" s="144">
        <v>101.38</v>
      </c>
      <c r="DA447">
        <v>17</v>
      </c>
      <c r="DB447">
        <v>67900</v>
      </c>
      <c r="DC447">
        <v>11200</v>
      </c>
    </row>
    <row r="448" spans="100:107" x14ac:dyDescent="0.25">
      <c r="CV448" s="144" t="s">
        <v>153</v>
      </c>
      <c r="CW448">
        <v>10</v>
      </c>
      <c r="CX448" t="s">
        <v>1534</v>
      </c>
      <c r="CY448" t="s">
        <v>1750</v>
      </c>
      <c r="CZ448" s="144">
        <v>117.94</v>
      </c>
      <c r="DA448">
        <v>14</v>
      </c>
      <c r="DB448">
        <v>67900</v>
      </c>
      <c r="DC448">
        <v>11200</v>
      </c>
    </row>
    <row r="449" spans="100:107" x14ac:dyDescent="0.25">
      <c r="CV449" s="144" t="s">
        <v>153</v>
      </c>
      <c r="CW449">
        <v>11</v>
      </c>
      <c r="CX449" t="s">
        <v>1535</v>
      </c>
      <c r="CY449" t="s">
        <v>1751</v>
      </c>
      <c r="CZ449" s="144">
        <v>129.97</v>
      </c>
      <c r="DA449">
        <v>13</v>
      </c>
      <c r="DB449">
        <v>67900</v>
      </c>
      <c r="DC449">
        <v>11200</v>
      </c>
    </row>
    <row r="450" spans="100:107" x14ac:dyDescent="0.25">
      <c r="CV450" s="144" t="s">
        <v>153</v>
      </c>
      <c r="CW450">
        <v>12</v>
      </c>
      <c r="CX450" t="s">
        <v>1536</v>
      </c>
      <c r="CY450" t="s">
        <v>1752</v>
      </c>
      <c r="CZ450" s="144">
        <v>146.49</v>
      </c>
      <c r="DA450">
        <v>12</v>
      </c>
      <c r="DB450">
        <v>67900</v>
      </c>
      <c r="DC450">
        <v>11200</v>
      </c>
    </row>
    <row r="451" spans="100:107" x14ac:dyDescent="0.25">
      <c r="CV451" s="144" t="s">
        <v>153</v>
      </c>
      <c r="CW451">
        <v>13</v>
      </c>
      <c r="CX451" t="s">
        <v>1537</v>
      </c>
      <c r="CY451" t="s">
        <v>1753</v>
      </c>
      <c r="CZ451" s="144">
        <v>161.28</v>
      </c>
      <c r="DA451">
        <v>11</v>
      </c>
      <c r="DB451">
        <v>67900</v>
      </c>
      <c r="DC451">
        <v>11200</v>
      </c>
    </row>
    <row r="452" spans="100:107" x14ac:dyDescent="0.25">
      <c r="CV452" s="144" t="s">
        <v>153</v>
      </c>
      <c r="CW452">
        <v>14</v>
      </c>
      <c r="CX452" t="s">
        <v>1538</v>
      </c>
      <c r="CY452" t="s">
        <v>1754</v>
      </c>
      <c r="CZ452" s="144">
        <v>178.64</v>
      </c>
      <c r="DA452">
        <v>9.5</v>
      </c>
      <c r="DB452">
        <v>67900</v>
      </c>
      <c r="DC452">
        <v>11200</v>
      </c>
    </row>
    <row r="453" spans="100:107" x14ac:dyDescent="0.25">
      <c r="CV453" s="144" t="s">
        <v>153</v>
      </c>
      <c r="CW453">
        <v>15</v>
      </c>
      <c r="CX453" t="s">
        <v>1539</v>
      </c>
      <c r="CY453" t="s">
        <v>1755</v>
      </c>
      <c r="CZ453" s="144">
        <v>199.31</v>
      </c>
      <c r="DA453">
        <v>8.5</v>
      </c>
      <c r="DB453">
        <v>67900</v>
      </c>
      <c r="DC453">
        <v>11200</v>
      </c>
    </row>
    <row r="454" spans="100:107" x14ac:dyDescent="0.25">
      <c r="CV454" s="144" t="s">
        <v>154</v>
      </c>
      <c r="CW454">
        <v>1</v>
      </c>
      <c r="CX454" t="s">
        <v>1540</v>
      </c>
      <c r="CY454" t="s">
        <v>1756</v>
      </c>
      <c r="CZ454" s="144" t="s">
        <v>1326</v>
      </c>
      <c r="DA454">
        <v>7.6</v>
      </c>
      <c r="DB454">
        <v>67970</v>
      </c>
      <c r="DC454">
        <v>11200</v>
      </c>
    </row>
    <row r="455" spans="100:107" x14ac:dyDescent="0.25">
      <c r="CV455" s="144" t="s">
        <v>154</v>
      </c>
      <c r="CW455">
        <v>2</v>
      </c>
      <c r="CX455" t="s">
        <v>1541</v>
      </c>
      <c r="CY455" t="s">
        <v>1757</v>
      </c>
      <c r="CZ455" s="144" t="s">
        <v>1267</v>
      </c>
      <c r="DA455">
        <v>6.7</v>
      </c>
      <c r="DB455">
        <v>67970</v>
      </c>
      <c r="DC455">
        <v>11200</v>
      </c>
    </row>
    <row r="456" spans="100:107" x14ac:dyDescent="0.25">
      <c r="CV456" s="144" t="s">
        <v>154</v>
      </c>
      <c r="CW456">
        <v>3</v>
      </c>
      <c r="CX456" t="s">
        <v>1542</v>
      </c>
      <c r="CY456" t="s">
        <v>1758</v>
      </c>
      <c r="CZ456" s="144" t="s">
        <v>1327</v>
      </c>
      <c r="DA456">
        <v>6.4</v>
      </c>
      <c r="DB456">
        <v>69400</v>
      </c>
      <c r="DC456">
        <v>11100</v>
      </c>
    </row>
    <row r="457" spans="100:107" x14ac:dyDescent="0.25">
      <c r="CV457" s="144" t="s">
        <v>154</v>
      </c>
      <c r="CW457">
        <v>4</v>
      </c>
      <c r="CX457" t="s">
        <v>1543</v>
      </c>
      <c r="CY457" t="s">
        <v>1759</v>
      </c>
      <c r="CZ457" s="144" t="s">
        <v>1328</v>
      </c>
      <c r="DA457">
        <v>5.8</v>
      </c>
      <c r="DB457">
        <v>67970</v>
      </c>
      <c r="DC457">
        <v>11200</v>
      </c>
    </row>
    <row r="458" spans="100:107" x14ac:dyDescent="0.25">
      <c r="CV458" s="144" t="s">
        <v>154</v>
      </c>
      <c r="CW458">
        <v>5</v>
      </c>
      <c r="CX458" t="s">
        <v>1544</v>
      </c>
      <c r="CY458" t="s">
        <v>1760</v>
      </c>
      <c r="CZ458" s="144" t="s">
        <v>1313</v>
      </c>
      <c r="DA458">
        <v>5.7</v>
      </c>
      <c r="DB458">
        <v>69400</v>
      </c>
      <c r="DC458">
        <v>11100</v>
      </c>
    </row>
    <row r="459" spans="100:107" x14ac:dyDescent="0.25">
      <c r="CV459" s="144" t="s">
        <v>154</v>
      </c>
      <c r="CW459">
        <v>6</v>
      </c>
      <c r="CX459" t="s">
        <v>1545</v>
      </c>
      <c r="CY459" t="s">
        <v>1761</v>
      </c>
      <c r="CZ459" s="144" t="s">
        <v>1287</v>
      </c>
      <c r="DA459">
        <v>5.0999999999999996</v>
      </c>
      <c r="DB459">
        <v>67970</v>
      </c>
      <c r="DC459">
        <v>11200</v>
      </c>
    </row>
    <row r="460" spans="100:107" x14ac:dyDescent="0.25">
      <c r="CV460" s="144" t="s">
        <v>154</v>
      </c>
      <c r="CW460">
        <v>7</v>
      </c>
      <c r="CX460" t="s">
        <v>1546</v>
      </c>
      <c r="CY460" t="s">
        <v>1762</v>
      </c>
      <c r="CZ460" s="144" t="s">
        <v>1329</v>
      </c>
      <c r="DA460">
        <v>5</v>
      </c>
      <c r="DB460">
        <v>69400</v>
      </c>
      <c r="DC460">
        <v>11100</v>
      </c>
    </row>
    <row r="461" spans="100:107" x14ac:dyDescent="0.25">
      <c r="CV461" s="144" t="s">
        <v>154</v>
      </c>
      <c r="CW461">
        <v>8</v>
      </c>
      <c r="CX461" t="s">
        <v>1547</v>
      </c>
      <c r="CY461" t="s">
        <v>1763</v>
      </c>
      <c r="CZ461" s="144" t="s">
        <v>1300</v>
      </c>
      <c r="DA461">
        <v>4.5999999999999996</v>
      </c>
      <c r="DB461">
        <v>67970</v>
      </c>
      <c r="DC461">
        <v>11200</v>
      </c>
    </row>
    <row r="462" spans="100:107" x14ac:dyDescent="0.25">
      <c r="CV462" s="144" t="s">
        <v>154</v>
      </c>
      <c r="CW462">
        <v>9</v>
      </c>
      <c r="CX462" t="s">
        <v>1548</v>
      </c>
      <c r="CY462" t="s">
        <v>1764</v>
      </c>
      <c r="CZ462" s="144" t="s">
        <v>1330</v>
      </c>
      <c r="DA462">
        <v>4.4000000000000004</v>
      </c>
      <c r="DB462">
        <v>69400</v>
      </c>
      <c r="DC462">
        <v>11100</v>
      </c>
    </row>
    <row r="463" spans="100:107" x14ac:dyDescent="0.25">
      <c r="CV463" s="144" t="s">
        <v>154</v>
      </c>
      <c r="CW463">
        <v>10</v>
      </c>
      <c r="CX463" t="s">
        <v>1549</v>
      </c>
      <c r="CY463" t="s">
        <v>1765</v>
      </c>
      <c r="CZ463" s="144" t="s">
        <v>1331</v>
      </c>
      <c r="DA463">
        <v>4</v>
      </c>
      <c r="DB463">
        <v>69400</v>
      </c>
      <c r="DC463">
        <v>11100</v>
      </c>
    </row>
    <row r="464" spans="100:107" x14ac:dyDescent="0.25">
      <c r="CV464" s="144" t="s">
        <v>154</v>
      </c>
      <c r="CW464">
        <v>11</v>
      </c>
      <c r="CX464" t="s">
        <v>1550</v>
      </c>
      <c r="CY464" t="s">
        <v>1766</v>
      </c>
      <c r="CZ464" s="144" t="s">
        <v>1332</v>
      </c>
      <c r="DA464">
        <v>3.9</v>
      </c>
      <c r="DB464">
        <v>67970</v>
      </c>
      <c r="DC464">
        <v>11200</v>
      </c>
    </row>
    <row r="465" spans="100:107" x14ac:dyDescent="0.25">
      <c r="CV465" s="144" t="s">
        <v>154</v>
      </c>
      <c r="CW465">
        <v>12</v>
      </c>
      <c r="CX465" t="s">
        <v>1551</v>
      </c>
      <c r="CY465" t="s">
        <v>1767</v>
      </c>
      <c r="CZ465" s="144" t="s">
        <v>1333</v>
      </c>
      <c r="DA465">
        <v>3.5</v>
      </c>
      <c r="DB465">
        <v>67970</v>
      </c>
      <c r="DC465">
        <v>11200</v>
      </c>
    </row>
    <row r="466" spans="100:107" x14ac:dyDescent="0.25">
      <c r="CV466" s="144" t="s">
        <v>154</v>
      </c>
      <c r="CW466">
        <v>13</v>
      </c>
      <c r="CX466" t="s">
        <v>1552</v>
      </c>
      <c r="CY466" t="s">
        <v>1767</v>
      </c>
      <c r="CZ466" s="144" t="s">
        <v>1334</v>
      </c>
      <c r="DA466">
        <v>3.5</v>
      </c>
      <c r="DB466">
        <v>69400</v>
      </c>
      <c r="DC466">
        <v>11100</v>
      </c>
    </row>
    <row r="467" spans="100:107" x14ac:dyDescent="0.25">
      <c r="CV467" s="144" t="s">
        <v>154</v>
      </c>
      <c r="CW467">
        <v>14</v>
      </c>
      <c r="CX467" t="s">
        <v>1553</v>
      </c>
      <c r="CY467" t="s">
        <v>1768</v>
      </c>
      <c r="CZ467" s="144" t="s">
        <v>1335</v>
      </c>
      <c r="DA467">
        <v>3.3</v>
      </c>
      <c r="DB467">
        <v>69400</v>
      </c>
      <c r="DC467">
        <v>11100</v>
      </c>
    </row>
    <row r="468" spans="100:107" x14ac:dyDescent="0.25">
      <c r="CV468" s="144" t="s">
        <v>154</v>
      </c>
      <c r="CW468">
        <v>15</v>
      </c>
      <c r="CX468" t="s">
        <v>1554</v>
      </c>
      <c r="CY468" t="s">
        <v>1769</v>
      </c>
      <c r="CZ468" s="144" t="s">
        <v>1336</v>
      </c>
      <c r="DA468">
        <v>3</v>
      </c>
      <c r="DB468">
        <v>67970</v>
      </c>
      <c r="DC468">
        <v>11200</v>
      </c>
    </row>
    <row r="469" spans="100:107" x14ac:dyDescent="0.25">
      <c r="CV469" s="144" t="s">
        <v>155</v>
      </c>
      <c r="CW469">
        <v>1</v>
      </c>
      <c r="CX469" t="s">
        <v>1555</v>
      </c>
      <c r="CY469" t="s">
        <v>1770</v>
      </c>
      <c r="CZ469" s="144">
        <v>25.3</v>
      </c>
      <c r="DA469">
        <v>67</v>
      </c>
      <c r="DB469">
        <v>106200</v>
      </c>
      <c r="DC469">
        <v>8400</v>
      </c>
    </row>
    <row r="470" spans="100:107" x14ac:dyDescent="0.25">
      <c r="CV470" s="144" t="s">
        <v>155</v>
      </c>
      <c r="CW470">
        <v>2</v>
      </c>
      <c r="CX470" t="s">
        <v>1556</v>
      </c>
      <c r="CY470" t="s">
        <v>1771</v>
      </c>
      <c r="CZ470" s="144">
        <v>31.33</v>
      </c>
      <c r="DA470">
        <v>54</v>
      </c>
      <c r="DB470">
        <v>106200</v>
      </c>
      <c r="DC470">
        <v>9660</v>
      </c>
    </row>
    <row r="471" spans="100:107" x14ac:dyDescent="0.25">
      <c r="CV471" s="144" t="s">
        <v>155</v>
      </c>
      <c r="CW471">
        <v>3</v>
      </c>
      <c r="CX471" t="s">
        <v>1557</v>
      </c>
      <c r="CY471" t="s">
        <v>1772</v>
      </c>
      <c r="CZ471" s="144">
        <v>37.28</v>
      </c>
      <c r="DA471">
        <v>46</v>
      </c>
      <c r="DB471">
        <v>106200</v>
      </c>
      <c r="DC471">
        <v>10700</v>
      </c>
    </row>
    <row r="472" spans="100:107" x14ac:dyDescent="0.25">
      <c r="CV472" s="144" t="s">
        <v>155</v>
      </c>
      <c r="CW472">
        <v>4</v>
      </c>
      <c r="CX472" t="s">
        <v>1558</v>
      </c>
      <c r="CY472" t="s">
        <v>1773</v>
      </c>
      <c r="CZ472" s="144">
        <v>42.15</v>
      </c>
      <c r="DA472">
        <v>40</v>
      </c>
      <c r="DB472">
        <v>106200</v>
      </c>
      <c r="DC472">
        <v>11500</v>
      </c>
    </row>
    <row r="473" spans="100:107" x14ac:dyDescent="0.25">
      <c r="CV473" s="144" t="s">
        <v>155</v>
      </c>
      <c r="CW473">
        <v>5</v>
      </c>
      <c r="CX473" t="s">
        <v>1559</v>
      </c>
      <c r="CY473" t="s">
        <v>1774</v>
      </c>
      <c r="CZ473" s="144">
        <v>48.8</v>
      </c>
      <c r="DA473">
        <v>35</v>
      </c>
      <c r="DB473">
        <v>106200</v>
      </c>
      <c r="DC473">
        <v>12500</v>
      </c>
    </row>
    <row r="474" spans="100:107" x14ac:dyDescent="0.25">
      <c r="CV474" s="144" t="s">
        <v>155</v>
      </c>
      <c r="CW474">
        <v>6</v>
      </c>
      <c r="CX474" t="s">
        <v>1560</v>
      </c>
      <c r="CY474" t="s">
        <v>1775</v>
      </c>
      <c r="CZ474" s="144">
        <v>55.31</v>
      </c>
      <c r="DA474">
        <v>31</v>
      </c>
      <c r="DB474">
        <v>106200</v>
      </c>
      <c r="DC474">
        <v>13300</v>
      </c>
    </row>
    <row r="475" spans="100:107" x14ac:dyDescent="0.25">
      <c r="CV475" s="144" t="s">
        <v>155</v>
      </c>
      <c r="CW475">
        <v>7</v>
      </c>
      <c r="CX475" t="s">
        <v>1561</v>
      </c>
      <c r="CY475" t="s">
        <v>1776</v>
      </c>
      <c r="CZ475" s="144">
        <v>63.91</v>
      </c>
      <c r="DA475">
        <v>27</v>
      </c>
      <c r="DB475">
        <v>106200</v>
      </c>
      <c r="DC475">
        <v>14300</v>
      </c>
    </row>
    <row r="476" spans="100:107" x14ac:dyDescent="0.25">
      <c r="CV476" s="144" t="s">
        <v>155</v>
      </c>
      <c r="CW476">
        <v>8</v>
      </c>
      <c r="CX476" t="s">
        <v>1562</v>
      </c>
      <c r="CY476" t="s">
        <v>1777</v>
      </c>
      <c r="CZ476" s="144">
        <v>70.069999999999993</v>
      </c>
      <c r="DA476">
        <v>24</v>
      </c>
      <c r="DB476">
        <v>106200</v>
      </c>
      <c r="DC476">
        <v>14900</v>
      </c>
    </row>
    <row r="477" spans="100:107" x14ac:dyDescent="0.25">
      <c r="CV477" s="144" t="s">
        <v>155</v>
      </c>
      <c r="CW477">
        <v>9</v>
      </c>
      <c r="CX477" t="s">
        <v>1563</v>
      </c>
      <c r="CY477" t="s">
        <v>1778</v>
      </c>
      <c r="CZ477" s="144">
        <v>75.41</v>
      </c>
      <c r="DA477">
        <v>23</v>
      </c>
      <c r="DB477">
        <v>106200</v>
      </c>
      <c r="DC477">
        <v>15400</v>
      </c>
    </row>
    <row r="478" spans="100:107" x14ac:dyDescent="0.25">
      <c r="CV478" s="144" t="s">
        <v>155</v>
      </c>
      <c r="CW478">
        <v>10</v>
      </c>
      <c r="CX478" t="s">
        <v>1564</v>
      </c>
      <c r="CY478" t="s">
        <v>1779</v>
      </c>
      <c r="CZ478" s="144">
        <v>87.31</v>
      </c>
      <c r="DA478">
        <v>19</v>
      </c>
      <c r="DB478">
        <v>106200</v>
      </c>
      <c r="DC478">
        <v>16400</v>
      </c>
    </row>
    <row r="479" spans="100:107" x14ac:dyDescent="0.25">
      <c r="CV479" s="144" t="s">
        <v>155</v>
      </c>
      <c r="CW479">
        <v>11</v>
      </c>
      <c r="CX479" t="s">
        <v>1565</v>
      </c>
      <c r="CY479" t="s">
        <v>1780</v>
      </c>
      <c r="CZ479" s="144">
        <v>98.95</v>
      </c>
      <c r="DA479">
        <v>17</v>
      </c>
      <c r="DB479">
        <v>106200</v>
      </c>
      <c r="DC479">
        <v>17200</v>
      </c>
    </row>
    <row r="480" spans="100:107" x14ac:dyDescent="0.25">
      <c r="CV480" s="144" t="s">
        <v>155</v>
      </c>
      <c r="CW480">
        <v>12</v>
      </c>
      <c r="CX480" t="s">
        <v>1566</v>
      </c>
      <c r="CY480" t="s">
        <v>1781</v>
      </c>
      <c r="CZ480" s="144">
        <v>114.34</v>
      </c>
      <c r="DA480">
        <v>15</v>
      </c>
      <c r="DB480">
        <v>106200</v>
      </c>
      <c r="DC480">
        <v>18300</v>
      </c>
    </row>
    <row r="481" spans="100:107" x14ac:dyDescent="0.25">
      <c r="CV481" s="144" t="s">
        <v>155</v>
      </c>
      <c r="CW481">
        <v>13</v>
      </c>
      <c r="CX481" t="s">
        <v>1567</v>
      </c>
      <c r="CY481" t="s">
        <v>1782</v>
      </c>
      <c r="CZ481" s="144">
        <v>125.37</v>
      </c>
      <c r="DA481">
        <v>14</v>
      </c>
      <c r="DB481">
        <v>106200</v>
      </c>
      <c r="DC481">
        <v>19000</v>
      </c>
    </row>
    <row r="482" spans="100:107" x14ac:dyDescent="0.25">
      <c r="CV482" s="144" t="s">
        <v>155</v>
      </c>
      <c r="CW482">
        <v>14</v>
      </c>
      <c r="CX482" t="s">
        <v>1568</v>
      </c>
      <c r="CY482" t="s">
        <v>1783</v>
      </c>
      <c r="CZ482" s="144">
        <v>153.66999999999999</v>
      </c>
      <c r="DA482">
        <v>11</v>
      </c>
      <c r="DB482">
        <v>106200</v>
      </c>
      <c r="DC482">
        <v>20200</v>
      </c>
    </row>
    <row r="483" spans="100:107" x14ac:dyDescent="0.25">
      <c r="CV483" s="144" t="s">
        <v>155</v>
      </c>
      <c r="CW483">
        <v>15</v>
      </c>
      <c r="CX483" t="s">
        <v>1569</v>
      </c>
      <c r="CY483" t="s">
        <v>1784</v>
      </c>
      <c r="CZ483" s="144">
        <v>170.83</v>
      </c>
      <c r="DA483">
        <v>10</v>
      </c>
      <c r="DB483">
        <v>106200</v>
      </c>
      <c r="DC483">
        <v>20200</v>
      </c>
    </row>
    <row r="484" spans="100:107" x14ac:dyDescent="0.25">
      <c r="CV484" s="144" t="s">
        <v>156</v>
      </c>
      <c r="CX484" t="s">
        <v>1570</v>
      </c>
      <c r="CY484" t="s">
        <v>1785</v>
      </c>
      <c r="CZ484" s="144" t="s">
        <v>1337</v>
      </c>
      <c r="DA484">
        <v>10</v>
      </c>
      <c r="DB484">
        <v>106200</v>
      </c>
      <c r="DC484">
        <v>20230</v>
      </c>
    </row>
    <row r="485" spans="100:107" x14ac:dyDescent="0.25">
      <c r="CV485" s="144" t="s">
        <v>156</v>
      </c>
      <c r="CX485" t="s">
        <v>1570</v>
      </c>
      <c r="CY485" t="s">
        <v>1786</v>
      </c>
      <c r="CZ485" s="144" t="s">
        <v>1338</v>
      </c>
      <c r="DA485">
        <v>8.6</v>
      </c>
      <c r="DB485">
        <v>106200</v>
      </c>
      <c r="DC485">
        <v>20230</v>
      </c>
    </row>
    <row r="486" spans="100:107" x14ac:dyDescent="0.25">
      <c r="CV486" s="144" t="s">
        <v>156</v>
      </c>
      <c r="CX486" t="s">
        <v>1570</v>
      </c>
      <c r="CY486" t="s">
        <v>1787</v>
      </c>
      <c r="CZ486" s="144" t="s">
        <v>1339</v>
      </c>
      <c r="DA486">
        <v>7.6</v>
      </c>
      <c r="DB486">
        <v>106200</v>
      </c>
      <c r="DC486">
        <v>20230</v>
      </c>
    </row>
    <row r="487" spans="100:107" x14ac:dyDescent="0.25">
      <c r="CV487" s="144" t="s">
        <v>156</v>
      </c>
      <c r="CX487" t="s">
        <v>1570</v>
      </c>
      <c r="CY487" t="s">
        <v>1788</v>
      </c>
      <c r="CZ487" s="144" t="s">
        <v>1340</v>
      </c>
      <c r="DA487">
        <v>6.6</v>
      </c>
      <c r="DB487">
        <v>106200</v>
      </c>
      <c r="DC487">
        <v>20230</v>
      </c>
    </row>
    <row r="488" spans="100:107" x14ac:dyDescent="0.25">
      <c r="CV488" s="144" t="s">
        <v>156</v>
      </c>
      <c r="CX488" t="s">
        <v>1570</v>
      </c>
      <c r="CY488" t="s">
        <v>1789</v>
      </c>
      <c r="CZ488" s="144" t="s">
        <v>1341</v>
      </c>
      <c r="DA488">
        <v>5.8</v>
      </c>
      <c r="DB488">
        <v>106200</v>
      </c>
      <c r="DC488">
        <v>20230</v>
      </c>
    </row>
    <row r="489" spans="100:107" x14ac:dyDescent="0.25">
      <c r="CV489" s="144" t="s">
        <v>156</v>
      </c>
      <c r="CX489" t="s">
        <v>1570</v>
      </c>
      <c r="CY489" t="s">
        <v>1790</v>
      </c>
      <c r="CZ489" s="144" t="s">
        <v>1342</v>
      </c>
      <c r="DA489">
        <v>5.4</v>
      </c>
      <c r="DB489">
        <v>106200</v>
      </c>
      <c r="DC489">
        <v>20230</v>
      </c>
    </row>
    <row r="490" spans="100:107" x14ac:dyDescent="0.25">
      <c r="CV490" s="144" t="s">
        <v>156</v>
      </c>
      <c r="CX490" t="s">
        <v>1570</v>
      </c>
      <c r="CY490" t="s">
        <v>1791</v>
      </c>
      <c r="CZ490" s="144" t="s">
        <v>1343</v>
      </c>
      <c r="DA490">
        <v>4.5</v>
      </c>
      <c r="DB490">
        <v>106200</v>
      </c>
      <c r="DC490">
        <v>20230</v>
      </c>
    </row>
    <row r="491" spans="100:107" x14ac:dyDescent="0.25">
      <c r="CV491" s="144" t="s">
        <v>156</v>
      </c>
      <c r="CX491" t="s">
        <v>1570</v>
      </c>
      <c r="CY491" t="s">
        <v>1792</v>
      </c>
      <c r="CZ491" s="144" t="s">
        <v>1344</v>
      </c>
      <c r="DA491">
        <v>4.0999999999999996</v>
      </c>
      <c r="DB491">
        <v>106200</v>
      </c>
      <c r="DC491">
        <v>20230</v>
      </c>
    </row>
    <row r="492" spans="100:107" x14ac:dyDescent="0.25">
      <c r="CV492" s="144" t="s">
        <v>156</v>
      </c>
      <c r="CX492" t="s">
        <v>1570</v>
      </c>
      <c r="CY492" t="s">
        <v>1793</v>
      </c>
      <c r="CZ492" s="144" t="s">
        <v>1276</v>
      </c>
      <c r="DA492">
        <v>3.5</v>
      </c>
      <c r="DB492">
        <v>106200</v>
      </c>
      <c r="DC492">
        <v>20230</v>
      </c>
    </row>
    <row r="493" spans="100:107" x14ac:dyDescent="0.25">
      <c r="CV493" s="144" t="s">
        <v>157</v>
      </c>
      <c r="CW493">
        <v>1</v>
      </c>
      <c r="CX493" t="s">
        <v>1571</v>
      </c>
      <c r="CY493" t="s">
        <v>1794</v>
      </c>
      <c r="CZ493" s="144">
        <v>40.06</v>
      </c>
      <c r="DA493">
        <v>42</v>
      </c>
      <c r="DB493">
        <v>159300</v>
      </c>
      <c r="DC493">
        <v>14100</v>
      </c>
    </row>
    <row r="494" spans="100:107" x14ac:dyDescent="0.25">
      <c r="CV494" s="144" t="s">
        <v>157</v>
      </c>
      <c r="CW494">
        <v>2</v>
      </c>
      <c r="CX494" t="s">
        <v>1572</v>
      </c>
      <c r="CY494" t="s">
        <v>1795</v>
      </c>
      <c r="CZ494" s="144">
        <v>46.48</v>
      </c>
      <c r="DA494">
        <v>37</v>
      </c>
      <c r="DB494">
        <v>159300</v>
      </c>
      <c r="DC494">
        <v>15200</v>
      </c>
    </row>
    <row r="495" spans="100:107" x14ac:dyDescent="0.25">
      <c r="CV495" s="144" t="s">
        <v>157</v>
      </c>
      <c r="CW495">
        <v>3</v>
      </c>
      <c r="CX495" t="s">
        <v>1573</v>
      </c>
      <c r="CY495" t="s">
        <v>1796</v>
      </c>
      <c r="CZ495" s="144">
        <v>52.24</v>
      </c>
      <c r="DA495">
        <v>33</v>
      </c>
      <c r="DB495">
        <v>159300</v>
      </c>
      <c r="DC495">
        <v>16000</v>
      </c>
    </row>
    <row r="496" spans="100:107" x14ac:dyDescent="0.25">
      <c r="CV496" s="144" t="s">
        <v>157</v>
      </c>
      <c r="CW496">
        <v>4</v>
      </c>
      <c r="CX496" t="s">
        <v>1574</v>
      </c>
      <c r="CY496" t="s">
        <v>1797</v>
      </c>
      <c r="CZ496" s="144">
        <v>60.25</v>
      </c>
      <c r="DA496">
        <v>28</v>
      </c>
      <c r="DB496">
        <v>159300</v>
      </c>
      <c r="DC496">
        <v>17000</v>
      </c>
    </row>
    <row r="497" spans="100:107" x14ac:dyDescent="0.25">
      <c r="CV497" s="144" t="s">
        <v>157</v>
      </c>
      <c r="CW497">
        <v>5</v>
      </c>
      <c r="CX497" t="s">
        <v>1575</v>
      </c>
      <c r="CY497" t="s">
        <v>1798</v>
      </c>
      <c r="CZ497" s="144">
        <v>68.28</v>
      </c>
      <c r="DA497">
        <v>25</v>
      </c>
      <c r="DB497">
        <v>159300</v>
      </c>
      <c r="DC497">
        <v>18000</v>
      </c>
    </row>
    <row r="498" spans="100:107" x14ac:dyDescent="0.25">
      <c r="CV498" s="144" t="s">
        <v>157</v>
      </c>
      <c r="CW498">
        <v>6</v>
      </c>
      <c r="CX498" t="s">
        <v>1576</v>
      </c>
      <c r="CY498" t="s">
        <v>1799</v>
      </c>
      <c r="CZ498" s="144">
        <v>78.459999999999994</v>
      </c>
      <c r="DA498">
        <v>22</v>
      </c>
      <c r="DB498">
        <v>159300</v>
      </c>
      <c r="DC498">
        <v>19100</v>
      </c>
    </row>
    <row r="499" spans="100:107" x14ac:dyDescent="0.25">
      <c r="CV499" s="144" t="s">
        <v>157</v>
      </c>
      <c r="CW499">
        <v>7</v>
      </c>
      <c r="CX499" t="s">
        <v>1577</v>
      </c>
      <c r="CY499" t="s">
        <v>1800</v>
      </c>
      <c r="CZ499" s="144">
        <v>85.8</v>
      </c>
      <c r="DA499">
        <v>20</v>
      </c>
      <c r="DB499">
        <v>159300</v>
      </c>
      <c r="DC499">
        <v>19800</v>
      </c>
    </row>
    <row r="500" spans="100:107" x14ac:dyDescent="0.25">
      <c r="CV500" s="144" t="s">
        <v>157</v>
      </c>
      <c r="CW500">
        <v>8</v>
      </c>
      <c r="CX500" t="s">
        <v>1578</v>
      </c>
      <c r="CY500" t="s">
        <v>1801</v>
      </c>
      <c r="CZ500" s="144">
        <v>96.53</v>
      </c>
      <c r="DA500">
        <v>18</v>
      </c>
      <c r="DB500">
        <v>159300</v>
      </c>
      <c r="DC500">
        <v>20800</v>
      </c>
    </row>
    <row r="501" spans="100:107" x14ac:dyDescent="0.25">
      <c r="CV501" s="144" t="s">
        <v>157</v>
      </c>
      <c r="CW501">
        <v>9</v>
      </c>
      <c r="CX501" t="s">
        <v>1579</v>
      </c>
      <c r="CY501" t="s">
        <v>1802</v>
      </c>
      <c r="CZ501" s="144">
        <v>108.49</v>
      </c>
      <c r="DA501">
        <v>16</v>
      </c>
      <c r="DB501">
        <v>159300</v>
      </c>
      <c r="DC501">
        <v>21900</v>
      </c>
    </row>
    <row r="502" spans="100:107" x14ac:dyDescent="0.25">
      <c r="CV502" s="144" t="s">
        <v>157</v>
      </c>
      <c r="CW502">
        <v>10</v>
      </c>
      <c r="CX502" t="s">
        <v>1580</v>
      </c>
      <c r="CY502" t="s">
        <v>1803</v>
      </c>
      <c r="CZ502" s="144">
        <v>125.14</v>
      </c>
      <c r="DA502">
        <v>14</v>
      </c>
      <c r="DB502">
        <v>159300</v>
      </c>
      <c r="DC502">
        <v>22500</v>
      </c>
    </row>
    <row r="503" spans="100:107" x14ac:dyDescent="0.25">
      <c r="CV503" s="144" t="s">
        <v>157</v>
      </c>
      <c r="CW503">
        <v>11</v>
      </c>
      <c r="CX503" t="s">
        <v>1581</v>
      </c>
      <c r="CY503" t="s">
        <v>1804</v>
      </c>
      <c r="CZ503" s="144">
        <v>141.80000000000001</v>
      </c>
      <c r="DA503">
        <v>12</v>
      </c>
      <c r="DB503">
        <v>159300</v>
      </c>
      <c r="DC503">
        <v>22500</v>
      </c>
    </row>
    <row r="504" spans="100:107" x14ac:dyDescent="0.25">
      <c r="CV504" s="144" t="s">
        <v>157</v>
      </c>
      <c r="CW504">
        <v>12</v>
      </c>
      <c r="CX504" t="s">
        <v>1582</v>
      </c>
      <c r="CY504" t="s">
        <v>1805</v>
      </c>
      <c r="CZ504" s="144">
        <v>162.96</v>
      </c>
      <c r="DA504">
        <v>10</v>
      </c>
      <c r="DB504">
        <v>159300</v>
      </c>
      <c r="DC504">
        <v>22500</v>
      </c>
    </row>
    <row r="505" spans="100:107" x14ac:dyDescent="0.25">
      <c r="CV505" s="144" t="s">
        <v>157</v>
      </c>
      <c r="CW505">
        <v>13</v>
      </c>
      <c r="CX505" t="s">
        <v>1583</v>
      </c>
      <c r="CY505" t="s">
        <v>1806</v>
      </c>
      <c r="CZ505" s="144">
        <v>178.2</v>
      </c>
      <c r="DA505">
        <v>9.5</v>
      </c>
      <c r="DB505">
        <v>159300</v>
      </c>
      <c r="DC505">
        <v>22500</v>
      </c>
    </row>
    <row r="506" spans="100:107" x14ac:dyDescent="0.25">
      <c r="CV506" s="144" t="s">
        <v>157</v>
      </c>
      <c r="CW506">
        <v>14</v>
      </c>
      <c r="CX506" t="s">
        <v>1584</v>
      </c>
      <c r="CY506" t="s">
        <v>1807</v>
      </c>
      <c r="CZ506" s="144">
        <v>217.62</v>
      </c>
      <c r="DA506">
        <v>7.8</v>
      </c>
      <c r="DB506">
        <v>159300</v>
      </c>
      <c r="DC506">
        <v>22500</v>
      </c>
    </row>
    <row r="507" spans="100:107" x14ac:dyDescent="0.25">
      <c r="CV507" s="144" t="s">
        <v>157</v>
      </c>
      <c r="CW507">
        <v>15</v>
      </c>
      <c r="CX507" t="s">
        <v>1585</v>
      </c>
      <c r="CY507" t="s">
        <v>1808</v>
      </c>
      <c r="CZ507" s="144">
        <v>267.43</v>
      </c>
      <c r="DA507">
        <v>6.4</v>
      </c>
      <c r="DB507">
        <v>159300</v>
      </c>
      <c r="DC507">
        <v>22500</v>
      </c>
    </row>
    <row r="508" spans="100:107" x14ac:dyDescent="0.25">
      <c r="CV508" s="144" t="s">
        <v>158</v>
      </c>
      <c r="CW508">
        <v>1</v>
      </c>
      <c r="CX508" t="s">
        <v>1586</v>
      </c>
      <c r="CY508" t="s">
        <v>1809</v>
      </c>
      <c r="CZ508" s="144" t="s">
        <v>1345</v>
      </c>
      <c r="DA508">
        <v>8.6</v>
      </c>
      <c r="DB508">
        <v>159300</v>
      </c>
      <c r="DC508">
        <v>22540</v>
      </c>
    </row>
    <row r="509" spans="100:107" x14ac:dyDescent="0.25">
      <c r="CV509" s="144" t="s">
        <v>158</v>
      </c>
      <c r="CW509">
        <v>2</v>
      </c>
      <c r="CX509" t="s">
        <v>1587</v>
      </c>
      <c r="CY509" t="s">
        <v>1810</v>
      </c>
      <c r="CZ509" s="144" t="s">
        <v>1346</v>
      </c>
      <c r="DA509">
        <v>8.4</v>
      </c>
      <c r="DB509">
        <v>159300</v>
      </c>
      <c r="DC509">
        <v>22540</v>
      </c>
    </row>
    <row r="510" spans="100:107" x14ac:dyDescent="0.25">
      <c r="CV510" s="144" t="s">
        <v>158</v>
      </c>
      <c r="CW510">
        <v>3</v>
      </c>
      <c r="CX510" t="s">
        <v>1588</v>
      </c>
      <c r="CY510" t="s">
        <v>1811</v>
      </c>
      <c r="CZ510" s="144" t="s">
        <v>1347</v>
      </c>
      <c r="DA510">
        <v>7.3</v>
      </c>
      <c r="DB510">
        <v>159300</v>
      </c>
      <c r="DC510">
        <v>22540</v>
      </c>
    </row>
    <row r="511" spans="100:107" x14ac:dyDescent="0.25">
      <c r="CV511" s="144" t="s">
        <v>158</v>
      </c>
      <c r="CW511">
        <v>4</v>
      </c>
      <c r="CX511" t="s">
        <v>1589</v>
      </c>
      <c r="CY511" t="s">
        <v>1812</v>
      </c>
      <c r="CZ511" s="144" t="s">
        <v>1348</v>
      </c>
      <c r="DA511">
        <v>6.2</v>
      </c>
      <c r="DB511">
        <v>159300</v>
      </c>
      <c r="DC511">
        <v>22540</v>
      </c>
    </row>
    <row r="512" spans="100:107" x14ac:dyDescent="0.25">
      <c r="CV512" s="144" t="s">
        <v>158</v>
      </c>
      <c r="CW512">
        <v>5</v>
      </c>
      <c r="CX512" t="s">
        <v>1590</v>
      </c>
      <c r="CY512" t="s">
        <v>1813</v>
      </c>
      <c r="CZ512" s="144" t="s">
        <v>1349</v>
      </c>
      <c r="DA512">
        <v>5.6</v>
      </c>
      <c r="DB512">
        <v>159300</v>
      </c>
      <c r="DC512">
        <v>22540</v>
      </c>
    </row>
    <row r="513" spans="100:107" x14ac:dyDescent="0.25">
      <c r="CV513" s="144" t="s">
        <v>158</v>
      </c>
      <c r="CW513">
        <v>6</v>
      </c>
      <c r="CX513" t="s">
        <v>1591</v>
      </c>
      <c r="CY513" t="s">
        <v>1814</v>
      </c>
      <c r="CZ513" s="144" t="s">
        <v>1350</v>
      </c>
      <c r="DA513">
        <v>4.8</v>
      </c>
      <c r="DB513">
        <v>159300</v>
      </c>
      <c r="DC513">
        <v>22540</v>
      </c>
    </row>
    <row r="514" spans="100:107" x14ac:dyDescent="0.25">
      <c r="CV514" s="144" t="s">
        <v>158</v>
      </c>
      <c r="CW514">
        <v>7</v>
      </c>
      <c r="CX514" t="s">
        <v>1592</v>
      </c>
      <c r="CY514" t="s">
        <v>1815</v>
      </c>
      <c r="CZ514" s="144" t="s">
        <v>1351</v>
      </c>
      <c r="DA514">
        <v>3.8</v>
      </c>
      <c r="DB514">
        <v>159300</v>
      </c>
      <c r="DC514">
        <v>22540</v>
      </c>
    </row>
    <row r="515" spans="100:107" x14ac:dyDescent="0.25">
      <c r="CV515" s="144" t="s">
        <v>158</v>
      </c>
      <c r="CW515">
        <v>8</v>
      </c>
      <c r="CX515" t="s">
        <v>1593</v>
      </c>
      <c r="CY515" t="s">
        <v>1816</v>
      </c>
      <c r="CZ515" s="144" t="s">
        <v>1352</v>
      </c>
      <c r="DA515">
        <v>3.4</v>
      </c>
      <c r="DB515">
        <v>159300</v>
      </c>
      <c r="DC515">
        <v>22540</v>
      </c>
    </row>
    <row r="516" spans="100:107" x14ac:dyDescent="0.25">
      <c r="CV516" s="144" t="s">
        <v>158</v>
      </c>
      <c r="CW516">
        <v>9</v>
      </c>
      <c r="CX516" t="s">
        <v>1594</v>
      </c>
      <c r="CY516" t="s">
        <v>1817</v>
      </c>
      <c r="CZ516" s="144" t="s">
        <v>1353</v>
      </c>
      <c r="DA516">
        <v>3</v>
      </c>
      <c r="DB516">
        <v>159300</v>
      </c>
      <c r="DC516">
        <v>22540</v>
      </c>
    </row>
    <row r="517" spans="100:107" x14ac:dyDescent="0.25">
      <c r="CV517" s="144" t="s">
        <v>158</v>
      </c>
      <c r="CW517">
        <v>10</v>
      </c>
      <c r="CX517" t="s">
        <v>1595</v>
      </c>
      <c r="CY517" t="s">
        <v>1818</v>
      </c>
      <c r="CZ517" s="144" t="s">
        <v>1354</v>
      </c>
      <c r="DA517">
        <v>2.5</v>
      </c>
      <c r="DB517">
        <v>159300</v>
      </c>
      <c r="DC517">
        <v>22540</v>
      </c>
    </row>
    <row r="518" spans="100:107" x14ac:dyDescent="0.25">
      <c r="CV518" s="144" t="s">
        <v>158</v>
      </c>
      <c r="CW518">
        <v>11</v>
      </c>
      <c r="CX518" t="s">
        <v>1596</v>
      </c>
      <c r="CY518" t="s">
        <v>1819</v>
      </c>
      <c r="CZ518" s="144" t="s">
        <v>1355</v>
      </c>
      <c r="DA518">
        <v>2.2000000000000002</v>
      </c>
      <c r="DB518">
        <v>159300</v>
      </c>
      <c r="DC518">
        <v>22540</v>
      </c>
    </row>
    <row r="519" spans="100:107" x14ac:dyDescent="0.25">
      <c r="CV519" s="144" t="s">
        <v>158</v>
      </c>
      <c r="CW519">
        <v>12</v>
      </c>
      <c r="CX519" t="s">
        <v>1597</v>
      </c>
      <c r="CY519" t="s">
        <v>1820</v>
      </c>
      <c r="CZ519" s="144" t="s">
        <v>1356</v>
      </c>
      <c r="DA519">
        <v>2</v>
      </c>
      <c r="DB519">
        <v>159300</v>
      </c>
      <c r="DC519">
        <v>22540</v>
      </c>
    </row>
    <row r="520" spans="100:107" x14ac:dyDescent="0.25">
      <c r="CV520" s="144" t="s">
        <v>158</v>
      </c>
      <c r="CW520">
        <v>13</v>
      </c>
      <c r="CX520" t="s">
        <v>1598</v>
      </c>
      <c r="CY520" t="s">
        <v>1821</v>
      </c>
      <c r="CZ520" s="144" t="s">
        <v>1357</v>
      </c>
      <c r="DA520">
        <v>1.8</v>
      </c>
      <c r="DB520">
        <v>159300</v>
      </c>
      <c r="DC520">
        <v>22540</v>
      </c>
    </row>
    <row r="521" spans="100:107" x14ac:dyDescent="0.25">
      <c r="CV521" s="144" t="s">
        <v>158</v>
      </c>
      <c r="CW521">
        <v>14</v>
      </c>
      <c r="CX521" t="s">
        <v>1599</v>
      </c>
      <c r="CY521" t="s">
        <v>1822</v>
      </c>
      <c r="CZ521" s="144" t="s">
        <v>1358</v>
      </c>
      <c r="DA521">
        <v>1.5</v>
      </c>
      <c r="DB521">
        <v>159300</v>
      </c>
      <c r="DC521">
        <v>22540</v>
      </c>
    </row>
    <row r="522" spans="100:107" x14ac:dyDescent="0.25">
      <c r="CV522" s="144" t="s">
        <v>158</v>
      </c>
      <c r="CW522">
        <v>15</v>
      </c>
      <c r="CX522" t="s">
        <v>1600</v>
      </c>
      <c r="CY522" t="s">
        <v>1823</v>
      </c>
      <c r="CZ522" s="144" t="s">
        <v>1359</v>
      </c>
      <c r="DA522">
        <v>1.3</v>
      </c>
      <c r="DB522">
        <v>159300</v>
      </c>
      <c r="DC522">
        <v>22540</v>
      </c>
    </row>
    <row r="523" spans="100:107" x14ac:dyDescent="0.25">
      <c r="CV523" s="144"/>
    </row>
    <row r="524" spans="100:107" x14ac:dyDescent="0.25">
      <c r="CV524" s="144"/>
    </row>
    <row r="525" spans="100:107" x14ac:dyDescent="0.25">
      <c r="CV525" s="144"/>
    </row>
    <row r="526" spans="100:107" x14ac:dyDescent="0.25">
      <c r="CV526" s="144"/>
    </row>
    <row r="527" spans="100:107" x14ac:dyDescent="0.25">
      <c r="CV527" s="144"/>
    </row>
  </sheetData>
  <mergeCells count="1">
    <mergeCell ref="BM16:BO2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4C11-731E-4893-860F-6A8F65533CE1}">
  <sheetPr codeName="Sheet8"/>
  <dimension ref="A1:N43"/>
  <sheetViews>
    <sheetView topLeftCell="A26" workbookViewId="0">
      <selection activeCell="E39" sqref="E39:F43"/>
    </sheetView>
  </sheetViews>
  <sheetFormatPr defaultRowHeight="15" x14ac:dyDescent="0.25"/>
  <cols>
    <col min="1" max="1" width="12.5703125" style="20" customWidth="1"/>
    <col min="2" max="2" width="9.140625" style="20"/>
    <col min="3" max="3" width="10.7109375" style="20" bestFit="1" customWidth="1"/>
    <col min="4" max="4" width="9.140625" style="20"/>
    <col min="5" max="5" width="68" style="260" customWidth="1"/>
    <col min="6" max="8" width="9.140625" style="20"/>
    <col min="9" max="9" width="47.5703125" style="20" bestFit="1" customWidth="1"/>
    <col min="10" max="10" width="11.42578125" style="20" bestFit="1" customWidth="1"/>
    <col min="11" max="14" width="9.140625" style="20"/>
  </cols>
  <sheetData>
    <row r="1" spans="1:13" ht="15.75" thickBot="1" x14ac:dyDescent="0.3">
      <c r="I1" s="20" t="s">
        <v>1925</v>
      </c>
      <c r="L1" s="20" t="s">
        <v>1926</v>
      </c>
    </row>
    <row r="2" spans="1:13" x14ac:dyDescent="0.25">
      <c r="A2" s="261" t="s">
        <v>1854</v>
      </c>
      <c r="B2" s="20" t="s">
        <v>1846</v>
      </c>
      <c r="C2" s="20" t="s">
        <v>1847</v>
      </c>
      <c r="D2" s="20" t="s">
        <v>1848</v>
      </c>
      <c r="E2" s="260" t="s">
        <v>1849</v>
      </c>
      <c r="H2" s="20" t="s">
        <v>718</v>
      </c>
      <c r="I2" s="20" t="s">
        <v>1849</v>
      </c>
      <c r="J2" s="20" t="s">
        <v>1935</v>
      </c>
      <c r="K2" s="20" t="s">
        <v>1848</v>
      </c>
      <c r="L2" s="20" t="s">
        <v>1927</v>
      </c>
      <c r="M2" s="20" t="s">
        <v>1928</v>
      </c>
    </row>
    <row r="3" spans="1:13" x14ac:dyDescent="0.25">
      <c r="A3" s="262">
        <f>MAX(B3:B200)</f>
        <v>21</v>
      </c>
      <c r="B3" s="263">
        <v>0</v>
      </c>
      <c r="C3" s="257">
        <v>44950</v>
      </c>
      <c r="D3" s="20" t="s">
        <v>1850</v>
      </c>
      <c r="E3" s="260" t="s">
        <v>1853</v>
      </c>
      <c r="H3" s="20">
        <v>1</v>
      </c>
      <c r="I3" s="20" t="s">
        <v>1929</v>
      </c>
      <c r="J3" s="258">
        <v>45310</v>
      </c>
      <c r="K3" s="259" t="s">
        <v>1850</v>
      </c>
      <c r="L3" s="259" t="s">
        <v>11</v>
      </c>
      <c r="M3" s="276"/>
    </row>
    <row r="4" spans="1:13" ht="15.75" thickBot="1" x14ac:dyDescent="0.3">
      <c r="A4" s="264">
        <f>MAX(C3:C200)</f>
        <v>46181</v>
      </c>
      <c r="B4" s="20">
        <v>1</v>
      </c>
      <c r="C4" s="257">
        <v>45034</v>
      </c>
      <c r="D4" s="20" t="s">
        <v>1855</v>
      </c>
      <c r="E4" s="260" t="s">
        <v>1856</v>
      </c>
      <c r="H4" s="20">
        <v>2</v>
      </c>
      <c r="I4" s="20" t="s">
        <v>1930</v>
      </c>
      <c r="J4" s="258">
        <v>45310</v>
      </c>
      <c r="K4" s="259" t="s">
        <v>1850</v>
      </c>
      <c r="L4" s="259" t="s">
        <v>11</v>
      </c>
      <c r="M4" s="276"/>
    </row>
    <row r="5" spans="1:13" ht="30" x14ac:dyDescent="0.25">
      <c r="B5" s="20">
        <v>2</v>
      </c>
      <c r="C5" s="257">
        <v>45057</v>
      </c>
      <c r="D5" s="20" t="s">
        <v>1850</v>
      </c>
      <c r="E5" s="260" t="s">
        <v>1857</v>
      </c>
      <c r="H5" s="20">
        <v>3</v>
      </c>
      <c r="I5" s="20" t="s">
        <v>1931</v>
      </c>
      <c r="J5" s="258">
        <v>45310</v>
      </c>
      <c r="K5" s="259"/>
      <c r="L5" s="259"/>
      <c r="M5" s="276"/>
    </row>
    <row r="6" spans="1:13" x14ac:dyDescent="0.25">
      <c r="B6" s="20">
        <v>3</v>
      </c>
      <c r="C6" s="257">
        <v>45085</v>
      </c>
      <c r="D6" s="20" t="s">
        <v>1855</v>
      </c>
      <c r="E6" s="260" t="s">
        <v>1858</v>
      </c>
      <c r="H6" s="20">
        <v>4</v>
      </c>
      <c r="I6" s="20" t="s">
        <v>1932</v>
      </c>
      <c r="J6" s="258">
        <v>45310</v>
      </c>
      <c r="K6" s="259" t="s">
        <v>1850</v>
      </c>
      <c r="L6" s="259" t="s">
        <v>0</v>
      </c>
      <c r="M6" s="276" t="s">
        <v>1954</v>
      </c>
    </row>
    <row r="7" spans="1:13" ht="30" x14ac:dyDescent="0.25">
      <c r="B7" s="20">
        <v>4</v>
      </c>
      <c r="C7" s="257">
        <v>45091</v>
      </c>
      <c r="D7" s="20" t="s">
        <v>1855</v>
      </c>
      <c r="E7" s="260" t="s">
        <v>1859</v>
      </c>
      <c r="H7" s="20">
        <v>5</v>
      </c>
      <c r="I7" s="20" t="s">
        <v>1933</v>
      </c>
      <c r="J7" s="258">
        <v>45310</v>
      </c>
      <c r="K7" s="259" t="s">
        <v>1850</v>
      </c>
      <c r="L7" s="259" t="s">
        <v>0</v>
      </c>
      <c r="M7" s="276" t="s">
        <v>1954</v>
      </c>
    </row>
    <row r="8" spans="1:13" x14ac:dyDescent="0.25">
      <c r="B8" s="20">
        <v>5</v>
      </c>
      <c r="C8" s="257">
        <v>45141</v>
      </c>
      <c r="D8" s="20" t="s">
        <v>1855</v>
      </c>
      <c r="E8" s="260" t="s">
        <v>1860</v>
      </c>
      <c r="H8" s="20">
        <v>6</v>
      </c>
      <c r="I8" s="20" t="s">
        <v>1934</v>
      </c>
      <c r="J8" s="258">
        <v>45310</v>
      </c>
      <c r="K8" s="259" t="s">
        <v>1850</v>
      </c>
      <c r="L8" s="259" t="s">
        <v>0</v>
      </c>
      <c r="M8" s="276" t="s">
        <v>1954</v>
      </c>
    </row>
    <row r="9" spans="1:13" ht="30" x14ac:dyDescent="0.25">
      <c r="B9" s="20">
        <v>6</v>
      </c>
      <c r="C9" s="257">
        <v>45162</v>
      </c>
      <c r="D9" s="20" t="s">
        <v>1855</v>
      </c>
      <c r="E9" s="260" t="s">
        <v>1876</v>
      </c>
      <c r="J9" s="259"/>
      <c r="K9" s="259"/>
      <c r="L9" s="259"/>
      <c r="M9" s="259"/>
    </row>
    <row r="10" spans="1:13" ht="30" x14ac:dyDescent="0.25">
      <c r="B10" s="20">
        <v>7</v>
      </c>
      <c r="C10" s="257">
        <v>45176</v>
      </c>
      <c r="D10" s="20" t="s">
        <v>1855</v>
      </c>
      <c r="E10" s="260" t="s">
        <v>1877</v>
      </c>
      <c r="J10" s="259"/>
      <c r="K10" s="259"/>
      <c r="L10" s="259"/>
      <c r="M10" s="259"/>
    </row>
    <row r="11" spans="1:13" ht="30" x14ac:dyDescent="0.25">
      <c r="B11" s="20">
        <v>8</v>
      </c>
      <c r="C11" s="257">
        <v>45260</v>
      </c>
      <c r="D11" s="20" t="s">
        <v>1850</v>
      </c>
      <c r="E11" s="260" t="s">
        <v>1880</v>
      </c>
      <c r="J11" s="259"/>
      <c r="K11" s="259"/>
      <c r="L11" s="259"/>
      <c r="M11" s="259"/>
    </row>
    <row r="12" spans="1:13" ht="45" x14ac:dyDescent="0.25">
      <c r="C12" s="257">
        <v>45260</v>
      </c>
      <c r="D12" s="20" t="s">
        <v>1850</v>
      </c>
      <c r="E12" s="260" t="s">
        <v>1881</v>
      </c>
      <c r="J12" s="259"/>
      <c r="K12" s="259"/>
      <c r="L12" s="259"/>
      <c r="M12" s="259"/>
    </row>
    <row r="13" spans="1:13" ht="30" x14ac:dyDescent="0.25">
      <c r="C13" s="257">
        <v>45260</v>
      </c>
      <c r="D13" s="20" t="s">
        <v>1850</v>
      </c>
      <c r="E13" s="260" t="s">
        <v>1884</v>
      </c>
      <c r="J13" s="259"/>
      <c r="K13" s="259"/>
      <c r="L13" s="259"/>
      <c r="M13" s="259"/>
    </row>
    <row r="14" spans="1:13" ht="60" x14ac:dyDescent="0.25">
      <c r="C14" s="257">
        <v>45260</v>
      </c>
      <c r="D14" s="20" t="s">
        <v>1850</v>
      </c>
      <c r="E14" s="260" t="s">
        <v>1885</v>
      </c>
      <c r="J14" s="259"/>
      <c r="K14" s="259"/>
      <c r="L14" s="259"/>
      <c r="M14" s="259"/>
    </row>
    <row r="15" spans="1:13" ht="30" x14ac:dyDescent="0.25">
      <c r="C15" s="257">
        <v>45260</v>
      </c>
      <c r="D15" s="20" t="s">
        <v>1850</v>
      </c>
      <c r="E15" s="260" t="s">
        <v>1888</v>
      </c>
      <c r="J15" s="259"/>
      <c r="K15" s="259"/>
      <c r="L15" s="259"/>
      <c r="M15" s="259"/>
    </row>
    <row r="16" spans="1:13" ht="30" x14ac:dyDescent="0.25">
      <c r="C16" s="257">
        <v>45260</v>
      </c>
      <c r="D16" s="20" t="s">
        <v>1850</v>
      </c>
      <c r="E16" s="260" t="s">
        <v>1889</v>
      </c>
      <c r="J16" s="259"/>
      <c r="K16" s="259"/>
      <c r="L16" s="259"/>
      <c r="M16" s="259"/>
    </row>
    <row r="17" spans="2:13" x14ac:dyDescent="0.25">
      <c r="C17" s="257">
        <v>45260</v>
      </c>
      <c r="D17" s="20" t="s">
        <v>1850</v>
      </c>
      <c r="E17" s="260" t="s">
        <v>1887</v>
      </c>
      <c r="J17" s="259"/>
      <c r="K17" s="259"/>
      <c r="L17" s="259"/>
      <c r="M17" s="259"/>
    </row>
    <row r="18" spans="2:13" x14ac:dyDescent="0.25">
      <c r="C18" s="257">
        <v>45260</v>
      </c>
      <c r="D18" s="20" t="s">
        <v>1850</v>
      </c>
      <c r="E18" s="260" t="s">
        <v>1894</v>
      </c>
      <c r="J18" s="259"/>
      <c r="K18" s="259"/>
      <c r="L18" s="259"/>
      <c r="M18" s="259"/>
    </row>
    <row r="19" spans="2:13" x14ac:dyDescent="0.25">
      <c r="B19" s="20">
        <v>9</v>
      </c>
      <c r="C19" s="257">
        <v>45261</v>
      </c>
      <c r="D19" s="20" t="s">
        <v>1850</v>
      </c>
      <c r="E19" s="260" t="s">
        <v>1900</v>
      </c>
      <c r="J19" s="259"/>
      <c r="K19" s="259"/>
      <c r="L19" s="259"/>
      <c r="M19" s="259"/>
    </row>
    <row r="20" spans="2:13" x14ac:dyDescent="0.25">
      <c r="C20" s="257">
        <v>45261</v>
      </c>
      <c r="D20" s="20" t="s">
        <v>1850</v>
      </c>
      <c r="E20" s="260" t="s">
        <v>1901</v>
      </c>
      <c r="J20" s="259"/>
      <c r="K20" s="259"/>
      <c r="L20" s="259"/>
      <c r="M20" s="259"/>
    </row>
    <row r="21" spans="2:13" ht="30" x14ac:dyDescent="0.25">
      <c r="C21" s="257">
        <v>45261</v>
      </c>
      <c r="D21" s="20" t="s">
        <v>1850</v>
      </c>
      <c r="E21" s="260" t="s">
        <v>1902</v>
      </c>
      <c r="J21" s="259"/>
      <c r="K21" s="259"/>
      <c r="L21" s="259"/>
      <c r="M21" s="259"/>
    </row>
    <row r="22" spans="2:13" x14ac:dyDescent="0.25">
      <c r="C22" s="257">
        <v>45261</v>
      </c>
      <c r="D22" s="20" t="s">
        <v>1850</v>
      </c>
      <c r="E22" s="260" t="s">
        <v>1903</v>
      </c>
      <c r="J22" s="259"/>
      <c r="K22" s="259"/>
      <c r="L22" s="259"/>
      <c r="M22" s="259"/>
    </row>
    <row r="23" spans="2:13" ht="30" x14ac:dyDescent="0.25">
      <c r="C23" s="257">
        <v>45261</v>
      </c>
      <c r="D23" s="20" t="s">
        <v>1850</v>
      </c>
      <c r="E23" s="260" t="s">
        <v>1911</v>
      </c>
      <c r="J23" s="259"/>
      <c r="K23" s="259"/>
      <c r="L23" s="259"/>
      <c r="M23" s="259"/>
    </row>
    <row r="24" spans="2:13" x14ac:dyDescent="0.25">
      <c r="B24" s="20">
        <v>10</v>
      </c>
      <c r="C24" s="257">
        <v>45296</v>
      </c>
      <c r="D24" s="20" t="s">
        <v>1850</v>
      </c>
      <c r="E24" s="260" t="s">
        <v>1912</v>
      </c>
      <c r="J24" s="259"/>
      <c r="K24" s="259"/>
      <c r="L24" s="259"/>
      <c r="M24" s="259"/>
    </row>
    <row r="25" spans="2:13" x14ac:dyDescent="0.25">
      <c r="B25" s="20">
        <v>11</v>
      </c>
      <c r="C25" s="257">
        <v>45302</v>
      </c>
      <c r="D25" s="20" t="s">
        <v>1850</v>
      </c>
      <c r="E25" s="260" t="s">
        <v>1914</v>
      </c>
      <c r="J25" s="259"/>
      <c r="K25" s="259"/>
      <c r="L25" s="259"/>
      <c r="M25" s="259"/>
    </row>
    <row r="26" spans="2:13" ht="30" x14ac:dyDescent="0.25">
      <c r="B26" s="20">
        <v>12</v>
      </c>
      <c r="C26" s="257">
        <v>45327</v>
      </c>
      <c r="D26" s="20" t="s">
        <v>1850</v>
      </c>
      <c r="E26" s="260" t="s">
        <v>1916</v>
      </c>
      <c r="J26" s="259"/>
      <c r="K26" s="259"/>
      <c r="L26" s="259"/>
      <c r="M26" s="259"/>
    </row>
    <row r="27" spans="2:13" x14ac:dyDescent="0.25">
      <c r="B27" s="20">
        <v>13</v>
      </c>
      <c r="C27" s="257">
        <v>45330</v>
      </c>
      <c r="D27" s="20" t="s">
        <v>1850</v>
      </c>
      <c r="E27" s="260" t="s">
        <v>1917</v>
      </c>
      <c r="J27" s="259"/>
      <c r="K27" s="259"/>
      <c r="L27" s="259"/>
      <c r="M27" s="259"/>
    </row>
    <row r="28" spans="2:13" ht="30" x14ac:dyDescent="0.25">
      <c r="B28" s="20">
        <v>14</v>
      </c>
      <c r="C28" s="257">
        <v>45349</v>
      </c>
      <c r="D28" s="20" t="s">
        <v>1850</v>
      </c>
      <c r="E28" s="260" t="s">
        <v>1918</v>
      </c>
      <c r="J28" s="259"/>
      <c r="K28" s="259"/>
      <c r="L28" s="259"/>
      <c r="M28" s="259"/>
    </row>
    <row r="29" spans="2:13" x14ac:dyDescent="0.25">
      <c r="B29" s="20">
        <v>15</v>
      </c>
      <c r="C29" s="257">
        <v>45351</v>
      </c>
      <c r="D29" s="20" t="s">
        <v>1855</v>
      </c>
      <c r="E29" s="260" t="s">
        <v>1920</v>
      </c>
      <c r="J29" s="259"/>
      <c r="K29" s="259"/>
      <c r="L29" s="259"/>
      <c r="M29" s="259"/>
    </row>
    <row r="30" spans="2:13" x14ac:dyDescent="0.25">
      <c r="B30" s="20">
        <v>16</v>
      </c>
      <c r="C30" s="257">
        <v>45470</v>
      </c>
      <c r="D30" s="20" t="s">
        <v>1855</v>
      </c>
      <c r="E30" s="260" t="s">
        <v>1921</v>
      </c>
      <c r="J30" s="259"/>
      <c r="K30" s="259"/>
      <c r="L30" s="259"/>
      <c r="M30" s="259"/>
    </row>
    <row r="31" spans="2:13" ht="30" x14ac:dyDescent="0.25">
      <c r="B31" s="20">
        <v>17</v>
      </c>
      <c r="C31" s="257">
        <v>45482</v>
      </c>
      <c r="D31" s="20" t="s">
        <v>1850</v>
      </c>
      <c r="E31" s="260" t="s">
        <v>1936</v>
      </c>
    </row>
    <row r="32" spans="2:13" ht="30" x14ac:dyDescent="0.25">
      <c r="C32" s="257">
        <v>45482</v>
      </c>
      <c r="D32" s="20" t="s">
        <v>1850</v>
      </c>
      <c r="E32" s="260" t="s">
        <v>1937</v>
      </c>
    </row>
    <row r="33" spans="2:5" x14ac:dyDescent="0.25">
      <c r="C33" s="257">
        <v>45482</v>
      </c>
      <c r="D33" s="20" t="s">
        <v>1850</v>
      </c>
      <c r="E33" s="260" t="s">
        <v>1952</v>
      </c>
    </row>
    <row r="34" spans="2:5" ht="30" x14ac:dyDescent="0.25">
      <c r="C34" s="257">
        <v>45482</v>
      </c>
      <c r="D34" s="20" t="s">
        <v>1850</v>
      </c>
      <c r="E34" s="260" t="s">
        <v>1953</v>
      </c>
    </row>
    <row r="35" spans="2:5" ht="30" x14ac:dyDescent="0.25">
      <c r="C35" s="257">
        <v>45482</v>
      </c>
      <c r="D35" s="20" t="s">
        <v>1850</v>
      </c>
      <c r="E35" s="260" t="s">
        <v>1978</v>
      </c>
    </row>
    <row r="36" spans="2:5" x14ac:dyDescent="0.25">
      <c r="B36" s="20">
        <v>18</v>
      </c>
      <c r="C36" s="257">
        <v>45575</v>
      </c>
      <c r="D36" s="20" t="s">
        <v>1855</v>
      </c>
      <c r="E36" s="260" t="s">
        <v>1979</v>
      </c>
    </row>
    <row r="37" spans="2:5" x14ac:dyDescent="0.25">
      <c r="B37" s="20">
        <v>19</v>
      </c>
      <c r="C37" s="257">
        <v>45716</v>
      </c>
      <c r="D37" s="20" t="s">
        <v>1850</v>
      </c>
      <c r="E37" s="260" t="s">
        <v>1987</v>
      </c>
    </row>
    <row r="38" spans="2:5" x14ac:dyDescent="0.25">
      <c r="B38" s="20">
        <v>20</v>
      </c>
      <c r="C38" s="257">
        <v>45888</v>
      </c>
      <c r="D38" s="20" t="s">
        <v>1850</v>
      </c>
      <c r="E38" s="260" t="s">
        <v>1988</v>
      </c>
    </row>
    <row r="39" spans="2:5" x14ac:dyDescent="0.25">
      <c r="B39" s="20">
        <v>21</v>
      </c>
      <c r="C39" s="257">
        <v>46181</v>
      </c>
      <c r="D39" s="20" t="s">
        <v>1991</v>
      </c>
      <c r="E39" s="260" t="s">
        <v>1992</v>
      </c>
    </row>
    <row r="40" spans="2:5" x14ac:dyDescent="0.25">
      <c r="C40" s="257">
        <v>46181</v>
      </c>
      <c r="D40" s="20" t="s">
        <v>1991</v>
      </c>
      <c r="E40" s="260" t="s">
        <v>1993</v>
      </c>
    </row>
    <row r="41" spans="2:5" x14ac:dyDescent="0.25">
      <c r="C41" s="257">
        <v>46181</v>
      </c>
      <c r="D41" s="20" t="s">
        <v>1991</v>
      </c>
      <c r="E41" s="260" t="s">
        <v>1994</v>
      </c>
    </row>
    <row r="42" spans="2:5" x14ac:dyDescent="0.25">
      <c r="C42" s="257">
        <v>46181</v>
      </c>
      <c r="D42" s="20" t="s">
        <v>1991</v>
      </c>
      <c r="E42" s="260" t="s">
        <v>2021</v>
      </c>
    </row>
    <row r="43" spans="2:5" x14ac:dyDescent="0.25">
      <c r="C43" s="257">
        <v>46181</v>
      </c>
      <c r="D43" s="20" t="s">
        <v>1991</v>
      </c>
      <c r="E43" s="260" t="s">
        <v>2025</v>
      </c>
    </row>
  </sheetData>
  <dataValidations disablePrompts="1" count="1">
    <dataValidation allowBlank="1" showInputMessage="1" showErrorMessage="1" sqref="E13" xr:uid="{899F151D-FF74-4A21-847D-4E9C8DEBAA32}"/>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Instructions</vt:lpstr>
      <vt:lpstr>Design</vt:lpstr>
      <vt:lpstr>Data Sheet</vt:lpstr>
      <vt:lpstr>Report</vt:lpstr>
      <vt:lpstr>Screw Thrust Calculator</vt:lpstr>
      <vt:lpstr>Seismic</vt:lpstr>
      <vt:lpstr>List</vt:lpstr>
      <vt:lpstr>Reference</vt:lpstr>
      <vt:lpstr>Revision</vt:lpstr>
      <vt:lpstr>'Data Sheet'!Print_Area</vt:lpstr>
      <vt:lpstr>Design!Print_Area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Banawan</dc:creator>
  <cp:lastModifiedBy>Anthony Sherrill</cp:lastModifiedBy>
  <cp:lastPrinted>2023-11-30T18:57:08Z</cp:lastPrinted>
  <dcterms:created xsi:type="dcterms:W3CDTF">2022-02-11T18:35:40Z</dcterms:created>
  <dcterms:modified xsi:type="dcterms:W3CDTF">2026-06-16T17:22:40Z</dcterms:modified>
</cp:coreProperties>
</file>