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autoCompressPictures="0"/>
  <bookViews>
    <workbookView xWindow="-3800" yWindow="-15360" windowWidth="25600" windowHeight="13640"/>
  </bookViews>
  <sheets>
    <sheet name="IOP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81" i="1"/>
  <c r="P82" i="1"/>
  <c r="P83" i="1"/>
  <c r="P86" i="1"/>
  <c r="O4" i="1"/>
  <c r="O5" i="1"/>
  <c r="O81" i="1"/>
  <c r="O82" i="1"/>
  <c r="O83" i="1"/>
  <c r="O86" i="1"/>
  <c r="N4" i="1"/>
  <c r="N5" i="1"/>
  <c r="N81" i="1"/>
  <c r="N82" i="1"/>
  <c r="N83" i="1"/>
  <c r="N86" i="1"/>
  <c r="M4" i="1"/>
  <c r="M5" i="1"/>
  <c r="M81" i="1"/>
  <c r="M82" i="1"/>
  <c r="M83" i="1"/>
  <c r="M86" i="1"/>
  <c r="L4" i="1"/>
  <c r="L5" i="1"/>
  <c r="L81" i="1"/>
  <c r="L82" i="1"/>
  <c r="L83" i="1"/>
  <c r="L86" i="1"/>
  <c r="K3" i="1"/>
  <c r="K4" i="1"/>
  <c r="K5" i="1"/>
  <c r="K81" i="1"/>
  <c r="K82" i="1"/>
  <c r="K83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73" i="1"/>
  <c r="P74" i="1"/>
  <c r="P75" i="1"/>
  <c r="P78" i="1"/>
  <c r="O73" i="1"/>
  <c r="O74" i="1"/>
  <c r="O75" i="1"/>
  <c r="O78" i="1"/>
  <c r="N73" i="1"/>
  <c r="N74" i="1"/>
  <c r="N75" i="1"/>
  <c r="N78" i="1"/>
  <c r="M73" i="1"/>
  <c r="M74" i="1"/>
  <c r="M75" i="1"/>
  <c r="M78" i="1"/>
  <c r="L73" i="1"/>
  <c r="L74" i="1"/>
  <c r="L75" i="1"/>
  <c r="L78" i="1"/>
  <c r="K73" i="1"/>
  <c r="K74" i="1"/>
  <c r="K75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65" i="1"/>
  <c r="P66" i="1"/>
  <c r="P67" i="1"/>
  <c r="P70" i="1"/>
  <c r="O65" i="1"/>
  <c r="O66" i="1"/>
  <c r="O67" i="1"/>
  <c r="O70" i="1"/>
  <c r="N65" i="1"/>
  <c r="N66" i="1"/>
  <c r="N67" i="1"/>
  <c r="N70" i="1"/>
  <c r="M65" i="1"/>
  <c r="M66" i="1"/>
  <c r="M67" i="1"/>
  <c r="M70" i="1"/>
  <c r="L65" i="1"/>
  <c r="L66" i="1"/>
  <c r="L67" i="1"/>
  <c r="L70" i="1"/>
  <c r="K65" i="1"/>
  <c r="K66" i="1"/>
  <c r="K67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57" i="1"/>
  <c r="P58" i="1"/>
  <c r="P59" i="1"/>
  <c r="P62" i="1"/>
  <c r="O57" i="1"/>
  <c r="O58" i="1"/>
  <c r="O59" i="1"/>
  <c r="O62" i="1"/>
  <c r="N57" i="1"/>
  <c r="N58" i="1"/>
  <c r="N59" i="1"/>
  <c r="N62" i="1"/>
  <c r="M57" i="1"/>
  <c r="M58" i="1"/>
  <c r="M59" i="1"/>
  <c r="M62" i="1"/>
  <c r="L57" i="1"/>
  <c r="L58" i="1"/>
  <c r="L59" i="1"/>
  <c r="L62" i="1"/>
  <c r="K57" i="1"/>
  <c r="K58" i="1"/>
  <c r="K59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49" i="1"/>
  <c r="P50" i="1"/>
  <c r="P51" i="1"/>
  <c r="P54" i="1"/>
  <c r="O49" i="1"/>
  <c r="O50" i="1"/>
  <c r="O51" i="1"/>
  <c r="O54" i="1"/>
  <c r="N49" i="1"/>
  <c r="N50" i="1"/>
  <c r="N51" i="1"/>
  <c r="N54" i="1"/>
  <c r="M49" i="1"/>
  <c r="M50" i="1"/>
  <c r="M51" i="1"/>
  <c r="M54" i="1"/>
  <c r="L49" i="1"/>
  <c r="L50" i="1"/>
  <c r="L51" i="1"/>
  <c r="L54" i="1"/>
  <c r="K49" i="1"/>
  <c r="K50" i="1"/>
  <c r="K51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3" i="1"/>
  <c r="P41" i="1"/>
  <c r="P42" i="1"/>
  <c r="P43" i="1"/>
  <c r="P46" i="1"/>
  <c r="O3" i="1"/>
  <c r="O41" i="1"/>
  <c r="O42" i="1"/>
  <c r="O43" i="1"/>
  <c r="O46" i="1"/>
  <c r="N3" i="1"/>
  <c r="N41" i="1"/>
  <c r="N42" i="1"/>
  <c r="N43" i="1"/>
  <c r="N46" i="1"/>
  <c r="M3" i="1"/>
  <c r="M41" i="1"/>
  <c r="M42" i="1"/>
  <c r="M43" i="1"/>
  <c r="M46" i="1"/>
  <c r="L3" i="1"/>
  <c r="L41" i="1"/>
  <c r="L42" i="1"/>
  <c r="L43" i="1"/>
  <c r="L46" i="1"/>
  <c r="K41" i="1"/>
  <c r="K42" i="1"/>
  <c r="K43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33" i="1"/>
  <c r="P34" i="1"/>
  <c r="P35" i="1"/>
  <c r="P38" i="1"/>
  <c r="O33" i="1"/>
  <c r="O34" i="1"/>
  <c r="O35" i="1"/>
  <c r="O38" i="1"/>
  <c r="N33" i="1"/>
  <c r="N34" i="1"/>
  <c r="N35" i="1"/>
  <c r="N38" i="1"/>
  <c r="M33" i="1"/>
  <c r="M34" i="1"/>
  <c r="M35" i="1"/>
  <c r="M38" i="1"/>
  <c r="L33" i="1"/>
  <c r="L34" i="1"/>
  <c r="L35" i="1"/>
  <c r="L38" i="1"/>
  <c r="K33" i="1"/>
  <c r="K34" i="1"/>
  <c r="K35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25" i="1"/>
  <c r="P26" i="1"/>
  <c r="P27" i="1"/>
  <c r="P30" i="1"/>
  <c r="O25" i="1"/>
  <c r="O26" i="1"/>
  <c r="O27" i="1"/>
  <c r="O30" i="1"/>
  <c r="N25" i="1"/>
  <c r="N26" i="1"/>
  <c r="N27" i="1"/>
  <c r="N30" i="1"/>
  <c r="M25" i="1"/>
  <c r="M26" i="1"/>
  <c r="M27" i="1"/>
  <c r="M30" i="1"/>
  <c r="L25" i="1"/>
  <c r="L26" i="1"/>
  <c r="L27" i="1"/>
  <c r="L30" i="1"/>
  <c r="K25" i="1"/>
  <c r="K26" i="1"/>
  <c r="K27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17" i="1"/>
  <c r="P18" i="1"/>
  <c r="P19" i="1"/>
  <c r="P22" i="1"/>
  <c r="O17" i="1"/>
  <c r="O18" i="1"/>
  <c r="O19" i="1"/>
  <c r="O22" i="1"/>
  <c r="N17" i="1"/>
  <c r="N18" i="1"/>
  <c r="N19" i="1"/>
  <c r="N22" i="1"/>
  <c r="M17" i="1"/>
  <c r="M18" i="1"/>
  <c r="M19" i="1"/>
  <c r="M22" i="1"/>
  <c r="L17" i="1"/>
  <c r="L18" i="1"/>
  <c r="L19" i="1"/>
  <c r="L22" i="1"/>
  <c r="K17" i="1"/>
  <c r="K18" i="1"/>
  <c r="K19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9" i="1"/>
  <c r="P10" i="1"/>
  <c r="P11" i="1"/>
  <c r="P12" i="1"/>
  <c r="O9" i="1"/>
  <c r="O10" i="1"/>
  <c r="O11" i="1"/>
  <c r="O12" i="1"/>
  <c r="N9" i="1"/>
  <c r="N10" i="1"/>
  <c r="N11" i="1"/>
  <c r="N12" i="1"/>
  <c r="M9" i="1"/>
  <c r="M10" i="1"/>
  <c r="M11" i="1"/>
  <c r="M12" i="1"/>
  <c r="L9" i="1"/>
  <c r="L10" i="1"/>
  <c r="L11" i="1"/>
  <c r="L12" i="1"/>
  <c r="K9" i="1"/>
  <c r="K10" i="1"/>
  <c r="K11" i="1"/>
  <c r="K12" i="1"/>
  <c r="P14" i="1"/>
  <c r="O14" i="1"/>
  <c r="N14" i="1"/>
  <c r="M14" i="1"/>
  <c r="L14" i="1"/>
  <c r="K14" i="1"/>
  <c r="P13" i="1"/>
  <c r="O13" i="1"/>
  <c r="N13" i="1"/>
  <c r="M13" i="1"/>
  <c r="L13" i="1"/>
  <c r="K13" i="1"/>
</calcChain>
</file>

<file path=xl/sharedStrings.xml><?xml version="1.0" encoding="utf-8"?>
<sst xmlns="http://schemas.openxmlformats.org/spreadsheetml/2006/main" count="182" uniqueCount="42">
  <si>
    <t>RAID 0</t>
  </si>
  <si>
    <t>RAID 10</t>
  </si>
  <si>
    <t>RAID 5</t>
  </si>
  <si>
    <t>RAID 51</t>
  </si>
  <si>
    <t>RAID 6</t>
  </si>
  <si>
    <t>RAID 61</t>
  </si>
  <si>
    <t>IOPS requerides</t>
  </si>
  <si>
    <t>Dades bàsiques</t>
  </si>
  <si>
    <t>% escriptures (0-1)</t>
  </si>
  <si>
    <t>IOPS necessaris</t>
  </si>
  <si>
    <t>Mida dades (GB)</t>
  </si>
  <si>
    <t>IOPS read</t>
  </si>
  <si>
    <t>IOPS write</t>
  </si>
  <si>
    <t>Discs mínims</t>
  </si>
  <si>
    <t>Opció 1: HDD HGST Ultrastar C15K600</t>
  </si>
  <si>
    <t>SSD/HDD</t>
  </si>
  <si>
    <t>RPM</t>
  </si>
  <si>
    <t>Capacitat (Gb)</t>
  </si>
  <si>
    <t>Read IOPS</t>
  </si>
  <si>
    <t>Write IOPS</t>
  </si>
  <si>
    <t>R/W IOPS</t>
  </si>
  <si>
    <t>Preu (euros)</t>
  </si>
  <si>
    <t>Consum (watts)</t>
  </si>
  <si>
    <t># discs per  IOPS</t>
  </si>
  <si>
    <t>HDD</t>
  </si>
  <si>
    <t>15K</t>
  </si>
  <si>
    <t># discs per capacitat</t>
  </si>
  <si>
    <t># discs</t>
  </si>
  <si>
    <t>Capacitat nativa (GB)</t>
  </si>
  <si>
    <t>Cost (Euros)</t>
  </si>
  <si>
    <t>Opció 2: HDD Seagate Enterprise Performance 10K.8</t>
  </si>
  <si>
    <t>10K</t>
  </si>
  <si>
    <r>
      <rPr>
        <sz val="11"/>
        <color indexed="8"/>
        <rFont val="Helvetica"/>
      </rPr>
      <t xml:space="preserve">Opció 3: Seagate 8TB Archive HDD </t>
    </r>
  </si>
  <si>
    <r>
      <rPr>
        <sz val="11"/>
        <color indexed="8"/>
        <rFont val="Helvetica"/>
      </rPr>
      <t>Opció 4: HGST Ultrastar C10K1800 (4Kn) ISE</t>
    </r>
  </si>
  <si>
    <r>
      <rPr>
        <sz val="11"/>
        <color indexed="8"/>
        <rFont val="Helvetica"/>
      </rPr>
      <t>Opció 5: HGST Ultrastar Helium He8 8TB Enterprise</t>
    </r>
  </si>
  <si>
    <r>
      <rPr>
        <sz val="11"/>
        <color indexed="8"/>
        <rFont val="Helvetica"/>
      </rPr>
      <t>Opció 6: Samsung SSD 750 EVO MZ-750120BW 2.5" SATA 6Gb/s 120GB SSD</t>
    </r>
  </si>
  <si>
    <t>SSD</t>
  </si>
  <si>
    <t>-</t>
  </si>
  <si>
    <r>
      <rPr>
        <sz val="11"/>
        <color indexed="8"/>
        <rFont val="Helvetica"/>
      </rPr>
      <t>Opció 7: Intel DC S3510 2.5" 240GB SATA III MLC Enterprise Solid State Drive</t>
    </r>
  </si>
  <si>
    <r>
      <rPr>
        <sz val="11"/>
        <color indexed="8"/>
        <rFont val="Helvetica"/>
      </rPr>
      <t>Opció 8: OCZ Intrepid 3800 eMLC IT3RSK41ET330-0800 2.5" SATA 6Gb/s 800GB</t>
    </r>
  </si>
  <si>
    <r>
      <rPr>
        <sz val="11"/>
        <color indexed="8"/>
        <rFont val="Helvetica"/>
      </rPr>
      <t>Opció 9: SAMSUNG PM863 MZ-7LM1T9E 2.5" 1.92TB SATA III Enterprise SSD</t>
    </r>
  </si>
  <si>
    <r>
      <rPr>
        <sz val="11"/>
        <color indexed="8"/>
        <rFont val="Helvetica"/>
      </rPr>
      <t>Opció 10: SAMSUNG PM863 MZ-7LM3T8E 2.5" 3.84TB SATA III Enterprise SSD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</si>
</sst>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Helvetica"/>
    </font>
    <font>
      <b/>
      <sz val="10"/>
      <color indexed="8"/>
      <name val="Helvetica"/>
    </font>
    <font>
      <sz val="14"/>
      <color indexed="8"/>
      <name val="Helvetica"/>
    </font>
    <font>
      <sz val="9"/>
      <color indexed="8"/>
      <name val="Helvetica"/>
    </font>
    <font>
      <sz val="11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horizontal="right" vertical="top" wrapText="1"/>
    </xf>
    <xf numFmtId="0" fontId="0" fillId="0" borderId="3" xfId="0" applyFont="1" applyBorder="1" applyAlignment="1">
      <alignment vertical="top" wrapText="1"/>
    </xf>
    <xf numFmtId="49" fontId="0" fillId="2" borderId="3" xfId="0" applyNumberFormat="1" applyFont="1" applyFill="1" applyBorder="1" applyAlignment="1">
      <alignment horizontal="left" vertical="top" wrapText="1"/>
    </xf>
    <xf numFmtId="0" fontId="0" fillId="6" borderId="3" xfId="0" applyNumberFormat="1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0" fillId="0" borderId="3" xfId="0" applyFont="1" applyBorder="1" applyAlignment="1">
      <alignment horizontal="left" vertical="top" wrapText="1"/>
    </xf>
    <xf numFmtId="49" fontId="0" fillId="3" borderId="3" xfId="0" applyNumberFormat="1" applyFont="1" applyFill="1" applyBorder="1" applyAlignment="1">
      <alignment vertical="top" wrapText="1"/>
    </xf>
    <xf numFmtId="0" fontId="3" fillId="6" borderId="3" xfId="0" applyNumberFormat="1" applyFont="1" applyFill="1" applyBorder="1" applyAlignment="1">
      <alignment vertical="top" wrapText="1"/>
    </xf>
    <xf numFmtId="0" fontId="0" fillId="3" borderId="3" xfId="0" quotePrefix="1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0" fontId="0" fillId="6" borderId="5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0" fillId="5" borderId="2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E159"/>
      <rgbColor rgb="FFA5A5A5"/>
      <rgbColor rgb="FF3F3F3F"/>
      <rgbColor rgb="FFBFBFBF"/>
      <rgbColor rgb="FFBDC0BF"/>
      <rgbColor rgb="FFAA7941"/>
      <rgbColor rgb="FFFFE06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87"/>
  <sheetViews>
    <sheetView showGridLines="0" tabSelected="1" workbookViewId="0">
      <pane ySplit="1" topLeftCell="A59" activePane="bottomLeft" state="frozen"/>
      <selection pane="bottomLeft" activeCell="G67" sqref="G67"/>
    </sheetView>
  </sheetViews>
  <sheetFormatPr baseColWidth="10" defaultColWidth="12" defaultRowHeight="18" customHeight="1" x14ac:dyDescent="0"/>
  <cols>
    <col min="1" max="1" width="17.33203125" style="1" customWidth="1"/>
    <col min="2" max="2" width="11.5" style="1" customWidth="1"/>
    <col min="3" max="3" width="9" style="1" customWidth="1"/>
    <col min="4" max="4" width="7" style="1" customWidth="1"/>
    <col min="5" max="5" width="6.1640625" style="1" customWidth="1"/>
    <col min="6" max="7" width="7.5" style="1" customWidth="1"/>
    <col min="8" max="8" width="7.6640625" style="1" customWidth="1"/>
    <col min="9" max="9" width="2.6640625" style="1" customWidth="1"/>
    <col min="10" max="10" width="14" style="1" customWidth="1"/>
    <col min="11" max="11" width="8.6640625" style="1" customWidth="1"/>
    <col min="12" max="12" width="8" style="1" customWidth="1"/>
    <col min="13" max="13" width="7.5" style="1" customWidth="1"/>
    <col min="14" max="14" width="7.83203125" style="1" customWidth="1"/>
    <col min="15" max="15" width="7.5" style="1" customWidth="1"/>
    <col min="16" max="16" width="7.83203125" style="1" customWidth="1"/>
    <col min="17" max="17" width="7.83203125" style="21" customWidth="1"/>
    <col min="18" max="257" width="12" style="1" customWidth="1"/>
  </cols>
  <sheetData>
    <row r="1" spans="1:17" ht="20.5" customHeight="1">
      <c r="A1" s="2"/>
      <c r="B1" s="3"/>
      <c r="C1" s="4"/>
      <c r="D1" s="4"/>
      <c r="E1" s="4"/>
      <c r="F1" s="4"/>
      <c r="G1" s="4"/>
      <c r="H1" s="4"/>
      <c r="I1" s="4"/>
      <c r="J1" s="4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2" t="s">
        <v>5</v>
      </c>
      <c r="Q1" s="19"/>
    </row>
    <row r="2" spans="1:17" ht="20.5" customHeight="1">
      <c r="A2" s="5" t="s">
        <v>6</v>
      </c>
      <c r="B2" s="6">
        <v>20000</v>
      </c>
      <c r="C2" s="7"/>
      <c r="D2" s="7"/>
      <c r="E2" s="7"/>
      <c r="F2" s="7"/>
      <c r="G2" s="7"/>
      <c r="H2" s="7"/>
      <c r="I2" s="7"/>
      <c r="J2" s="7"/>
      <c r="K2" s="25" t="s">
        <v>7</v>
      </c>
      <c r="L2" s="26"/>
      <c r="M2" s="26"/>
      <c r="N2" s="26"/>
      <c r="O2" s="26"/>
      <c r="P2" s="26"/>
      <c r="Q2" s="20"/>
    </row>
    <row r="3" spans="1:17" ht="20.25" customHeight="1">
      <c r="A3" s="8" t="s">
        <v>8</v>
      </c>
      <c r="B3" s="18">
        <v>0</v>
      </c>
      <c r="C3" s="10"/>
      <c r="D3" s="11"/>
      <c r="E3" s="11"/>
      <c r="F3" s="11"/>
      <c r="G3" s="11"/>
      <c r="H3" s="11"/>
      <c r="I3" s="11"/>
      <c r="J3" s="12" t="s">
        <v>9</v>
      </c>
      <c r="K3" s="13">
        <f>$B$2</f>
        <v>20000</v>
      </c>
      <c r="L3" s="13">
        <f>$B$2*(1-$B$3)+$B$2*$B$3*2</f>
        <v>20000</v>
      </c>
      <c r="M3" s="13">
        <f>$B$2*(1-$B$3)+$B$2*$B$3*4</f>
        <v>20000</v>
      </c>
      <c r="N3" s="13">
        <f>$B$2*(1-$B$3)+$B$2*$B$3*8</f>
        <v>20000</v>
      </c>
      <c r="O3" s="13">
        <f>$B$2*(1-$B$3)+$B$2*$B$3*6</f>
        <v>20000</v>
      </c>
      <c r="P3" s="23">
        <f>$B$2*(1-$B$3)+$B$2*$B$3*12</f>
        <v>20000</v>
      </c>
    </row>
    <row r="4" spans="1:17" ht="20.25" customHeight="1">
      <c r="A4" s="8" t="s">
        <v>10</v>
      </c>
      <c r="B4" s="9">
        <v>40000</v>
      </c>
      <c r="C4" s="11"/>
      <c r="D4" s="11"/>
      <c r="E4" s="11"/>
      <c r="F4" s="11"/>
      <c r="G4" s="11"/>
      <c r="H4" s="11"/>
      <c r="I4" s="11"/>
      <c r="J4" s="12" t="s">
        <v>11</v>
      </c>
      <c r="K4" s="13">
        <f>K3*(1-$B$3)</f>
        <v>20000</v>
      </c>
      <c r="L4" s="13">
        <f>$B$2*(1-$B$3)</f>
        <v>20000</v>
      </c>
      <c r="M4" s="13">
        <f>$B$2*(1-$B$3)+($B$2*$B$3*2)</f>
        <v>20000</v>
      </c>
      <c r="N4" s="13">
        <f>$B$2*(1-$B$3)+($B$2*$B$3*4)</f>
        <v>20000</v>
      </c>
      <c r="O4" s="13">
        <f>$B$2*(1-$B$3)+($B$2*$B$3*3)</f>
        <v>20000</v>
      </c>
      <c r="P4" s="23">
        <f>$B$2*(1-$B$3)+($B$2*$B$3*6)</f>
        <v>20000</v>
      </c>
    </row>
    <row r="5" spans="1:17" ht="25.25" customHeight="1">
      <c r="A5" s="11"/>
      <c r="B5" s="14"/>
      <c r="C5" s="11"/>
      <c r="D5" s="11"/>
      <c r="E5" s="11"/>
      <c r="F5" s="11"/>
      <c r="G5" s="11"/>
      <c r="H5" s="11"/>
      <c r="I5" s="11"/>
      <c r="J5" s="12" t="s">
        <v>12</v>
      </c>
      <c r="K5" s="13">
        <f>K3*$B$3</f>
        <v>0</v>
      </c>
      <c r="L5" s="13">
        <f t="shared" ref="L5:M5" si="0">$B$2*$B$3*2</f>
        <v>0</v>
      </c>
      <c r="M5" s="13">
        <f t="shared" si="0"/>
        <v>0</v>
      </c>
      <c r="N5" s="13">
        <f>$B$2*$B$3*4</f>
        <v>0</v>
      </c>
      <c r="O5" s="13">
        <f>$B$2*$B$3*3</f>
        <v>0</v>
      </c>
      <c r="P5" s="23">
        <f>$B$2*$B$3*6</f>
        <v>0</v>
      </c>
    </row>
    <row r="6" spans="1:17" ht="20.25" customHeight="1">
      <c r="A6" s="11"/>
      <c r="B6" s="11"/>
      <c r="C6" s="11"/>
      <c r="D6" s="11"/>
      <c r="E6" s="11"/>
      <c r="F6" s="11"/>
      <c r="G6" s="11"/>
      <c r="H6" s="11"/>
      <c r="I6" s="11"/>
      <c r="J6" s="12" t="s">
        <v>13</v>
      </c>
      <c r="K6" s="13">
        <v>2</v>
      </c>
      <c r="L6" s="13">
        <v>4</v>
      </c>
      <c r="M6" s="13">
        <v>3</v>
      </c>
      <c r="N6" s="13">
        <v>6</v>
      </c>
      <c r="O6" s="13">
        <v>4</v>
      </c>
      <c r="P6" s="23">
        <v>8</v>
      </c>
    </row>
    <row r="7" spans="1:17" ht="20.25" customHeight="1">
      <c r="A7" s="27"/>
      <c r="B7" s="28"/>
      <c r="C7" s="28"/>
      <c r="D7" s="28"/>
      <c r="E7" s="28"/>
      <c r="F7" s="28"/>
      <c r="G7" s="28"/>
      <c r="H7" s="28"/>
      <c r="I7" s="11"/>
      <c r="J7" s="15"/>
      <c r="K7" s="11"/>
      <c r="L7" s="11"/>
      <c r="M7" s="11"/>
      <c r="N7" s="11"/>
      <c r="O7" s="11"/>
      <c r="P7" s="24"/>
      <c r="Q7" s="20"/>
    </row>
    <row r="8" spans="1:17" ht="20.25" customHeight="1">
      <c r="A8" s="27" t="s">
        <v>14</v>
      </c>
      <c r="B8" s="28"/>
      <c r="C8" s="28"/>
      <c r="D8" s="28"/>
      <c r="E8" s="28"/>
      <c r="F8" s="28"/>
      <c r="G8" s="28"/>
      <c r="H8" s="28"/>
      <c r="I8" s="11"/>
      <c r="J8" s="15"/>
      <c r="K8" s="11"/>
      <c r="L8" s="11"/>
      <c r="M8" s="11"/>
      <c r="N8" s="11"/>
      <c r="O8" s="11"/>
      <c r="P8" s="24"/>
      <c r="Q8" s="20"/>
    </row>
    <row r="9" spans="1:17" ht="32.25" customHeight="1">
      <c r="A9" s="8" t="s">
        <v>15</v>
      </c>
      <c r="B9" s="8" t="s">
        <v>16</v>
      </c>
      <c r="C9" s="8" t="s">
        <v>17</v>
      </c>
      <c r="D9" s="8" t="s">
        <v>18</v>
      </c>
      <c r="E9" s="8" t="s">
        <v>19</v>
      </c>
      <c r="F9" s="8" t="s">
        <v>20</v>
      </c>
      <c r="G9" s="8" t="s">
        <v>21</v>
      </c>
      <c r="H9" s="8" t="s">
        <v>22</v>
      </c>
      <c r="I9" s="11"/>
      <c r="J9" s="12" t="s">
        <v>23</v>
      </c>
      <c r="K9" s="13">
        <f>IF($F10=0,MAX(CEILING(K$4/$D10,1),K$6,CEILING(K$5/$E10,1)),MAX(K$6,CEILING(K$3/$F10,1)))</f>
        <v>98</v>
      </c>
      <c r="L9" s="13">
        <f t="shared" ref="L9:P9" si="1">IF($F10=0,MAX(CEILING(L$4/$D10,1),L$6,CEILING(L$5/$E10,1)),MAX(L$6,CEILING(L$3/$F10,1)))</f>
        <v>98</v>
      </c>
      <c r="M9" s="13">
        <f t="shared" si="1"/>
        <v>98</v>
      </c>
      <c r="N9" s="13">
        <f t="shared" si="1"/>
        <v>98</v>
      </c>
      <c r="O9" s="13">
        <f t="shared" si="1"/>
        <v>98</v>
      </c>
      <c r="P9" s="23">
        <f t="shared" si="1"/>
        <v>98</v>
      </c>
    </row>
    <row r="10" spans="1:17" ht="32.25" customHeight="1">
      <c r="A10" s="16" t="s">
        <v>24</v>
      </c>
      <c r="B10" s="16" t="s">
        <v>25</v>
      </c>
      <c r="C10" s="9">
        <v>600</v>
      </c>
      <c r="D10" s="9">
        <v>0</v>
      </c>
      <c r="E10" s="9">
        <v>0</v>
      </c>
      <c r="F10" s="9">
        <v>205</v>
      </c>
      <c r="G10" s="9">
        <v>530</v>
      </c>
      <c r="H10" s="9">
        <v>7.5</v>
      </c>
      <c r="I10" s="11"/>
      <c r="J10" s="12" t="s">
        <v>26</v>
      </c>
      <c r="K10" s="17">
        <f>MAX($K$6,CEILING($B$4/C10,1))</f>
        <v>67</v>
      </c>
      <c r="L10" s="13">
        <f>MAX($L$6,CEILING(2*$B$4/C10,2))</f>
        <v>134</v>
      </c>
      <c r="M10" s="13">
        <f>MAX($M$6,CEILING(1+$B$4/C10,1))</f>
        <v>68</v>
      </c>
      <c r="N10" s="13">
        <f>MAX($N$6,CEILING(2*(1+$B$4/C10),2))</f>
        <v>136</v>
      </c>
      <c r="O10" s="13">
        <f>MAX($O$6,CEILING(2+$B$4/C10,1))</f>
        <v>69</v>
      </c>
      <c r="P10" s="23">
        <f>MAX($P$6,CEILING(2*(2+$B$4/C10),2))</f>
        <v>138</v>
      </c>
    </row>
    <row r="11" spans="1:17" ht="20.25" customHeight="1">
      <c r="A11" s="11"/>
      <c r="B11" s="11"/>
      <c r="C11" s="11"/>
      <c r="D11" s="11"/>
      <c r="E11" s="11"/>
      <c r="F11" s="11"/>
      <c r="G11" s="11"/>
      <c r="H11" s="11"/>
      <c r="I11" s="11"/>
      <c r="J11" s="12" t="s">
        <v>27</v>
      </c>
      <c r="K11" s="13">
        <f t="shared" ref="K11:P11" si="2">MAX(K9,K10)</f>
        <v>98</v>
      </c>
      <c r="L11" s="13">
        <f t="shared" si="2"/>
        <v>134</v>
      </c>
      <c r="M11" s="13">
        <f t="shared" si="2"/>
        <v>98</v>
      </c>
      <c r="N11" s="13">
        <f t="shared" si="2"/>
        <v>136</v>
      </c>
      <c r="O11" s="13">
        <f t="shared" si="2"/>
        <v>98</v>
      </c>
      <c r="P11" s="23">
        <f t="shared" si="2"/>
        <v>138</v>
      </c>
    </row>
    <row r="12" spans="1:17" ht="35" customHeight="1">
      <c r="A12" s="11"/>
      <c r="B12" s="11"/>
      <c r="C12" s="11"/>
      <c r="D12" s="11"/>
      <c r="E12" s="11"/>
      <c r="F12" s="11"/>
      <c r="G12" s="11"/>
      <c r="H12" s="11"/>
      <c r="I12" s="11"/>
      <c r="J12" s="12" t="s">
        <v>28</v>
      </c>
      <c r="K12" s="13">
        <f>K11*$C10</f>
        <v>58800</v>
      </c>
      <c r="L12" s="13">
        <f t="shared" ref="L12:P12" si="3">L11*$C10</f>
        <v>80400</v>
      </c>
      <c r="M12" s="13">
        <f t="shared" si="3"/>
        <v>58800</v>
      </c>
      <c r="N12" s="13">
        <f t="shared" si="3"/>
        <v>81600</v>
      </c>
      <c r="O12" s="13">
        <f t="shared" si="3"/>
        <v>58800</v>
      </c>
      <c r="P12" s="23">
        <f t="shared" si="3"/>
        <v>82800</v>
      </c>
    </row>
    <row r="13" spans="1:17" ht="20.25" customHeight="1">
      <c r="A13" s="11"/>
      <c r="B13" s="11"/>
      <c r="C13" s="11"/>
      <c r="D13" s="11"/>
      <c r="E13" s="11"/>
      <c r="F13" s="11"/>
      <c r="G13" s="11"/>
      <c r="H13" s="11"/>
      <c r="I13" s="11"/>
      <c r="J13" s="12" t="s">
        <v>22</v>
      </c>
      <c r="K13" s="13">
        <f t="shared" ref="K13:P13" si="4">$H10*K11</f>
        <v>735</v>
      </c>
      <c r="L13" s="13">
        <f t="shared" si="4"/>
        <v>1005</v>
      </c>
      <c r="M13" s="13">
        <f t="shared" si="4"/>
        <v>735</v>
      </c>
      <c r="N13" s="13">
        <f t="shared" si="4"/>
        <v>1020</v>
      </c>
      <c r="O13" s="13">
        <f t="shared" si="4"/>
        <v>735</v>
      </c>
      <c r="P13" s="23">
        <f t="shared" si="4"/>
        <v>1035</v>
      </c>
    </row>
    <row r="14" spans="1:17" ht="20.25" customHeight="1">
      <c r="A14" s="11"/>
      <c r="B14" s="11"/>
      <c r="C14" s="11"/>
      <c r="D14" s="11"/>
      <c r="E14" s="11"/>
      <c r="F14" s="11"/>
      <c r="G14" s="11"/>
      <c r="H14" s="11"/>
      <c r="I14" s="11"/>
      <c r="J14" s="12" t="s">
        <v>29</v>
      </c>
      <c r="K14" s="13">
        <f t="shared" ref="K14:P14" si="5">$G10*K11</f>
        <v>51940</v>
      </c>
      <c r="L14" s="13">
        <f t="shared" si="5"/>
        <v>71020</v>
      </c>
      <c r="M14" s="13">
        <f t="shared" si="5"/>
        <v>51940</v>
      </c>
      <c r="N14" s="13">
        <f t="shared" si="5"/>
        <v>72080</v>
      </c>
      <c r="O14" s="13">
        <f t="shared" si="5"/>
        <v>51940</v>
      </c>
      <c r="P14" s="23">
        <f t="shared" si="5"/>
        <v>73140</v>
      </c>
    </row>
    <row r="15" spans="1:17" ht="20.25" customHeight="1">
      <c r="A15" s="11"/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1"/>
      <c r="P15" s="24"/>
      <c r="Q15" s="20"/>
    </row>
    <row r="16" spans="1:17" ht="20.25" customHeight="1">
      <c r="A16" s="27" t="s">
        <v>30</v>
      </c>
      <c r="B16" s="28"/>
      <c r="C16" s="28"/>
      <c r="D16" s="28"/>
      <c r="E16" s="28"/>
      <c r="F16" s="28"/>
      <c r="G16" s="28"/>
      <c r="H16" s="28"/>
      <c r="I16" s="11"/>
      <c r="J16" s="15"/>
      <c r="K16" s="11"/>
      <c r="L16" s="11"/>
      <c r="M16" s="11"/>
      <c r="N16" s="11"/>
      <c r="O16" s="11"/>
      <c r="P16" s="24"/>
      <c r="Q16" s="20"/>
    </row>
    <row r="17" spans="1:17" ht="32.25" customHeight="1">
      <c r="A17" s="8" t="s">
        <v>15</v>
      </c>
      <c r="B17" s="8" t="s">
        <v>16</v>
      </c>
      <c r="C17" s="8" t="s">
        <v>17</v>
      </c>
      <c r="D17" s="8" t="s">
        <v>18</v>
      </c>
      <c r="E17" s="8" t="s">
        <v>19</v>
      </c>
      <c r="F17" s="8" t="s">
        <v>20</v>
      </c>
      <c r="G17" s="8" t="s">
        <v>21</v>
      </c>
      <c r="H17" s="8" t="s">
        <v>22</v>
      </c>
      <c r="I17" s="11"/>
      <c r="J17" s="12" t="s">
        <v>23</v>
      </c>
      <c r="K17" s="13">
        <f>IF($F18=0,MAX(CEILING(K$4/$D18,1),K$6,CEILING(K$5/$E18,1)),MAX(K$6,CEILING(K$3/$F18,1)))</f>
        <v>143</v>
      </c>
      <c r="L17" s="13">
        <f t="shared" ref="L17" si="6">IF($F18=0,MAX(CEILING(L$4/$D18,1),L$6,CEILING(L$5/$E18,1)),MAX(L$6,CEILING(L$3/$F18,1)))</f>
        <v>143</v>
      </c>
      <c r="M17" s="13">
        <f t="shared" ref="M17" si="7">IF($F18=0,MAX(CEILING(M$4/$D18,1),M$6,CEILING(M$5/$E18,1)),MAX(M$6,CEILING(M$3/$F18,1)))</f>
        <v>143</v>
      </c>
      <c r="N17" s="13">
        <f t="shared" ref="N17" si="8">IF($F18=0,MAX(CEILING(N$4/$D18,1),N$6,CEILING(N$5/$E18,1)),MAX(N$6,CEILING(N$3/$F18,1)))</f>
        <v>143</v>
      </c>
      <c r="O17" s="13">
        <f t="shared" ref="O17" si="9">IF($F18=0,MAX(CEILING(O$4/$D18,1),O$6,CEILING(O$5/$E18,1)),MAX(O$6,CEILING(O$3/$F18,1)))</f>
        <v>143</v>
      </c>
      <c r="P17" s="23">
        <f t="shared" ref="P17" si="10">IF($F18=0,MAX(CEILING(P$4/$D18,1),P$6,CEILING(P$5/$E18,1)),MAX(P$6,CEILING(P$3/$F18,1)))</f>
        <v>143</v>
      </c>
    </row>
    <row r="18" spans="1:17" ht="32.25" customHeight="1">
      <c r="A18" s="16" t="s">
        <v>24</v>
      </c>
      <c r="B18" s="16" t="s">
        <v>31</v>
      </c>
      <c r="C18" s="9">
        <v>1800</v>
      </c>
      <c r="D18" s="9">
        <v>0</v>
      </c>
      <c r="E18" s="9">
        <v>0</v>
      </c>
      <c r="F18" s="9">
        <v>140</v>
      </c>
      <c r="G18" s="9">
        <v>640</v>
      </c>
      <c r="H18" s="9">
        <v>7.8</v>
      </c>
      <c r="I18" s="11"/>
      <c r="J18" s="12" t="s">
        <v>26</v>
      </c>
      <c r="K18" s="17">
        <f>MAX($K$6,CEILING($B$4/C18,1))</f>
        <v>23</v>
      </c>
      <c r="L18" s="13">
        <f>MAX($L$6,CEILING(2*$B$4/C18,2))</f>
        <v>46</v>
      </c>
      <c r="M18" s="13">
        <f>MAX($M$6,CEILING(1+$B$4/C18,1))</f>
        <v>24</v>
      </c>
      <c r="N18" s="13">
        <f>MAX($N$6,CEILING(2*(1+$B$4/C18),2))</f>
        <v>48</v>
      </c>
      <c r="O18" s="13">
        <f>MAX($O$6,CEILING(2+$B$4/C18,1))</f>
        <v>25</v>
      </c>
      <c r="P18" s="23">
        <f>MAX($P$6,CEILING(2*(2+$B$4/C18),2))</f>
        <v>50</v>
      </c>
    </row>
    <row r="19" spans="1:17" ht="20.25" customHeight="1">
      <c r="A19" s="11"/>
      <c r="B19" s="11"/>
      <c r="C19" s="11"/>
      <c r="D19" s="11"/>
      <c r="E19" s="11"/>
      <c r="F19" s="11"/>
      <c r="G19" s="11"/>
      <c r="H19" s="11"/>
      <c r="I19" s="11"/>
      <c r="J19" s="12" t="s">
        <v>27</v>
      </c>
      <c r="K19" s="13">
        <f t="shared" ref="K19:P19" si="11">MAX(K17,K18)</f>
        <v>143</v>
      </c>
      <c r="L19" s="13">
        <f t="shared" si="11"/>
        <v>143</v>
      </c>
      <c r="M19" s="13">
        <f t="shared" si="11"/>
        <v>143</v>
      </c>
      <c r="N19" s="13">
        <f t="shared" si="11"/>
        <v>143</v>
      </c>
      <c r="O19" s="13">
        <f t="shared" si="11"/>
        <v>143</v>
      </c>
      <c r="P19" s="23">
        <f t="shared" si="11"/>
        <v>143</v>
      </c>
    </row>
    <row r="20" spans="1:17" ht="32.25" customHeight="1">
      <c r="A20" s="11"/>
      <c r="B20" s="11"/>
      <c r="C20" s="11"/>
      <c r="D20" s="11"/>
      <c r="E20" s="11"/>
      <c r="F20" s="11"/>
      <c r="G20" s="11"/>
      <c r="H20" s="11"/>
      <c r="I20" s="11"/>
      <c r="J20" s="12" t="s">
        <v>28</v>
      </c>
      <c r="K20" s="13">
        <f>K19*$C18</f>
        <v>257400</v>
      </c>
      <c r="L20" s="13">
        <f t="shared" ref="L20" si="12">L19*$C18</f>
        <v>257400</v>
      </c>
      <c r="M20" s="13">
        <f t="shared" ref="M20" si="13">M19*$C18</f>
        <v>257400</v>
      </c>
      <c r="N20" s="13">
        <f t="shared" ref="N20" si="14">N19*$C18</f>
        <v>257400</v>
      </c>
      <c r="O20" s="13">
        <f t="shared" ref="O20" si="15">O19*$C18</f>
        <v>257400</v>
      </c>
      <c r="P20" s="23">
        <f t="shared" ref="P20" si="16">P19*$C18</f>
        <v>257400</v>
      </c>
    </row>
    <row r="21" spans="1:17" ht="20.25" customHeight="1">
      <c r="A21" s="11"/>
      <c r="B21" s="11"/>
      <c r="C21" s="11"/>
      <c r="D21" s="11"/>
      <c r="E21" s="11"/>
      <c r="F21" s="11"/>
      <c r="G21" s="11"/>
      <c r="H21" s="11"/>
      <c r="I21" s="11"/>
      <c r="J21" s="12" t="s">
        <v>22</v>
      </c>
      <c r="K21" s="13">
        <f t="shared" ref="K21:P21" si="17">$H18*K19</f>
        <v>1115.3999999999999</v>
      </c>
      <c r="L21" s="13">
        <f t="shared" si="17"/>
        <v>1115.3999999999999</v>
      </c>
      <c r="M21" s="13">
        <f t="shared" si="17"/>
        <v>1115.3999999999999</v>
      </c>
      <c r="N21" s="13">
        <f t="shared" si="17"/>
        <v>1115.3999999999999</v>
      </c>
      <c r="O21" s="13">
        <f t="shared" si="17"/>
        <v>1115.3999999999999</v>
      </c>
      <c r="P21" s="23">
        <f t="shared" si="17"/>
        <v>1115.3999999999999</v>
      </c>
    </row>
    <row r="22" spans="1:17" ht="20.25" customHeight="1">
      <c r="A22" s="11"/>
      <c r="B22" s="11"/>
      <c r="C22" s="11"/>
      <c r="D22" s="11"/>
      <c r="E22" s="11"/>
      <c r="F22" s="11"/>
      <c r="G22" s="11"/>
      <c r="H22" s="11"/>
      <c r="I22" s="11"/>
      <c r="J22" s="12" t="s">
        <v>29</v>
      </c>
      <c r="K22" s="13">
        <f t="shared" ref="K22:P22" si="18">$G18*K19</f>
        <v>91520</v>
      </c>
      <c r="L22" s="13">
        <f t="shared" si="18"/>
        <v>91520</v>
      </c>
      <c r="M22" s="13">
        <f t="shared" si="18"/>
        <v>91520</v>
      </c>
      <c r="N22" s="13">
        <f t="shared" si="18"/>
        <v>91520</v>
      </c>
      <c r="O22" s="13">
        <f t="shared" si="18"/>
        <v>91520</v>
      </c>
      <c r="P22" s="23">
        <f t="shared" si="18"/>
        <v>91520</v>
      </c>
    </row>
    <row r="23" spans="1:17" ht="20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20"/>
    </row>
    <row r="24" spans="1:17" ht="21.25" customHeight="1">
      <c r="A24" s="27" t="s">
        <v>32</v>
      </c>
      <c r="B24" s="28"/>
      <c r="C24" s="28"/>
      <c r="D24" s="28"/>
      <c r="E24" s="28"/>
      <c r="F24" s="28"/>
      <c r="G24" s="28"/>
      <c r="H24" s="28"/>
      <c r="I24" s="11"/>
      <c r="J24" s="11"/>
      <c r="K24" s="11"/>
      <c r="L24" s="11"/>
      <c r="M24" s="11"/>
      <c r="N24" s="11"/>
      <c r="O24" s="11"/>
      <c r="P24" s="24"/>
      <c r="Q24" s="20"/>
    </row>
    <row r="25" spans="1:17" ht="32.25" customHeight="1">
      <c r="A25" s="8" t="s">
        <v>15</v>
      </c>
      <c r="B25" s="8" t="s">
        <v>16</v>
      </c>
      <c r="C25" s="8" t="s">
        <v>17</v>
      </c>
      <c r="D25" s="8" t="s">
        <v>18</v>
      </c>
      <c r="E25" s="8" t="s">
        <v>19</v>
      </c>
      <c r="F25" s="8" t="s">
        <v>20</v>
      </c>
      <c r="G25" s="8" t="s">
        <v>21</v>
      </c>
      <c r="H25" s="8" t="s">
        <v>22</v>
      </c>
      <c r="I25" s="11"/>
      <c r="J25" s="12" t="s">
        <v>23</v>
      </c>
      <c r="K25" s="13">
        <f>IF($F26=0,MAX(CEILING(K$4/$D26,1),K$6,CEILING(K$5/$E26,1)),MAX(K$6,CEILING(K$3/$F26,1)))</f>
        <v>244</v>
      </c>
      <c r="L25" s="13">
        <f t="shared" ref="L25" si="19">IF($F26=0,MAX(CEILING(L$4/$D26,1),L$6,CEILING(L$5/$E26,1)),MAX(L$6,CEILING(L$3/$F26,1)))</f>
        <v>244</v>
      </c>
      <c r="M25" s="13">
        <f t="shared" ref="M25" si="20">IF($F26=0,MAX(CEILING(M$4/$D26,1),M$6,CEILING(M$5/$E26,1)),MAX(M$6,CEILING(M$3/$F26,1)))</f>
        <v>244</v>
      </c>
      <c r="N25" s="13">
        <f t="shared" ref="N25" si="21">IF($F26=0,MAX(CEILING(N$4/$D26,1),N$6,CEILING(N$5/$E26,1)),MAX(N$6,CEILING(N$3/$F26,1)))</f>
        <v>244</v>
      </c>
      <c r="O25" s="13">
        <f t="shared" ref="O25" si="22">IF($F26=0,MAX(CEILING(O$4/$D26,1),O$6,CEILING(O$5/$E26,1)),MAX(O$6,CEILING(O$3/$F26,1)))</f>
        <v>244</v>
      </c>
      <c r="P25" s="23">
        <f t="shared" ref="P25" si="23">IF($F26=0,MAX(CEILING(P$4/$D26,1),P$6,CEILING(P$5/$E26,1)),MAX(P$6,CEILING(P$3/$F26,1)))</f>
        <v>244</v>
      </c>
    </row>
    <row r="26" spans="1:17" ht="32.25" customHeight="1">
      <c r="A26" s="16" t="s">
        <v>24</v>
      </c>
      <c r="B26" s="9">
        <v>5900</v>
      </c>
      <c r="C26" s="9">
        <v>8000</v>
      </c>
      <c r="D26" s="9">
        <v>0</v>
      </c>
      <c r="E26" s="9">
        <v>0</v>
      </c>
      <c r="F26" s="9">
        <v>82</v>
      </c>
      <c r="G26" s="9">
        <v>395</v>
      </c>
      <c r="H26" s="9">
        <v>7.5</v>
      </c>
      <c r="I26" s="11"/>
      <c r="J26" s="12" t="s">
        <v>26</v>
      </c>
      <c r="K26" s="17">
        <f>MAX($K$6,CEILING($B$4/C26,1))</f>
        <v>5</v>
      </c>
      <c r="L26" s="13">
        <f>MAX($L$6,CEILING(2*$B$4/C26,2))</f>
        <v>10</v>
      </c>
      <c r="M26" s="13">
        <f>MAX($M$6,CEILING(1+$B$4/C26,1))</f>
        <v>6</v>
      </c>
      <c r="N26" s="13">
        <f>MAX($N$6,CEILING(2*(1+$B$4/C26),2))</f>
        <v>12</v>
      </c>
      <c r="O26" s="13">
        <f>MAX($O$6,CEILING(2+$B$4/C26,1))</f>
        <v>7</v>
      </c>
      <c r="P26" s="23">
        <f>MAX($P$6,CEILING(2*(2+$B$4/C26),2))</f>
        <v>14</v>
      </c>
    </row>
    <row r="27" spans="1:17" ht="20.25" customHeight="1">
      <c r="A27" s="11"/>
      <c r="B27" s="11"/>
      <c r="C27" s="11"/>
      <c r="D27" s="11"/>
      <c r="E27" s="11"/>
      <c r="F27" s="11"/>
      <c r="G27" s="11"/>
      <c r="H27" s="11"/>
      <c r="I27" s="11"/>
      <c r="J27" s="12" t="s">
        <v>27</v>
      </c>
      <c r="K27" s="13">
        <f t="shared" ref="K27:P27" si="24">MAX(K25,K26)</f>
        <v>244</v>
      </c>
      <c r="L27" s="13">
        <f t="shared" si="24"/>
        <v>244</v>
      </c>
      <c r="M27" s="13">
        <f t="shared" si="24"/>
        <v>244</v>
      </c>
      <c r="N27" s="13">
        <f t="shared" si="24"/>
        <v>244</v>
      </c>
      <c r="O27" s="13">
        <f t="shared" si="24"/>
        <v>244</v>
      </c>
      <c r="P27" s="23">
        <f t="shared" si="24"/>
        <v>244</v>
      </c>
    </row>
    <row r="28" spans="1:17" ht="32.25" customHeight="1">
      <c r="A28" s="11"/>
      <c r="B28" s="11"/>
      <c r="C28" s="11"/>
      <c r="D28" s="11"/>
      <c r="E28" s="11"/>
      <c r="F28" s="11"/>
      <c r="G28" s="11"/>
      <c r="H28" s="11"/>
      <c r="I28" s="11"/>
      <c r="J28" s="12" t="s">
        <v>28</v>
      </c>
      <c r="K28" s="13">
        <f>K27*$C26</f>
        <v>1952000</v>
      </c>
      <c r="L28" s="13">
        <f t="shared" ref="L28" si="25">L27*$C26</f>
        <v>1952000</v>
      </c>
      <c r="M28" s="13">
        <f t="shared" ref="M28" si="26">M27*$C26</f>
        <v>1952000</v>
      </c>
      <c r="N28" s="13">
        <f t="shared" ref="N28" si="27">N27*$C26</f>
        <v>1952000</v>
      </c>
      <c r="O28" s="13">
        <f t="shared" ref="O28" si="28">O27*$C26</f>
        <v>1952000</v>
      </c>
      <c r="P28" s="23">
        <f t="shared" ref="P28" si="29">P27*$C26</f>
        <v>1952000</v>
      </c>
    </row>
    <row r="29" spans="1:17" ht="20.25" customHeight="1">
      <c r="A29" s="11"/>
      <c r="B29" s="11"/>
      <c r="C29" s="11"/>
      <c r="D29" s="11"/>
      <c r="E29" s="11"/>
      <c r="F29" s="11"/>
      <c r="G29" s="11"/>
      <c r="H29" s="11"/>
      <c r="I29" s="11"/>
      <c r="J29" s="12" t="s">
        <v>22</v>
      </c>
      <c r="K29" s="13">
        <f t="shared" ref="K29:P29" si="30">$H26*K27</f>
        <v>1830</v>
      </c>
      <c r="L29" s="13">
        <f t="shared" si="30"/>
        <v>1830</v>
      </c>
      <c r="M29" s="13">
        <f t="shared" si="30"/>
        <v>1830</v>
      </c>
      <c r="N29" s="13">
        <f t="shared" si="30"/>
        <v>1830</v>
      </c>
      <c r="O29" s="13">
        <f t="shared" si="30"/>
        <v>1830</v>
      </c>
      <c r="P29" s="23">
        <f t="shared" si="30"/>
        <v>1830</v>
      </c>
    </row>
    <row r="30" spans="1:17" ht="20.25" customHeight="1">
      <c r="A30" s="11"/>
      <c r="B30" s="11"/>
      <c r="C30" s="11"/>
      <c r="D30" s="11"/>
      <c r="E30" s="11"/>
      <c r="F30" s="11"/>
      <c r="G30" s="11"/>
      <c r="H30" s="11"/>
      <c r="I30" s="11"/>
      <c r="J30" s="12" t="s">
        <v>29</v>
      </c>
      <c r="K30" s="13">
        <f t="shared" ref="K30:P30" si="31">$G26*K27</f>
        <v>96380</v>
      </c>
      <c r="L30" s="13">
        <f t="shared" si="31"/>
        <v>96380</v>
      </c>
      <c r="M30" s="13">
        <f t="shared" si="31"/>
        <v>96380</v>
      </c>
      <c r="N30" s="13">
        <f t="shared" si="31"/>
        <v>96380</v>
      </c>
      <c r="O30" s="13">
        <f t="shared" si="31"/>
        <v>96380</v>
      </c>
      <c r="P30" s="23">
        <f t="shared" si="31"/>
        <v>96380</v>
      </c>
    </row>
    <row r="31" spans="1:17" ht="20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24"/>
      <c r="Q31" s="20"/>
    </row>
    <row r="32" spans="1:17" ht="21.25" customHeight="1">
      <c r="A32" s="27" t="s">
        <v>33</v>
      </c>
      <c r="B32" s="28"/>
      <c r="C32" s="28"/>
      <c r="D32" s="28"/>
      <c r="E32" s="28"/>
      <c r="F32" s="28"/>
      <c r="G32" s="28"/>
      <c r="H32" s="28"/>
      <c r="I32" s="11"/>
      <c r="J32" s="11"/>
      <c r="K32" s="11"/>
      <c r="L32" s="11"/>
      <c r="M32" s="11"/>
      <c r="N32" s="11"/>
      <c r="O32" s="11"/>
      <c r="P32" s="24"/>
      <c r="Q32" s="20"/>
    </row>
    <row r="33" spans="1:17" ht="32.25" customHeight="1">
      <c r="A33" s="8" t="s">
        <v>15</v>
      </c>
      <c r="B33" s="8" t="s">
        <v>16</v>
      </c>
      <c r="C33" s="8" t="s">
        <v>17</v>
      </c>
      <c r="D33" s="8" t="s">
        <v>18</v>
      </c>
      <c r="E33" s="8" t="s">
        <v>19</v>
      </c>
      <c r="F33" s="8" t="s">
        <v>20</v>
      </c>
      <c r="G33" s="8" t="s">
        <v>21</v>
      </c>
      <c r="H33" s="8" t="s">
        <v>22</v>
      </c>
      <c r="I33" s="11"/>
      <c r="J33" s="12" t="s">
        <v>23</v>
      </c>
      <c r="K33" s="13">
        <f>IF($F34=0,MAX(CEILING(K$4/$D34,1),K$6,CEILING(K$5/$E34,1)),MAX(K$6,CEILING(K$3/$F34,1)))</f>
        <v>127</v>
      </c>
      <c r="L33" s="13">
        <f t="shared" ref="L33" si="32">IF($F34=0,MAX(CEILING(L$4/$D34,1),L$6,CEILING(L$5/$E34,1)),MAX(L$6,CEILING(L$3/$F34,1)))</f>
        <v>127</v>
      </c>
      <c r="M33" s="13">
        <f t="shared" ref="M33" si="33">IF($F34=0,MAX(CEILING(M$4/$D34,1),M$6,CEILING(M$5/$E34,1)),MAX(M$6,CEILING(M$3/$F34,1)))</f>
        <v>127</v>
      </c>
      <c r="N33" s="13">
        <f t="shared" ref="N33" si="34">IF($F34=0,MAX(CEILING(N$4/$D34,1),N$6,CEILING(N$5/$E34,1)),MAX(N$6,CEILING(N$3/$F34,1)))</f>
        <v>127</v>
      </c>
      <c r="O33" s="13">
        <f t="shared" ref="O33" si="35">IF($F34=0,MAX(CEILING(O$4/$D34,1),O$6,CEILING(O$5/$E34,1)),MAX(O$6,CEILING(O$3/$F34,1)))</f>
        <v>127</v>
      </c>
      <c r="P33" s="23">
        <f t="shared" ref="P33" si="36">IF($F34=0,MAX(CEILING(P$4/$D34,1),P$6,CEILING(P$5/$E34,1)),MAX(P$6,CEILING(P$3/$F34,1)))</f>
        <v>127</v>
      </c>
    </row>
    <row r="34" spans="1:17" ht="32.25" customHeight="1">
      <c r="A34" s="16" t="s">
        <v>24</v>
      </c>
      <c r="B34" s="16" t="s">
        <v>31</v>
      </c>
      <c r="C34" s="9">
        <v>1800</v>
      </c>
      <c r="D34" s="9">
        <v>0</v>
      </c>
      <c r="E34" s="9">
        <v>0</v>
      </c>
      <c r="F34" s="9">
        <v>158</v>
      </c>
      <c r="G34" s="9">
        <v>662</v>
      </c>
      <c r="H34" s="9">
        <v>7.4</v>
      </c>
      <c r="I34" s="11"/>
      <c r="J34" s="12" t="s">
        <v>26</v>
      </c>
      <c r="K34" s="17">
        <f>MAX($K$6,CEILING($B$4/C34,1))</f>
        <v>23</v>
      </c>
      <c r="L34" s="13">
        <f>MAX($L$6,CEILING(2*$B$4/C34,2))</f>
        <v>46</v>
      </c>
      <c r="M34" s="13">
        <f>MAX($M$6,CEILING(1+$B$4/C34,1))</f>
        <v>24</v>
      </c>
      <c r="N34" s="13">
        <f>MAX($N$6,CEILING(2*(1+$B$4/C34),2))</f>
        <v>48</v>
      </c>
      <c r="O34" s="13">
        <f>MAX($O$6,CEILING(2+$B$4/C34,1))</f>
        <v>25</v>
      </c>
      <c r="P34" s="23">
        <f>MAX($P$6,CEILING(2*(2+$B$4/C34),2))</f>
        <v>50</v>
      </c>
    </row>
    <row r="35" spans="1:17" ht="20.25" customHeight="1">
      <c r="A35" s="11"/>
      <c r="B35" s="11"/>
      <c r="C35" s="11"/>
      <c r="D35" s="11"/>
      <c r="E35" s="11"/>
      <c r="F35" s="11"/>
      <c r="G35" s="11"/>
      <c r="H35" s="11"/>
      <c r="I35" s="11"/>
      <c r="J35" s="12" t="s">
        <v>27</v>
      </c>
      <c r="K35" s="13">
        <f t="shared" ref="K35:P35" si="37">MAX(K33,K34)</f>
        <v>127</v>
      </c>
      <c r="L35" s="13">
        <f t="shared" si="37"/>
        <v>127</v>
      </c>
      <c r="M35" s="13">
        <f t="shared" si="37"/>
        <v>127</v>
      </c>
      <c r="N35" s="13">
        <f t="shared" si="37"/>
        <v>127</v>
      </c>
      <c r="O35" s="13">
        <f t="shared" si="37"/>
        <v>127</v>
      </c>
      <c r="P35" s="23">
        <f t="shared" si="37"/>
        <v>127</v>
      </c>
    </row>
    <row r="36" spans="1:17" ht="32.25" customHeight="1">
      <c r="A36" s="11"/>
      <c r="B36" s="11"/>
      <c r="C36" s="11"/>
      <c r="D36" s="11"/>
      <c r="E36" s="11"/>
      <c r="F36" s="11"/>
      <c r="G36" s="11"/>
      <c r="H36" s="11"/>
      <c r="I36" s="11"/>
      <c r="J36" s="12" t="s">
        <v>28</v>
      </c>
      <c r="K36" s="13">
        <f>K35*$C34</f>
        <v>228600</v>
      </c>
      <c r="L36" s="13">
        <f t="shared" ref="L36" si="38">L35*$C34</f>
        <v>228600</v>
      </c>
      <c r="M36" s="13">
        <f t="shared" ref="M36" si="39">M35*$C34</f>
        <v>228600</v>
      </c>
      <c r="N36" s="13">
        <f t="shared" ref="N36" si="40">N35*$C34</f>
        <v>228600</v>
      </c>
      <c r="O36" s="13">
        <f t="shared" ref="O36" si="41">O35*$C34</f>
        <v>228600</v>
      </c>
      <c r="P36" s="23">
        <f t="shared" ref="P36" si="42">P35*$C34</f>
        <v>228600</v>
      </c>
    </row>
    <row r="37" spans="1:17" ht="20.25" customHeight="1">
      <c r="A37" s="11"/>
      <c r="B37" s="11"/>
      <c r="C37" s="11"/>
      <c r="D37" s="11"/>
      <c r="E37" s="11"/>
      <c r="F37" s="11"/>
      <c r="G37" s="11"/>
      <c r="H37" s="11"/>
      <c r="I37" s="11"/>
      <c r="J37" s="12" t="s">
        <v>22</v>
      </c>
      <c r="K37" s="13">
        <f t="shared" ref="K37:P37" si="43">$H34*K35</f>
        <v>939.80000000000007</v>
      </c>
      <c r="L37" s="13">
        <f t="shared" si="43"/>
        <v>939.80000000000007</v>
      </c>
      <c r="M37" s="13">
        <f t="shared" si="43"/>
        <v>939.80000000000007</v>
      </c>
      <c r="N37" s="13">
        <f t="shared" si="43"/>
        <v>939.80000000000007</v>
      </c>
      <c r="O37" s="13">
        <f t="shared" si="43"/>
        <v>939.80000000000007</v>
      </c>
      <c r="P37" s="23">
        <f t="shared" si="43"/>
        <v>939.80000000000007</v>
      </c>
    </row>
    <row r="38" spans="1:17" ht="20.25" customHeight="1">
      <c r="A38" s="11"/>
      <c r="B38" s="11"/>
      <c r="C38" s="11"/>
      <c r="D38" s="11"/>
      <c r="E38" s="11"/>
      <c r="F38" s="11"/>
      <c r="G38" s="11"/>
      <c r="H38" s="11"/>
      <c r="I38" s="11"/>
      <c r="J38" s="12" t="s">
        <v>29</v>
      </c>
      <c r="K38" s="13">
        <f t="shared" ref="K38:P38" si="44">$G34*K35</f>
        <v>84074</v>
      </c>
      <c r="L38" s="13">
        <f t="shared" si="44"/>
        <v>84074</v>
      </c>
      <c r="M38" s="13">
        <f t="shared" si="44"/>
        <v>84074</v>
      </c>
      <c r="N38" s="13">
        <f t="shared" si="44"/>
        <v>84074</v>
      </c>
      <c r="O38" s="13">
        <f t="shared" si="44"/>
        <v>84074</v>
      </c>
      <c r="P38" s="23">
        <f t="shared" si="44"/>
        <v>84074</v>
      </c>
    </row>
    <row r="39" spans="1:17" ht="20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24"/>
      <c r="Q39" s="20"/>
    </row>
    <row r="40" spans="1:17" ht="21.25" customHeight="1">
      <c r="A40" s="27" t="s">
        <v>34</v>
      </c>
      <c r="B40" s="28"/>
      <c r="C40" s="28"/>
      <c r="D40" s="28"/>
      <c r="E40" s="28"/>
      <c r="F40" s="28"/>
      <c r="G40" s="28"/>
      <c r="H40" s="28"/>
      <c r="I40" s="11"/>
      <c r="J40" s="11"/>
      <c r="K40" s="11"/>
      <c r="L40" s="11"/>
      <c r="M40" s="11"/>
      <c r="N40" s="11"/>
      <c r="O40" s="11"/>
      <c r="P40" s="24"/>
      <c r="Q40" s="20"/>
    </row>
    <row r="41" spans="1:17" ht="32.25" customHeight="1">
      <c r="A41" s="8" t="s">
        <v>15</v>
      </c>
      <c r="B41" s="8" t="s">
        <v>16</v>
      </c>
      <c r="C41" s="8" t="s">
        <v>17</v>
      </c>
      <c r="D41" s="8" t="s">
        <v>18</v>
      </c>
      <c r="E41" s="8" t="s">
        <v>19</v>
      </c>
      <c r="F41" s="8" t="s">
        <v>20</v>
      </c>
      <c r="G41" s="8" t="s">
        <v>21</v>
      </c>
      <c r="H41" s="8" t="s">
        <v>22</v>
      </c>
      <c r="I41" s="11"/>
      <c r="J41" s="12" t="s">
        <v>23</v>
      </c>
      <c r="K41" s="13">
        <f>IF($F42=0,MAX(CEILING(K$4/$D42,1),K$6,CEILING(K$5/$E42,1)),MAX(K$6,CEILING(K$3/$F42,1)))</f>
        <v>170</v>
      </c>
      <c r="L41" s="13">
        <f t="shared" ref="L41" si="45">IF($F42=0,MAX(CEILING(L$4/$D42,1),L$6,CEILING(L$5/$E42,1)),MAX(L$6,CEILING(L$3/$F42,1)))</f>
        <v>170</v>
      </c>
      <c r="M41" s="13">
        <f t="shared" ref="M41" si="46">IF($F42=0,MAX(CEILING(M$4/$D42,1),M$6,CEILING(M$5/$E42,1)),MAX(M$6,CEILING(M$3/$F42,1)))</f>
        <v>170</v>
      </c>
      <c r="N41" s="13">
        <f t="shared" ref="N41" si="47">IF($F42=0,MAX(CEILING(N$4/$D42,1),N$6,CEILING(N$5/$E42,1)),MAX(N$6,CEILING(N$3/$F42,1)))</f>
        <v>170</v>
      </c>
      <c r="O41" s="13">
        <f t="shared" ref="O41" si="48">IF($F42=0,MAX(CEILING(O$4/$D42,1),O$6,CEILING(O$5/$E42,1)),MAX(O$6,CEILING(O$3/$F42,1)))</f>
        <v>170</v>
      </c>
      <c r="P41" s="23">
        <f t="shared" ref="P41" si="49">IF($F42=0,MAX(CEILING(P$4/$D42,1),P$6,CEILING(P$5/$E42,1)),MAX(P$6,CEILING(P$3/$F42,1)))</f>
        <v>170</v>
      </c>
    </row>
    <row r="42" spans="1:17" ht="32.25" customHeight="1">
      <c r="A42" s="16" t="s">
        <v>24</v>
      </c>
      <c r="B42" s="9">
        <v>7200</v>
      </c>
      <c r="C42" s="9">
        <v>6000</v>
      </c>
      <c r="D42" s="9">
        <v>0</v>
      </c>
      <c r="E42" s="9">
        <v>0</v>
      </c>
      <c r="F42" s="9">
        <v>118</v>
      </c>
      <c r="G42" s="9">
        <v>368</v>
      </c>
      <c r="H42" s="9">
        <v>7</v>
      </c>
      <c r="I42" s="11"/>
      <c r="J42" s="12" t="s">
        <v>26</v>
      </c>
      <c r="K42" s="17">
        <f>MAX($K$6,CEILING($B$4/C42,1))</f>
        <v>7</v>
      </c>
      <c r="L42" s="13">
        <f>MAX($L$6,CEILING(2*$B$4/C42,2))</f>
        <v>14</v>
      </c>
      <c r="M42" s="13">
        <f>MAX($M$6,CEILING(1+$B$4/C42,1))</f>
        <v>8</v>
      </c>
      <c r="N42" s="13">
        <f>MAX($N$6,CEILING(2*(1+$B$4/C42),2))</f>
        <v>16</v>
      </c>
      <c r="O42" s="13">
        <f>MAX($O$6,CEILING(2+$B$4/C42,1))</f>
        <v>9</v>
      </c>
      <c r="P42" s="23">
        <f>MAX($P$6,CEILING(2*(2+$B$4/C42),2))</f>
        <v>18</v>
      </c>
    </row>
    <row r="43" spans="1:17" ht="20.25" customHeight="1">
      <c r="A43" s="11"/>
      <c r="B43" s="11"/>
      <c r="C43" s="11"/>
      <c r="D43" s="11"/>
      <c r="E43" s="11"/>
      <c r="F43" s="11"/>
      <c r="G43" s="11"/>
      <c r="H43" s="11"/>
      <c r="I43" s="11"/>
      <c r="J43" s="12" t="s">
        <v>27</v>
      </c>
      <c r="K43" s="13">
        <f t="shared" ref="K43:P43" si="50">MAX(K41,K42)</f>
        <v>170</v>
      </c>
      <c r="L43" s="13">
        <f t="shared" si="50"/>
        <v>170</v>
      </c>
      <c r="M43" s="13">
        <f t="shared" si="50"/>
        <v>170</v>
      </c>
      <c r="N43" s="13">
        <f t="shared" si="50"/>
        <v>170</v>
      </c>
      <c r="O43" s="13">
        <f t="shared" si="50"/>
        <v>170</v>
      </c>
      <c r="P43" s="23">
        <f t="shared" si="50"/>
        <v>170</v>
      </c>
    </row>
    <row r="44" spans="1:17" ht="32.25" customHeight="1">
      <c r="A44" s="11"/>
      <c r="B44" s="11"/>
      <c r="C44" s="11"/>
      <c r="D44" s="11"/>
      <c r="E44" s="11"/>
      <c r="F44" s="11"/>
      <c r="G44" s="11"/>
      <c r="H44" s="11"/>
      <c r="I44" s="11"/>
      <c r="J44" s="12" t="s">
        <v>28</v>
      </c>
      <c r="K44" s="13">
        <f>K43*$C42</f>
        <v>1020000</v>
      </c>
      <c r="L44" s="13">
        <f t="shared" ref="L44" si="51">L43*$C42</f>
        <v>1020000</v>
      </c>
      <c r="M44" s="13">
        <f t="shared" ref="M44" si="52">M43*$C42</f>
        <v>1020000</v>
      </c>
      <c r="N44" s="13">
        <f t="shared" ref="N44" si="53">N43*$C42</f>
        <v>1020000</v>
      </c>
      <c r="O44" s="13">
        <f t="shared" ref="O44" si="54">O43*$C42</f>
        <v>1020000</v>
      </c>
      <c r="P44" s="23">
        <f t="shared" ref="P44" si="55">P43*$C42</f>
        <v>1020000</v>
      </c>
    </row>
    <row r="45" spans="1:17" ht="20.25" customHeight="1">
      <c r="A45" s="11"/>
      <c r="B45" s="11"/>
      <c r="C45" s="11"/>
      <c r="D45" s="11"/>
      <c r="E45" s="11"/>
      <c r="F45" s="11"/>
      <c r="G45" s="11"/>
      <c r="H45" s="11"/>
      <c r="I45" s="11"/>
      <c r="J45" s="12" t="s">
        <v>22</v>
      </c>
      <c r="K45" s="13">
        <f t="shared" ref="K45:P45" si="56">$H42*K43</f>
        <v>1190</v>
      </c>
      <c r="L45" s="13">
        <f t="shared" si="56"/>
        <v>1190</v>
      </c>
      <c r="M45" s="13">
        <f t="shared" si="56"/>
        <v>1190</v>
      </c>
      <c r="N45" s="13">
        <f t="shared" si="56"/>
        <v>1190</v>
      </c>
      <c r="O45" s="13">
        <f t="shared" si="56"/>
        <v>1190</v>
      </c>
      <c r="P45" s="23">
        <f t="shared" si="56"/>
        <v>1190</v>
      </c>
    </row>
    <row r="46" spans="1:17" ht="20.25" customHeight="1">
      <c r="A46" s="11"/>
      <c r="B46" s="11"/>
      <c r="C46" s="11"/>
      <c r="D46" s="11"/>
      <c r="E46" s="11"/>
      <c r="F46" s="11"/>
      <c r="G46" s="11"/>
      <c r="H46" s="11"/>
      <c r="I46" s="11"/>
      <c r="J46" s="12" t="s">
        <v>29</v>
      </c>
      <c r="K46" s="13">
        <f t="shared" ref="K46:P46" si="57">$G42*K43</f>
        <v>62560</v>
      </c>
      <c r="L46" s="13">
        <f t="shared" si="57"/>
        <v>62560</v>
      </c>
      <c r="M46" s="13">
        <f t="shared" si="57"/>
        <v>62560</v>
      </c>
      <c r="N46" s="13">
        <f t="shared" si="57"/>
        <v>62560</v>
      </c>
      <c r="O46" s="13">
        <f t="shared" si="57"/>
        <v>62560</v>
      </c>
      <c r="P46" s="23">
        <f t="shared" si="57"/>
        <v>62560</v>
      </c>
    </row>
    <row r="47" spans="1:17" ht="20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24"/>
      <c r="Q47" s="20"/>
    </row>
    <row r="48" spans="1:17" ht="21.25" customHeight="1">
      <c r="A48" s="27" t="s">
        <v>35</v>
      </c>
      <c r="B48" s="28"/>
      <c r="C48" s="28"/>
      <c r="D48" s="28"/>
      <c r="E48" s="28"/>
      <c r="F48" s="28"/>
      <c r="G48" s="28"/>
      <c r="H48" s="28"/>
      <c r="I48" s="11"/>
      <c r="J48" s="11"/>
      <c r="K48" s="11"/>
      <c r="L48" s="11"/>
      <c r="M48" s="11"/>
      <c r="N48" s="11"/>
      <c r="O48" s="11"/>
      <c r="P48" s="24"/>
      <c r="Q48" s="20"/>
    </row>
    <row r="49" spans="1:17" ht="32.25" customHeight="1">
      <c r="A49" s="8" t="s">
        <v>15</v>
      </c>
      <c r="B49" s="8" t="s">
        <v>16</v>
      </c>
      <c r="C49" s="8" t="s">
        <v>17</v>
      </c>
      <c r="D49" s="8" t="s">
        <v>18</v>
      </c>
      <c r="E49" s="8" t="s">
        <v>19</v>
      </c>
      <c r="F49" s="8" t="s">
        <v>20</v>
      </c>
      <c r="G49" s="8" t="s">
        <v>21</v>
      </c>
      <c r="H49" s="8" t="s">
        <v>22</v>
      </c>
      <c r="I49" s="11"/>
      <c r="J49" s="12" t="s">
        <v>23</v>
      </c>
      <c r="K49" s="13">
        <f>IF($F50=0,MAX(CEILING(K$4/$D50,1),K$6,CEILING(K$5/$E50,1)),MAX(K$6,CEILING(K$3/$F50,1)))</f>
        <v>2</v>
      </c>
      <c r="L49" s="13">
        <f t="shared" ref="L49" si="58">IF($F50=0,MAX(CEILING(L$4/$D50,1),L$6,CEILING(L$5/$E50,1)),MAX(L$6,CEILING(L$3/$F50,1)))</f>
        <v>4</v>
      </c>
      <c r="M49" s="13">
        <f t="shared" ref="M49" si="59">IF($F50=0,MAX(CEILING(M$4/$D50,1),M$6,CEILING(M$5/$E50,1)),MAX(M$6,CEILING(M$3/$F50,1)))</f>
        <v>3</v>
      </c>
      <c r="N49" s="13">
        <f t="shared" ref="N49" si="60">IF($F50=0,MAX(CEILING(N$4/$D50,1),N$6,CEILING(N$5/$E50,1)),MAX(N$6,CEILING(N$3/$F50,1)))</f>
        <v>6</v>
      </c>
      <c r="O49" s="13">
        <f t="shared" ref="O49" si="61">IF($F50=0,MAX(CEILING(O$4/$D50,1),O$6,CEILING(O$5/$E50,1)),MAX(O$6,CEILING(O$3/$F50,1)))</f>
        <v>4</v>
      </c>
      <c r="P49" s="23">
        <f t="shared" ref="P49" si="62">IF($F50=0,MAX(CEILING(P$4/$D50,1),P$6,CEILING(P$5/$E50,1)),MAX(P$6,CEILING(P$3/$F50,1)))</f>
        <v>8</v>
      </c>
    </row>
    <row r="50" spans="1:17" ht="32.25" customHeight="1">
      <c r="A50" s="16" t="s">
        <v>36</v>
      </c>
      <c r="B50" s="16" t="s">
        <v>37</v>
      </c>
      <c r="C50" s="9">
        <v>120</v>
      </c>
      <c r="D50" s="9">
        <v>10000</v>
      </c>
      <c r="E50" s="9">
        <v>3500</v>
      </c>
      <c r="F50" s="9">
        <v>0</v>
      </c>
      <c r="G50" s="9">
        <v>84</v>
      </c>
      <c r="H50" s="9">
        <v>2.4</v>
      </c>
      <c r="I50" s="11"/>
      <c r="J50" s="12" t="s">
        <v>26</v>
      </c>
      <c r="K50" s="17">
        <f>MAX($K$6,CEILING($B$4/C50,1))</f>
        <v>334</v>
      </c>
      <c r="L50" s="13">
        <f>MAX($L$6,CEILING(2*$B$4/C50,2))</f>
        <v>668</v>
      </c>
      <c r="M50" s="13">
        <f>MAX($M$6,CEILING(1+$B$4/C50,1))</f>
        <v>335</v>
      </c>
      <c r="N50" s="13">
        <f>MAX($N$6,CEILING(2*(1+$B$4/C50),2))</f>
        <v>670</v>
      </c>
      <c r="O50" s="13">
        <f>MAX($O$6,CEILING(2+$B$4/C50,1))</f>
        <v>336</v>
      </c>
      <c r="P50" s="23">
        <f>MAX($P$6,CEILING(2*(2+$B$4/C50),2))</f>
        <v>672</v>
      </c>
    </row>
    <row r="51" spans="1:17" ht="20.25" customHeight="1">
      <c r="A51" s="11"/>
      <c r="B51" s="11"/>
      <c r="C51" s="11"/>
      <c r="D51" s="11"/>
      <c r="E51" s="11"/>
      <c r="F51" s="11"/>
      <c r="G51" s="11"/>
      <c r="H51" s="11"/>
      <c r="I51" s="11"/>
      <c r="J51" s="12" t="s">
        <v>27</v>
      </c>
      <c r="K51" s="13">
        <f t="shared" ref="K51:P51" si="63">MAX(K49,K50)</f>
        <v>334</v>
      </c>
      <c r="L51" s="13">
        <f t="shared" si="63"/>
        <v>668</v>
      </c>
      <c r="M51" s="13">
        <f t="shared" si="63"/>
        <v>335</v>
      </c>
      <c r="N51" s="13">
        <f t="shared" si="63"/>
        <v>670</v>
      </c>
      <c r="O51" s="13">
        <f t="shared" si="63"/>
        <v>336</v>
      </c>
      <c r="P51" s="23">
        <f t="shared" si="63"/>
        <v>672</v>
      </c>
    </row>
    <row r="52" spans="1:17" ht="32.25" customHeight="1">
      <c r="A52" s="11"/>
      <c r="B52" s="11"/>
      <c r="C52" s="11"/>
      <c r="D52" s="11"/>
      <c r="E52" s="11"/>
      <c r="F52" s="11"/>
      <c r="G52" s="11"/>
      <c r="H52" s="11"/>
      <c r="I52" s="11"/>
      <c r="J52" s="12" t="s">
        <v>28</v>
      </c>
      <c r="K52" s="13">
        <f>K51*$C50</f>
        <v>40080</v>
      </c>
      <c r="L52" s="13">
        <f t="shared" ref="L52" si="64">L51*$C50</f>
        <v>80160</v>
      </c>
      <c r="M52" s="13">
        <f t="shared" ref="M52" si="65">M51*$C50</f>
        <v>40200</v>
      </c>
      <c r="N52" s="13">
        <f t="shared" ref="N52" si="66">N51*$C50</f>
        <v>80400</v>
      </c>
      <c r="O52" s="13">
        <f t="shared" ref="O52" si="67">O51*$C50</f>
        <v>40320</v>
      </c>
      <c r="P52" s="23">
        <f t="shared" ref="P52" si="68">P51*$C50</f>
        <v>80640</v>
      </c>
    </row>
    <row r="53" spans="1:17" ht="20.25" customHeight="1">
      <c r="A53" s="11"/>
      <c r="B53" s="11"/>
      <c r="C53" s="11"/>
      <c r="D53" s="11"/>
      <c r="E53" s="11"/>
      <c r="F53" s="11"/>
      <c r="G53" s="11"/>
      <c r="H53" s="11"/>
      <c r="I53" s="11"/>
      <c r="J53" s="12" t="s">
        <v>22</v>
      </c>
      <c r="K53" s="13">
        <f t="shared" ref="K53:P53" si="69">$H50*K51</f>
        <v>801.6</v>
      </c>
      <c r="L53" s="13">
        <f t="shared" si="69"/>
        <v>1603.2</v>
      </c>
      <c r="M53" s="13">
        <f t="shared" si="69"/>
        <v>804</v>
      </c>
      <c r="N53" s="13">
        <f t="shared" si="69"/>
        <v>1608</v>
      </c>
      <c r="O53" s="13">
        <f t="shared" si="69"/>
        <v>806.4</v>
      </c>
      <c r="P53" s="23">
        <f t="shared" si="69"/>
        <v>1612.8</v>
      </c>
    </row>
    <row r="54" spans="1:17" ht="20.25" customHeight="1">
      <c r="A54" s="11"/>
      <c r="B54" s="11"/>
      <c r="C54" s="11"/>
      <c r="D54" s="11"/>
      <c r="E54" s="11"/>
      <c r="F54" s="11"/>
      <c r="G54" s="11"/>
      <c r="H54" s="11"/>
      <c r="I54" s="11"/>
      <c r="J54" s="12" t="s">
        <v>29</v>
      </c>
      <c r="K54" s="13">
        <f t="shared" ref="K54:P54" si="70">$G50*K51</f>
        <v>28056</v>
      </c>
      <c r="L54" s="13">
        <f t="shared" si="70"/>
        <v>56112</v>
      </c>
      <c r="M54" s="13">
        <f t="shared" si="70"/>
        <v>28140</v>
      </c>
      <c r="N54" s="13">
        <f t="shared" si="70"/>
        <v>56280</v>
      </c>
      <c r="O54" s="13">
        <f t="shared" si="70"/>
        <v>28224</v>
      </c>
      <c r="P54" s="23">
        <f t="shared" si="70"/>
        <v>56448</v>
      </c>
    </row>
    <row r="55" spans="1:17" ht="20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24"/>
      <c r="Q55" s="20"/>
    </row>
    <row r="56" spans="1:17" ht="21.25" customHeight="1">
      <c r="A56" s="27" t="s">
        <v>38</v>
      </c>
      <c r="B56" s="28"/>
      <c r="C56" s="28"/>
      <c r="D56" s="28"/>
      <c r="E56" s="28"/>
      <c r="F56" s="28"/>
      <c r="G56" s="28"/>
      <c r="H56" s="28"/>
      <c r="I56" s="11"/>
      <c r="J56" s="11"/>
      <c r="K56" s="11"/>
      <c r="L56" s="11"/>
      <c r="M56" s="11"/>
      <c r="N56" s="11"/>
      <c r="O56" s="11"/>
      <c r="P56" s="24"/>
      <c r="Q56" s="20"/>
    </row>
    <row r="57" spans="1:17" ht="32.25" customHeight="1">
      <c r="A57" s="8" t="s">
        <v>15</v>
      </c>
      <c r="B57" s="8" t="s">
        <v>16</v>
      </c>
      <c r="C57" s="8" t="s">
        <v>17</v>
      </c>
      <c r="D57" s="8" t="s">
        <v>18</v>
      </c>
      <c r="E57" s="8" t="s">
        <v>19</v>
      </c>
      <c r="F57" s="8" t="s">
        <v>20</v>
      </c>
      <c r="G57" s="8" t="s">
        <v>21</v>
      </c>
      <c r="H57" s="8" t="s">
        <v>22</v>
      </c>
      <c r="I57" s="11"/>
      <c r="J57" s="12" t="s">
        <v>23</v>
      </c>
      <c r="K57" s="13">
        <f>IF($F58=0,MAX(CEILING(K$4/$D58,1),K$6,CEILING(K$5/$E58,1)),MAX(K$6,CEILING(K$3/$F58,1)))</f>
        <v>2</v>
      </c>
      <c r="L57" s="13">
        <f t="shared" ref="L57" si="71">IF($F58=0,MAX(CEILING(L$4/$D58,1),L$6,CEILING(L$5/$E58,1)),MAX(L$6,CEILING(L$3/$F58,1)))</f>
        <v>4</v>
      </c>
      <c r="M57" s="13">
        <f t="shared" ref="M57" si="72">IF($F58=0,MAX(CEILING(M$4/$D58,1),M$6,CEILING(M$5/$E58,1)),MAX(M$6,CEILING(M$3/$F58,1)))</f>
        <v>3</v>
      </c>
      <c r="N57" s="13">
        <f t="shared" ref="N57" si="73">IF($F58=0,MAX(CEILING(N$4/$D58,1),N$6,CEILING(N$5/$E58,1)),MAX(N$6,CEILING(N$3/$F58,1)))</f>
        <v>6</v>
      </c>
      <c r="O57" s="13">
        <f t="shared" ref="O57" si="74">IF($F58=0,MAX(CEILING(O$4/$D58,1),O$6,CEILING(O$5/$E58,1)),MAX(O$6,CEILING(O$3/$F58,1)))</f>
        <v>4</v>
      </c>
      <c r="P57" s="23">
        <f t="shared" ref="P57" si="75">IF($F58=0,MAX(CEILING(P$4/$D58,1),P$6,CEILING(P$5/$E58,1)),MAX(P$6,CEILING(P$3/$F58,1)))</f>
        <v>8</v>
      </c>
    </row>
    <row r="58" spans="1:17" ht="32.25" customHeight="1">
      <c r="A58" s="16" t="s">
        <v>36</v>
      </c>
      <c r="B58" s="16" t="s">
        <v>37</v>
      </c>
      <c r="C58" s="9">
        <v>200</v>
      </c>
      <c r="D58" s="9">
        <v>68000</v>
      </c>
      <c r="E58" s="9">
        <v>20000</v>
      </c>
      <c r="F58" s="9">
        <v>0</v>
      </c>
      <c r="G58" s="9">
        <v>200</v>
      </c>
      <c r="H58" s="9">
        <v>6.8</v>
      </c>
      <c r="I58" s="11"/>
      <c r="J58" s="12" t="s">
        <v>26</v>
      </c>
      <c r="K58" s="17">
        <f>MAX($K$6,CEILING($B$4/C58,1))</f>
        <v>200</v>
      </c>
      <c r="L58" s="13">
        <f>MAX($L$6,CEILING(2*$B$4/C58,2))</f>
        <v>400</v>
      </c>
      <c r="M58" s="13">
        <f>MAX($M$6,CEILING(1+$B$4/C58,1))</f>
        <v>201</v>
      </c>
      <c r="N58" s="13">
        <f>MAX($N$6,CEILING(2*(1+$B$4/C58),2))</f>
        <v>402</v>
      </c>
      <c r="O58" s="13">
        <f>MAX($O$6,CEILING(2+$B$4/C58,1))</f>
        <v>202</v>
      </c>
      <c r="P58" s="23">
        <f>MAX($P$6,CEILING(2*(2+$B$4/C58),2))</f>
        <v>404</v>
      </c>
    </row>
    <row r="59" spans="1:17" ht="20.25" customHeight="1">
      <c r="A59" s="11"/>
      <c r="B59" s="11"/>
      <c r="C59" s="11"/>
      <c r="D59" s="11"/>
      <c r="E59" s="11"/>
      <c r="F59" s="11"/>
      <c r="G59" s="11"/>
      <c r="H59" s="11"/>
      <c r="I59" s="11"/>
      <c r="J59" s="12" t="s">
        <v>27</v>
      </c>
      <c r="K59" s="13">
        <f t="shared" ref="K59:P59" si="76">MAX(K57,K58)</f>
        <v>200</v>
      </c>
      <c r="L59" s="13">
        <f t="shared" si="76"/>
        <v>400</v>
      </c>
      <c r="M59" s="13">
        <f t="shared" si="76"/>
        <v>201</v>
      </c>
      <c r="N59" s="13">
        <f t="shared" si="76"/>
        <v>402</v>
      </c>
      <c r="O59" s="13">
        <f t="shared" si="76"/>
        <v>202</v>
      </c>
      <c r="P59" s="23">
        <f t="shared" si="76"/>
        <v>404</v>
      </c>
    </row>
    <row r="60" spans="1:17" ht="32.25" customHeight="1">
      <c r="A60" s="11"/>
      <c r="B60" s="11"/>
      <c r="C60" s="11"/>
      <c r="D60" s="11"/>
      <c r="E60" s="11"/>
      <c r="F60" s="11"/>
      <c r="G60" s="11"/>
      <c r="H60" s="11"/>
      <c r="I60" s="11"/>
      <c r="J60" s="12" t="s">
        <v>28</v>
      </c>
      <c r="K60" s="13">
        <f>K59*$C58</f>
        <v>40000</v>
      </c>
      <c r="L60" s="13">
        <f t="shared" ref="L60" si="77">L59*$C58</f>
        <v>80000</v>
      </c>
      <c r="M60" s="13">
        <f t="shared" ref="M60" si="78">M59*$C58</f>
        <v>40200</v>
      </c>
      <c r="N60" s="13">
        <f t="shared" ref="N60" si="79">N59*$C58</f>
        <v>80400</v>
      </c>
      <c r="O60" s="13">
        <f t="shared" ref="O60" si="80">O59*$C58</f>
        <v>40400</v>
      </c>
      <c r="P60" s="23">
        <f t="shared" ref="P60" si="81">P59*$C58</f>
        <v>80800</v>
      </c>
    </row>
    <row r="61" spans="1:17" ht="20.25" customHeight="1">
      <c r="A61" s="11"/>
      <c r="B61" s="11"/>
      <c r="C61" s="11"/>
      <c r="D61" s="11"/>
      <c r="E61" s="11"/>
      <c r="F61" s="11"/>
      <c r="G61" s="11"/>
      <c r="H61" s="11"/>
      <c r="I61" s="11"/>
      <c r="J61" s="12" t="s">
        <v>22</v>
      </c>
      <c r="K61" s="13">
        <f t="shared" ref="K61:P61" si="82">$H58*K59</f>
        <v>1360</v>
      </c>
      <c r="L61" s="13">
        <f t="shared" si="82"/>
        <v>2720</v>
      </c>
      <c r="M61" s="13">
        <f t="shared" si="82"/>
        <v>1366.8</v>
      </c>
      <c r="N61" s="13">
        <f t="shared" si="82"/>
        <v>2733.6</v>
      </c>
      <c r="O61" s="13">
        <f t="shared" si="82"/>
        <v>1373.6</v>
      </c>
      <c r="P61" s="23">
        <f t="shared" si="82"/>
        <v>2747.2</v>
      </c>
    </row>
    <row r="62" spans="1:17" ht="20.25" customHeight="1">
      <c r="A62" s="11"/>
      <c r="B62" s="11"/>
      <c r="C62" s="11"/>
      <c r="D62" s="11"/>
      <c r="E62" s="11"/>
      <c r="F62" s="11"/>
      <c r="G62" s="11"/>
      <c r="H62" s="11"/>
      <c r="I62" s="11"/>
      <c r="J62" s="12" t="s">
        <v>29</v>
      </c>
      <c r="K62" s="13">
        <f t="shared" ref="K62:P62" si="83">$G58*K59</f>
        <v>40000</v>
      </c>
      <c r="L62" s="13">
        <f t="shared" si="83"/>
        <v>80000</v>
      </c>
      <c r="M62" s="13">
        <f t="shared" si="83"/>
        <v>40200</v>
      </c>
      <c r="N62" s="13">
        <f t="shared" si="83"/>
        <v>80400</v>
      </c>
      <c r="O62" s="13">
        <f t="shared" si="83"/>
        <v>40400</v>
      </c>
      <c r="P62" s="23">
        <f t="shared" si="83"/>
        <v>80800</v>
      </c>
    </row>
    <row r="63" spans="1:17" ht="20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24"/>
      <c r="Q63" s="20"/>
    </row>
    <row r="64" spans="1:17" ht="21.25" customHeight="1">
      <c r="A64" s="27" t="s">
        <v>39</v>
      </c>
      <c r="B64" s="28"/>
      <c r="C64" s="28"/>
      <c r="D64" s="28"/>
      <c r="E64" s="28"/>
      <c r="F64" s="28"/>
      <c r="G64" s="28"/>
      <c r="H64" s="28"/>
      <c r="I64" s="11"/>
      <c r="J64" s="11"/>
      <c r="K64" s="11"/>
      <c r="L64" s="11"/>
      <c r="M64" s="11"/>
      <c r="N64" s="11"/>
      <c r="O64" s="11"/>
      <c r="P64" s="24"/>
      <c r="Q64" s="20"/>
    </row>
    <row r="65" spans="1:17" ht="32.25" customHeight="1">
      <c r="A65" s="8" t="s">
        <v>15</v>
      </c>
      <c r="B65" s="8" t="s">
        <v>16</v>
      </c>
      <c r="C65" s="8" t="s">
        <v>17</v>
      </c>
      <c r="D65" s="8" t="s">
        <v>18</v>
      </c>
      <c r="E65" s="8" t="s">
        <v>19</v>
      </c>
      <c r="F65" s="8" t="s">
        <v>20</v>
      </c>
      <c r="G65" s="8" t="s">
        <v>21</v>
      </c>
      <c r="H65" s="8" t="s">
        <v>22</v>
      </c>
      <c r="I65" s="11"/>
      <c r="J65" s="12" t="s">
        <v>23</v>
      </c>
      <c r="K65" s="13">
        <f>IF($F66=0,MAX(CEILING(K$4/$D66,1),K$6,CEILING(K$5/$E66,1)),MAX(K$6,CEILING(K$3/$F66,1)))</f>
        <v>2</v>
      </c>
      <c r="L65" s="13">
        <f t="shared" ref="L65" si="84">IF($F66=0,MAX(CEILING(L$4/$D66,1),L$6,CEILING(L$5/$E66,1)),MAX(L$6,CEILING(L$3/$F66,1)))</f>
        <v>4</v>
      </c>
      <c r="M65" s="13">
        <f t="shared" ref="M65" si="85">IF($F66=0,MAX(CEILING(M$4/$D66,1),M$6,CEILING(M$5/$E66,1)),MAX(M$6,CEILING(M$3/$F66,1)))</f>
        <v>3</v>
      </c>
      <c r="N65" s="13">
        <f t="shared" ref="N65" si="86">IF($F66=0,MAX(CEILING(N$4/$D66,1),N$6,CEILING(N$5/$E66,1)),MAX(N$6,CEILING(N$3/$F66,1)))</f>
        <v>6</v>
      </c>
      <c r="O65" s="13">
        <f t="shared" ref="O65" si="87">IF($F66=0,MAX(CEILING(O$4/$D66,1),O$6,CEILING(O$5/$E66,1)),MAX(O$6,CEILING(O$3/$F66,1)))</f>
        <v>4</v>
      </c>
      <c r="P65" s="23">
        <f t="shared" ref="P65" si="88">IF($F66=0,MAX(CEILING(P$4/$D66,1),P$6,CEILING(P$5/$E66,1)),MAX(P$6,CEILING(P$3/$F66,1)))</f>
        <v>8</v>
      </c>
    </row>
    <row r="66" spans="1:17" ht="32.25" customHeight="1">
      <c r="A66" s="16" t="s">
        <v>36</v>
      </c>
      <c r="B66" s="16" t="s">
        <v>37</v>
      </c>
      <c r="C66" s="9">
        <v>800</v>
      </c>
      <c r="D66" s="9">
        <v>89000</v>
      </c>
      <c r="E66" s="9">
        <v>40000</v>
      </c>
      <c r="F66" s="9">
        <v>0</v>
      </c>
      <c r="G66" s="9">
        <v>456</v>
      </c>
      <c r="H66" s="9">
        <v>3.8</v>
      </c>
      <c r="I66" s="11"/>
      <c r="J66" s="12" t="s">
        <v>26</v>
      </c>
      <c r="K66" s="17">
        <f>MAX($K$6,CEILING($B$4/C66,1))</f>
        <v>50</v>
      </c>
      <c r="L66" s="13">
        <f>MAX($L$6,CEILING(2*$B$4/C66,2))</f>
        <v>100</v>
      </c>
      <c r="M66" s="13">
        <f>MAX($M$6,CEILING(1+$B$4/C66,1))</f>
        <v>51</v>
      </c>
      <c r="N66" s="13">
        <f>MAX($N$6,CEILING(2*(1+$B$4/C66),2))</f>
        <v>102</v>
      </c>
      <c r="O66" s="13">
        <f>MAX($O$6,CEILING(2+$B$4/C66,1))</f>
        <v>52</v>
      </c>
      <c r="P66" s="23">
        <f>MAX($P$6,CEILING(2*(2+$B$4/C66),2))</f>
        <v>104</v>
      </c>
    </row>
    <row r="67" spans="1:17" ht="20.25" customHeight="1">
      <c r="A67" s="11"/>
      <c r="B67" s="11"/>
      <c r="C67" s="11"/>
      <c r="D67" s="11"/>
      <c r="E67" s="11"/>
      <c r="F67" s="11"/>
      <c r="G67" s="11"/>
      <c r="H67" s="11"/>
      <c r="I67" s="11"/>
      <c r="J67" s="12" t="s">
        <v>27</v>
      </c>
      <c r="K67" s="13">
        <f t="shared" ref="K67:P67" si="89">MAX(K65,K66)</f>
        <v>50</v>
      </c>
      <c r="L67" s="13">
        <f t="shared" si="89"/>
        <v>100</v>
      </c>
      <c r="M67" s="13">
        <f t="shared" si="89"/>
        <v>51</v>
      </c>
      <c r="N67" s="13">
        <f t="shared" si="89"/>
        <v>102</v>
      </c>
      <c r="O67" s="13">
        <f t="shared" si="89"/>
        <v>52</v>
      </c>
      <c r="P67" s="23">
        <f t="shared" si="89"/>
        <v>104</v>
      </c>
    </row>
    <row r="68" spans="1:17" ht="32.25" customHeight="1">
      <c r="A68" s="11"/>
      <c r="B68" s="11"/>
      <c r="C68" s="11"/>
      <c r="D68" s="11"/>
      <c r="E68" s="11"/>
      <c r="F68" s="11"/>
      <c r="G68" s="11"/>
      <c r="H68" s="11"/>
      <c r="I68" s="11"/>
      <c r="J68" s="12" t="s">
        <v>28</v>
      </c>
      <c r="K68" s="13">
        <f>K67*$C66</f>
        <v>40000</v>
      </c>
      <c r="L68" s="13">
        <f t="shared" ref="L68" si="90">L67*$C66</f>
        <v>80000</v>
      </c>
      <c r="M68" s="13">
        <f t="shared" ref="M68" si="91">M67*$C66</f>
        <v>40800</v>
      </c>
      <c r="N68" s="13">
        <f t="shared" ref="N68" si="92">N67*$C66</f>
        <v>81600</v>
      </c>
      <c r="O68" s="13">
        <f t="shared" ref="O68" si="93">O67*$C66</f>
        <v>41600</v>
      </c>
      <c r="P68" s="23">
        <f t="shared" ref="P68" si="94">P67*$C66</f>
        <v>83200</v>
      </c>
    </row>
    <row r="69" spans="1:17" ht="20.25" customHeight="1">
      <c r="A69" s="11"/>
      <c r="B69" s="11"/>
      <c r="C69" s="11"/>
      <c r="D69" s="11"/>
      <c r="E69" s="11"/>
      <c r="F69" s="11"/>
      <c r="G69" s="11"/>
      <c r="H69" s="11"/>
      <c r="I69" s="11"/>
      <c r="J69" s="12" t="s">
        <v>22</v>
      </c>
      <c r="K69" s="13">
        <f t="shared" ref="K69:P69" si="95">$H66*K67</f>
        <v>190</v>
      </c>
      <c r="L69" s="13">
        <f t="shared" si="95"/>
        <v>380</v>
      </c>
      <c r="M69" s="13">
        <f t="shared" si="95"/>
        <v>193.79999999999998</v>
      </c>
      <c r="N69" s="13">
        <f t="shared" si="95"/>
        <v>387.59999999999997</v>
      </c>
      <c r="O69" s="13">
        <f t="shared" si="95"/>
        <v>197.6</v>
      </c>
      <c r="P69" s="23">
        <f t="shared" si="95"/>
        <v>395.2</v>
      </c>
    </row>
    <row r="70" spans="1:17" ht="20.25" customHeight="1">
      <c r="A70" s="11"/>
      <c r="B70" s="11"/>
      <c r="C70" s="11"/>
      <c r="D70" s="11"/>
      <c r="E70" s="11"/>
      <c r="F70" s="11"/>
      <c r="G70" s="11"/>
      <c r="H70" s="11"/>
      <c r="I70" s="11"/>
      <c r="J70" s="12" t="s">
        <v>29</v>
      </c>
      <c r="K70" s="13">
        <f t="shared" ref="K70:P70" si="96">$G66*K67</f>
        <v>22800</v>
      </c>
      <c r="L70" s="13">
        <f t="shared" si="96"/>
        <v>45600</v>
      </c>
      <c r="M70" s="13">
        <f t="shared" si="96"/>
        <v>23256</v>
      </c>
      <c r="N70" s="13">
        <f t="shared" si="96"/>
        <v>46512</v>
      </c>
      <c r="O70" s="13">
        <f t="shared" si="96"/>
        <v>23712</v>
      </c>
      <c r="P70" s="23">
        <f t="shared" si="96"/>
        <v>47424</v>
      </c>
    </row>
    <row r="71" spans="1:17" ht="20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24"/>
      <c r="Q71" s="20"/>
    </row>
    <row r="72" spans="1:17" ht="21.25" customHeight="1">
      <c r="A72" s="27" t="s">
        <v>40</v>
      </c>
      <c r="B72" s="28"/>
      <c r="C72" s="28"/>
      <c r="D72" s="28"/>
      <c r="E72" s="28"/>
      <c r="F72" s="28"/>
      <c r="G72" s="28"/>
      <c r="H72" s="28"/>
      <c r="I72" s="11"/>
      <c r="J72" s="11"/>
      <c r="K72" s="11"/>
      <c r="L72" s="11"/>
      <c r="M72" s="11"/>
      <c r="N72" s="11"/>
      <c r="O72" s="11"/>
      <c r="P72" s="24"/>
      <c r="Q72" s="20"/>
    </row>
    <row r="73" spans="1:17" ht="32.25" customHeight="1">
      <c r="A73" s="8" t="s">
        <v>15</v>
      </c>
      <c r="B73" s="8" t="s">
        <v>16</v>
      </c>
      <c r="C73" s="8" t="s">
        <v>17</v>
      </c>
      <c r="D73" s="8" t="s">
        <v>18</v>
      </c>
      <c r="E73" s="8" t="s">
        <v>19</v>
      </c>
      <c r="F73" s="8" t="s">
        <v>20</v>
      </c>
      <c r="G73" s="8" t="s">
        <v>21</v>
      </c>
      <c r="H73" s="8" t="s">
        <v>22</v>
      </c>
      <c r="I73" s="11"/>
      <c r="J73" s="12" t="s">
        <v>23</v>
      </c>
      <c r="K73" s="13">
        <f>IF($F74=0,MAX(CEILING(K$4/$D74,1),K$6,CEILING(K$5/$E74,1)),MAX(K$6,CEILING(K$3/$F74,1)))</f>
        <v>2</v>
      </c>
      <c r="L73" s="13">
        <f t="shared" ref="L73" si="97">IF($F74=0,MAX(CEILING(L$4/$D74,1),L$6,CEILING(L$5/$E74,1)),MAX(L$6,CEILING(L$3/$F74,1)))</f>
        <v>4</v>
      </c>
      <c r="M73" s="13">
        <f t="shared" ref="M73" si="98">IF($F74=0,MAX(CEILING(M$4/$D74,1),M$6,CEILING(M$5/$E74,1)),MAX(M$6,CEILING(M$3/$F74,1)))</f>
        <v>3</v>
      </c>
      <c r="N73" s="13">
        <f t="shared" ref="N73" si="99">IF($F74=0,MAX(CEILING(N$4/$D74,1),N$6,CEILING(N$5/$E74,1)),MAX(N$6,CEILING(N$3/$F74,1)))</f>
        <v>6</v>
      </c>
      <c r="O73" s="13">
        <f t="shared" ref="O73" si="100">IF($F74=0,MAX(CEILING(O$4/$D74,1),O$6,CEILING(O$5/$E74,1)),MAX(O$6,CEILING(O$3/$F74,1)))</f>
        <v>4</v>
      </c>
      <c r="P73" s="23">
        <f t="shared" ref="P73" si="101">IF($F74=0,MAX(CEILING(P$4/$D74,1),P$6,CEILING(P$5/$E74,1)),MAX(P$6,CEILING(P$3/$F74,1)))</f>
        <v>8</v>
      </c>
    </row>
    <row r="74" spans="1:17" ht="32.25" customHeight="1">
      <c r="A74" s="16" t="s">
        <v>36</v>
      </c>
      <c r="B74" s="16" t="s">
        <v>37</v>
      </c>
      <c r="C74" s="9">
        <v>1920</v>
      </c>
      <c r="D74" s="9">
        <v>99000</v>
      </c>
      <c r="E74" s="9">
        <v>18000</v>
      </c>
      <c r="F74" s="9">
        <v>0</v>
      </c>
      <c r="G74" s="9">
        <v>1310</v>
      </c>
      <c r="H74" s="9">
        <v>3.5</v>
      </c>
      <c r="I74" s="11"/>
      <c r="J74" s="12" t="s">
        <v>26</v>
      </c>
      <c r="K74" s="17">
        <f>MAX($K$6,CEILING($B$4/C74,1))</f>
        <v>21</v>
      </c>
      <c r="L74" s="13">
        <f>MAX($L$6,CEILING(2*$B$4/C74,2))</f>
        <v>42</v>
      </c>
      <c r="M74" s="13">
        <f>MAX($M$6,CEILING(1+$B$4/C74,1))</f>
        <v>22</v>
      </c>
      <c r="N74" s="13">
        <f>MAX($N$6,CEILING(2*(1+$B$4/C74),2))</f>
        <v>44</v>
      </c>
      <c r="O74" s="13">
        <f>MAX($O$6,CEILING(2+$B$4/C74,1))</f>
        <v>23</v>
      </c>
      <c r="P74" s="23">
        <f>MAX($P$6,CEILING(2*(2+$B$4/C74),2))</f>
        <v>46</v>
      </c>
    </row>
    <row r="75" spans="1:17" ht="20.25" customHeight="1">
      <c r="A75" s="11"/>
      <c r="B75" s="11"/>
      <c r="C75" s="11"/>
      <c r="D75" s="11"/>
      <c r="E75" s="11"/>
      <c r="F75" s="11"/>
      <c r="G75" s="11"/>
      <c r="H75" s="11"/>
      <c r="I75" s="11"/>
      <c r="J75" s="12" t="s">
        <v>27</v>
      </c>
      <c r="K75" s="13">
        <f t="shared" ref="K75:P75" si="102">MAX(K73,K74)</f>
        <v>21</v>
      </c>
      <c r="L75" s="13">
        <f t="shared" si="102"/>
        <v>42</v>
      </c>
      <c r="M75" s="13">
        <f t="shared" si="102"/>
        <v>22</v>
      </c>
      <c r="N75" s="13">
        <f t="shared" si="102"/>
        <v>44</v>
      </c>
      <c r="O75" s="13">
        <f t="shared" si="102"/>
        <v>23</v>
      </c>
      <c r="P75" s="23">
        <f t="shared" si="102"/>
        <v>46</v>
      </c>
    </row>
    <row r="76" spans="1:17" ht="32.25" customHeight="1">
      <c r="A76" s="11"/>
      <c r="B76" s="11"/>
      <c r="C76" s="11"/>
      <c r="D76" s="11"/>
      <c r="E76" s="11"/>
      <c r="F76" s="11"/>
      <c r="G76" s="11"/>
      <c r="H76" s="11"/>
      <c r="I76" s="11"/>
      <c r="J76" s="12" t="s">
        <v>28</v>
      </c>
      <c r="K76" s="13">
        <f>K75*$C74</f>
        <v>40320</v>
      </c>
      <c r="L76" s="13">
        <f t="shared" ref="L76" si="103">L75*$C74</f>
        <v>80640</v>
      </c>
      <c r="M76" s="13">
        <f t="shared" ref="M76" si="104">M75*$C74</f>
        <v>42240</v>
      </c>
      <c r="N76" s="13">
        <f t="shared" ref="N76" si="105">N75*$C74</f>
        <v>84480</v>
      </c>
      <c r="O76" s="13">
        <f t="shared" ref="O76" si="106">O75*$C74</f>
        <v>44160</v>
      </c>
      <c r="P76" s="23">
        <f t="shared" ref="P76" si="107">P75*$C74</f>
        <v>88320</v>
      </c>
    </row>
    <row r="77" spans="1:17" ht="20.25" customHeight="1">
      <c r="A77" s="11"/>
      <c r="B77" s="11"/>
      <c r="C77" s="11"/>
      <c r="D77" s="11"/>
      <c r="E77" s="11"/>
      <c r="F77" s="11"/>
      <c r="G77" s="11"/>
      <c r="H77" s="11"/>
      <c r="I77" s="11"/>
      <c r="J77" s="12" t="s">
        <v>22</v>
      </c>
      <c r="K77" s="13">
        <f t="shared" ref="K77:P77" si="108">$H74*K75</f>
        <v>73.5</v>
      </c>
      <c r="L77" s="13">
        <f t="shared" si="108"/>
        <v>147</v>
      </c>
      <c r="M77" s="13">
        <f t="shared" si="108"/>
        <v>77</v>
      </c>
      <c r="N77" s="13">
        <f t="shared" si="108"/>
        <v>154</v>
      </c>
      <c r="O77" s="13">
        <f t="shared" si="108"/>
        <v>80.5</v>
      </c>
      <c r="P77" s="23">
        <f t="shared" si="108"/>
        <v>161</v>
      </c>
    </row>
    <row r="78" spans="1:17" ht="20.25" customHeight="1">
      <c r="A78" s="11"/>
      <c r="B78" s="11"/>
      <c r="C78" s="11"/>
      <c r="D78" s="11"/>
      <c r="E78" s="11"/>
      <c r="F78" s="11"/>
      <c r="G78" s="11"/>
      <c r="H78" s="11"/>
      <c r="I78" s="11"/>
      <c r="J78" s="12" t="s">
        <v>29</v>
      </c>
      <c r="K78" s="13">
        <f t="shared" ref="K78:P78" si="109">$G74*K75</f>
        <v>27510</v>
      </c>
      <c r="L78" s="13">
        <f t="shared" si="109"/>
        <v>55020</v>
      </c>
      <c r="M78" s="13">
        <f t="shared" si="109"/>
        <v>28820</v>
      </c>
      <c r="N78" s="13">
        <f t="shared" si="109"/>
        <v>57640</v>
      </c>
      <c r="O78" s="13">
        <f t="shared" si="109"/>
        <v>30130</v>
      </c>
      <c r="P78" s="23">
        <f t="shared" si="109"/>
        <v>60260</v>
      </c>
    </row>
    <row r="79" spans="1:17" ht="20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24"/>
      <c r="Q79" s="20"/>
    </row>
    <row r="80" spans="1:17" ht="21.25" customHeight="1">
      <c r="A80" s="27" t="s">
        <v>41</v>
      </c>
      <c r="B80" s="28"/>
      <c r="C80" s="28"/>
      <c r="D80" s="28"/>
      <c r="E80" s="28"/>
      <c r="F80" s="28"/>
      <c r="G80" s="28"/>
      <c r="H80" s="28"/>
      <c r="I80" s="11"/>
      <c r="J80" s="11"/>
      <c r="K80" s="11"/>
      <c r="L80" s="11"/>
      <c r="M80" s="11"/>
      <c r="N80" s="11"/>
      <c r="O80" s="11"/>
      <c r="P80" s="24"/>
      <c r="Q80" s="20"/>
    </row>
    <row r="81" spans="1:17" ht="32.25" customHeight="1">
      <c r="A81" s="8" t="s">
        <v>15</v>
      </c>
      <c r="B81" s="8" t="s">
        <v>16</v>
      </c>
      <c r="C81" s="8" t="s">
        <v>17</v>
      </c>
      <c r="D81" s="8" t="s">
        <v>18</v>
      </c>
      <c r="E81" s="8" t="s">
        <v>19</v>
      </c>
      <c r="F81" s="8" t="s">
        <v>20</v>
      </c>
      <c r="G81" s="8" t="s">
        <v>21</v>
      </c>
      <c r="H81" s="8" t="s">
        <v>22</v>
      </c>
      <c r="I81" s="11"/>
      <c r="J81" s="12" t="s">
        <v>23</v>
      </c>
      <c r="K81" s="13">
        <f>IF($F82=0,MAX(CEILING(K$4/$D82,1),K$6,CEILING(K$5/$E82,1)),MAX(K$6,CEILING(K$3/$F82,1)))</f>
        <v>2</v>
      </c>
      <c r="L81" s="13">
        <f t="shared" ref="L81" si="110">IF($F82=0,MAX(CEILING(L$4/$D82,1),L$6,CEILING(L$5/$E82,1)),MAX(L$6,CEILING(L$3/$F82,1)))</f>
        <v>4</v>
      </c>
      <c r="M81" s="13">
        <f t="shared" ref="M81" si="111">IF($F82=0,MAX(CEILING(M$4/$D82,1),M$6,CEILING(M$5/$E82,1)),MAX(M$6,CEILING(M$3/$F82,1)))</f>
        <v>3</v>
      </c>
      <c r="N81" s="13">
        <f t="shared" ref="N81" si="112">IF($F82=0,MAX(CEILING(N$4/$D82,1),N$6,CEILING(N$5/$E82,1)),MAX(N$6,CEILING(N$3/$F82,1)))</f>
        <v>6</v>
      </c>
      <c r="O81" s="13">
        <f t="shared" ref="O81" si="113">IF($F82=0,MAX(CEILING(O$4/$D82,1),O$6,CEILING(O$5/$E82,1)),MAX(O$6,CEILING(O$3/$F82,1)))</f>
        <v>4</v>
      </c>
      <c r="P81" s="23">
        <f t="shared" ref="P81" si="114">IF($F82=0,MAX(CEILING(P$4/$D82,1),P$6,CEILING(P$5/$E82,1)),MAX(P$6,CEILING(P$3/$F82,1)))</f>
        <v>8</v>
      </c>
    </row>
    <row r="82" spans="1:17" ht="32.25" customHeight="1">
      <c r="A82" s="16" t="s">
        <v>36</v>
      </c>
      <c r="B82" s="16" t="s">
        <v>37</v>
      </c>
      <c r="C82" s="9">
        <v>3840</v>
      </c>
      <c r="D82" s="9">
        <v>99000</v>
      </c>
      <c r="E82" s="9">
        <v>18000</v>
      </c>
      <c r="F82" s="9">
        <v>0</v>
      </c>
      <c r="G82" s="9">
        <v>2737</v>
      </c>
      <c r="H82" s="9">
        <v>4.0999999999999996</v>
      </c>
      <c r="I82" s="11"/>
      <c r="J82" s="12" t="s">
        <v>26</v>
      </c>
      <c r="K82" s="17">
        <f>MAX($K$6,CEILING($B$4/C82,1))</f>
        <v>11</v>
      </c>
      <c r="L82" s="13">
        <f>MAX($L$6,CEILING(2*$B$4/C82,2))</f>
        <v>22</v>
      </c>
      <c r="M82" s="13">
        <f>MAX($M$6,CEILING(1+$B$4/C82,1))</f>
        <v>12</v>
      </c>
      <c r="N82" s="13">
        <f>MAX($N$6,CEILING(2*(1+$B$4/C82),2))</f>
        <v>24</v>
      </c>
      <c r="O82" s="13">
        <f>MAX($O$6,CEILING(2+$B$4/C82,1))</f>
        <v>13</v>
      </c>
      <c r="P82" s="23">
        <f>MAX($P$6,CEILING(2*(2+$B$4/C82),2))</f>
        <v>26</v>
      </c>
    </row>
    <row r="83" spans="1:17" ht="20.25" customHeight="1">
      <c r="A83" s="11"/>
      <c r="B83" s="11"/>
      <c r="C83" s="11"/>
      <c r="D83" s="11"/>
      <c r="E83" s="11"/>
      <c r="F83" s="11"/>
      <c r="G83" s="11"/>
      <c r="H83" s="11"/>
      <c r="I83" s="11"/>
      <c r="J83" s="12" t="s">
        <v>27</v>
      </c>
      <c r="K83" s="13">
        <f t="shared" ref="K83:P83" si="115">MAX(K81,K82)</f>
        <v>11</v>
      </c>
      <c r="L83" s="13">
        <f t="shared" si="115"/>
        <v>22</v>
      </c>
      <c r="M83" s="13">
        <f t="shared" si="115"/>
        <v>12</v>
      </c>
      <c r="N83" s="13">
        <f t="shared" si="115"/>
        <v>24</v>
      </c>
      <c r="O83" s="13">
        <f t="shared" si="115"/>
        <v>13</v>
      </c>
      <c r="P83" s="23">
        <f t="shared" si="115"/>
        <v>26</v>
      </c>
    </row>
    <row r="84" spans="1:17" ht="32.25" customHeight="1">
      <c r="A84" s="11"/>
      <c r="B84" s="11"/>
      <c r="C84" s="11"/>
      <c r="D84" s="11"/>
      <c r="E84" s="11"/>
      <c r="F84" s="11"/>
      <c r="G84" s="11"/>
      <c r="H84" s="11"/>
      <c r="I84" s="11"/>
      <c r="J84" s="12" t="s">
        <v>28</v>
      </c>
      <c r="K84" s="13">
        <f>K83*$C82</f>
        <v>42240</v>
      </c>
      <c r="L84" s="13">
        <f t="shared" ref="L84" si="116">L83*$C82</f>
        <v>84480</v>
      </c>
      <c r="M84" s="13">
        <f t="shared" ref="M84" si="117">M83*$C82</f>
        <v>46080</v>
      </c>
      <c r="N84" s="13">
        <f t="shared" ref="N84" si="118">N83*$C82</f>
        <v>92160</v>
      </c>
      <c r="O84" s="13">
        <f t="shared" ref="O84" si="119">O83*$C82</f>
        <v>49920</v>
      </c>
      <c r="P84" s="23">
        <f t="shared" ref="P84" si="120">P83*$C82</f>
        <v>99840</v>
      </c>
    </row>
    <row r="85" spans="1:17" ht="20.25" customHeight="1">
      <c r="A85" s="11"/>
      <c r="B85" s="11"/>
      <c r="C85" s="11"/>
      <c r="D85" s="11"/>
      <c r="E85" s="11"/>
      <c r="F85" s="11"/>
      <c r="G85" s="11"/>
      <c r="H85" s="11"/>
      <c r="I85" s="11"/>
      <c r="J85" s="12" t="s">
        <v>22</v>
      </c>
      <c r="K85" s="13">
        <f t="shared" ref="K85:P85" si="121">$H82*K83</f>
        <v>45.099999999999994</v>
      </c>
      <c r="L85" s="13">
        <f t="shared" si="121"/>
        <v>90.199999999999989</v>
      </c>
      <c r="M85" s="13">
        <f t="shared" si="121"/>
        <v>49.199999999999996</v>
      </c>
      <c r="N85" s="13">
        <f t="shared" si="121"/>
        <v>98.399999999999991</v>
      </c>
      <c r="O85" s="13">
        <f t="shared" si="121"/>
        <v>53.3</v>
      </c>
      <c r="P85" s="23">
        <f t="shared" si="121"/>
        <v>106.6</v>
      </c>
    </row>
    <row r="86" spans="1:17" ht="20.25" customHeight="1">
      <c r="A86" s="11"/>
      <c r="B86" s="11"/>
      <c r="C86" s="11"/>
      <c r="D86" s="11"/>
      <c r="E86" s="11"/>
      <c r="F86" s="11"/>
      <c r="G86" s="11"/>
      <c r="H86" s="11"/>
      <c r="I86" s="11"/>
      <c r="J86" s="12" t="s">
        <v>29</v>
      </c>
      <c r="K86" s="13">
        <f t="shared" ref="K86:P86" si="122">$G82*K83</f>
        <v>30107</v>
      </c>
      <c r="L86" s="13">
        <f t="shared" si="122"/>
        <v>60214</v>
      </c>
      <c r="M86" s="13">
        <f t="shared" si="122"/>
        <v>32844</v>
      </c>
      <c r="N86" s="13">
        <f t="shared" si="122"/>
        <v>65688</v>
      </c>
      <c r="O86" s="13">
        <f t="shared" si="122"/>
        <v>35581</v>
      </c>
      <c r="P86" s="23">
        <f t="shared" si="122"/>
        <v>71162</v>
      </c>
    </row>
    <row r="87" spans="1:17" ht="20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24"/>
      <c r="Q87" s="20"/>
    </row>
  </sheetData>
  <mergeCells count="12">
    <mergeCell ref="A80:H80"/>
    <mergeCell ref="A72:H72"/>
    <mergeCell ref="A56:H56"/>
    <mergeCell ref="A48:H48"/>
    <mergeCell ref="A32:H32"/>
    <mergeCell ref="A64:H64"/>
    <mergeCell ref="K2:P2"/>
    <mergeCell ref="A24:H24"/>
    <mergeCell ref="A16:H16"/>
    <mergeCell ref="A8:H8"/>
    <mergeCell ref="A40:H40"/>
    <mergeCell ref="A7:H7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López</cp:lastModifiedBy>
  <dcterms:modified xsi:type="dcterms:W3CDTF">2017-02-27T08:01:00Z</dcterms:modified>
</cp:coreProperties>
</file>