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" sheetId="1" r:id="rId3"/>
    <sheet state="visible" name="Cabina de discos" sheetId="2" r:id="rId4"/>
    <sheet state="visible" name="SAN" sheetId="3" r:id="rId5"/>
    <sheet state="visible" name="Electricitat" sheetId="4" r:id="rId6"/>
    <sheet state="visible" name="Infraestructura" sheetId="5" r:id="rId7"/>
    <sheet state="visible" name="Backup" sheetId="6" r:id="rId8"/>
    <sheet state="visible" name="Bandwidth provider" sheetId="7" r:id="rId9"/>
  </sheets>
  <definedNames/>
  <calcPr/>
</workbook>
</file>

<file path=xl/sharedStrings.xml><?xml version="1.0" encoding="utf-8"?>
<sst xmlns="http://schemas.openxmlformats.org/spreadsheetml/2006/main" count="328" uniqueCount="239">
  <si>
    <t>Individual</t>
  </si>
  <si>
    <t>Total</t>
  </si>
  <si>
    <t>INFORMACIÓ A INTRODUIR</t>
  </si>
  <si>
    <t>ACTIU?</t>
  </si>
  <si>
    <t>Pels càlculs</t>
  </si>
  <si>
    <t>Quantitat</t>
  </si>
  <si>
    <t>Preu</t>
  </si>
  <si>
    <t>Consum</t>
  </si>
  <si>
    <t>Cost</t>
  </si>
  <si>
    <t>Número de servers</t>
  </si>
  <si>
    <t>Discos</t>
  </si>
  <si>
    <t>SPF</t>
  </si>
  <si>
    <t>És principal?</t>
  </si>
  <si>
    <t>Cabina 2?</t>
  </si>
  <si>
    <t>Cabina 3?</t>
  </si>
  <si>
    <t># pral</t>
  </si>
  <si>
    <t>#2</t>
  </si>
  <si>
    <t>#3</t>
  </si>
  <si>
    <t>Consum Total</t>
  </si>
  <si>
    <t>Preu Total</t>
  </si>
  <si>
    <t>Model 1</t>
  </si>
  <si>
    <t>Us per rack</t>
  </si>
  <si>
    <t>TAULA 1: ESCENARI ORIGINAL: EXTRET DE L’ENUNCIAT. OMPLIU EL QUE HI HA EN GRIS.</t>
  </si>
  <si>
    <t>Switch rack</t>
  </si>
  <si>
    <t>Número de racks d’emmagatzematge</t>
  </si>
  <si>
    <t>Cablejat</t>
  </si>
  <si>
    <t>OPCIÓ ESCOLLIDA</t>
  </si>
  <si>
    <t>Model 2</t>
  </si>
  <si>
    <t>HBA 8Gbps</t>
  </si>
  <si>
    <t>TAULA 3: OPEX</t>
  </si>
  <si>
    <t>Switch core 8GBPS</t>
  </si>
  <si>
    <t>anual</t>
  </si>
  <si>
    <t>HBA 16Gbps</t>
  </si>
  <si>
    <t>Model 3</t>
  </si>
  <si>
    <t>cinc anys</t>
  </si>
  <si>
    <t>Switch core 16GBPS</t>
  </si>
  <si>
    <t>Nombre de Us</t>
  </si>
  <si>
    <t>HBA 32Gbps</t>
  </si>
  <si>
    <t>Switch core 32GBPS</t>
  </si>
  <si>
    <t>Model 4</t>
  </si>
  <si>
    <t>RESULTATS</t>
  </si>
  <si>
    <t>Consum energètic (hardware només)</t>
  </si>
  <si>
    <t>Total=</t>
  </si>
  <si>
    <t>Model 5</t>
  </si>
  <si>
    <t>Model 6</t>
  </si>
  <si>
    <t>Alçada Rack (en Us)</t>
  </si>
  <si>
    <t>Empresa de Housing escollida</t>
  </si>
  <si>
    <t>Cost económic</t>
  </si>
  <si>
    <t>Model 7</t>
  </si>
  <si>
    <t>Model 8</t>
  </si>
  <si>
    <t>Model 9</t>
  </si>
  <si>
    <t>Racks=</t>
  </si>
  <si>
    <t>Cost Housing (inclou electricitat addicional)</t>
  </si>
  <si>
    <t>Model 10</t>
  </si>
  <si>
    <t>Cabines</t>
  </si>
  <si>
    <t>#U per cabina</t>
  </si>
  <si>
    <t>#U Total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</si>
  <si>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</si>
  <si>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</si>
  <si>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</si>
  <si>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</si>
  <si>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</si>
  <si>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</si>
  <si>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</si>
  <si>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</si>
  <si>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</si>
  <si>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</si>
  <si>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Elements de disc, mirror i backup</t>
  </si>
  <si>
    <t>TOTAL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</si>
  <si>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</si>
  <si>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</si>
  <si>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</si>
  <si>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</si>
  <si>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</si>
  <si>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</si>
  <si>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</si>
  <si>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</si>
  <si>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U’s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</si>
  <si>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</si>
  <si>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</si>
  <si>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</si>
  <si>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</si>
  <si>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</si>
  <si>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</si>
  <si>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</si>
  <si>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</si>
  <si>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</si>
  <si>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</si>
  <si>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</si>
  <si>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</si>
  <si>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</si>
  <si>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</si>
  <si>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</si>
  <si>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</si>
  <si>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</si>
  <si>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</si>
  <si>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</si>
  <si>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</si>
  <si>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</si>
  <si>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</si>
  <si>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</si>
  <si>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INFORMACIÓ PROVINENT D’ALTRES FULLS</t>
  </si>
  <si>
    <t>Informació provinent d’altres fulls</t>
  </si>
  <si>
    <t>Opció 1: containers (Modular Containers S.A.)</t>
  </si>
  <si>
    <t>Mirroring opció 1: Microworks Apure</t>
  </si>
  <si>
    <t>Finals</t>
  </si>
  <si>
    <t>Nombre de Us Total</t>
  </si>
  <si>
    <t>Especificacions</t>
  </si>
  <si>
    <t>Resultats</t>
  </si>
  <si>
    <t>Opció</t>
  </si>
  <si>
    <t>GB a aquest preu</t>
  </si>
  <si>
    <t>Cost anual</t>
  </si>
  <si>
    <t>Cost cinc anys</t>
  </si>
  <si>
    <t>- sistema emmagatzematge</t>
  </si>
  <si>
    <t xml:space="preserve">Racks / container </t>
  </si>
  <si>
    <t>Nombre de containers</t>
  </si>
  <si>
    <t>Preu 1TB (euros per GB i mes)</t>
  </si>
  <si>
    <t>Preu (e/mes)</t>
  </si>
  <si>
    <t>- només màquines</t>
  </si>
  <si>
    <t>Us / Rack</t>
  </si>
  <si>
    <t>OPCIÓ MIRRORING</t>
  </si>
  <si>
    <t>Lloguer containers (e/any)</t>
  </si>
  <si>
    <t>Preu 1-50 TB</t>
  </si>
  <si>
    <t>- backup propi</t>
  </si>
  <si>
    <t>Lloguer d'un container (e/any)</t>
  </si>
  <si>
    <t>Monitorització</t>
  </si>
  <si>
    <t>Codi</t>
  </si>
  <si>
    <t>Cost energia (euros/any)</t>
  </si>
  <si>
    <t>Mida cintes (GB comprimit)</t>
  </si>
  <si>
    <t>Preu Monitorització (e/container)</t>
  </si>
  <si>
    <t>Gestió local backup</t>
  </si>
  <si>
    <t>Preu 51-500 TB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</si>
  <si>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</si>
  <si>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</si>
  <si>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</si>
  <si>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M-A</t>
  </si>
  <si>
    <t>PUE</t>
  </si>
  <si>
    <t>Total any</t>
  </si>
  <si>
    <t>Informació addicional</t>
  </si>
  <si>
    <t>Nombre de racks</t>
  </si>
  <si>
    <t>Preu 501-5000 TB</t>
  </si>
  <si>
    <t>M S3</t>
  </si>
  <si>
    <t>DADES DE CONSUM DELS EQUIPS DE COMPUTACIÓ I COMUNICACIÓ</t>
  </si>
  <si>
    <t>Empresa escollida</t>
  </si>
  <si>
    <t>Opció 2: Colocation tier 2 (CPDs Céspedes S.L.)</t>
  </si>
  <si>
    <t>Preu &gt;5000 TB TB</t>
  </si>
  <si>
    <t>Càlcul aproximat de factura, per una línia d'alta tensió (20kV) en mode tarifari 6.1A</t>
  </si>
  <si>
    <t>Preu (euros/rack)</t>
  </si>
  <si>
    <t>Lloguer espai (e/any)</t>
  </si>
  <si>
    <t>Monitorització (e/rack)</t>
  </si>
  <si>
    <t>Electricitat addicional (40%)</t>
  </si>
  <si>
    <t>Sense</t>
  </si>
  <si>
    <t>Períodes</t>
  </si>
  <si>
    <t>Amb mirror? (0=no; 1 =si)</t>
  </si>
  <si>
    <t>Mirroring opció 2: Monsoon S3</t>
  </si>
  <si>
    <t>Backup on-site? (0=no; 1 =si)</t>
  </si>
  <si>
    <t>P1</t>
  </si>
  <si>
    <t>Opció 3: Colocation tier 3 (Mordor)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</si>
  <si>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</si>
  <si>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</si>
  <si>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</si>
  <si>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</si>
  <si>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</si>
  <si>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</si>
  <si>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</si>
  <si>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Electricitat addicional (15%)</t>
  </si>
  <si>
    <t>Week Days</t>
  </si>
  <si>
    <t>Weekend Days</t>
  </si>
  <si>
    <t>Days</t>
  </si>
  <si>
    <t>Total Hours</t>
  </si>
  <si>
    <t>Cost €/kWh consumit</t>
  </si>
  <si>
    <t>January</t>
  </si>
  <si>
    <t>Backup</t>
  </si>
  <si>
    <t>february</t>
  </si>
  <si>
    <t>Sobreprovisionament de potència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</si>
  <si>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</si>
  <si>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</si>
  <si>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</si>
  <si>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</si>
  <si>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</si>
  <si>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</si>
  <si>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 xml:space="preserve">  -&gt; Contracto potència per sobre del màxim consum esperat per seguretat</t>
  </si>
  <si>
    <t>March</t>
  </si>
  <si>
    <t>kW consumits per computació i comunicació</t>
  </si>
  <si>
    <t>Auxiliar per càlculs</t>
  </si>
  <si>
    <t>Microworks Apure sense mirror</t>
  </si>
  <si>
    <t xml:space="preserve">  -&gt; Potència màxima que espero consumir basat en HW</t>
  </si>
  <si>
    <t>April</t>
  </si>
  <si>
    <t>M-A amb</t>
  </si>
  <si>
    <t>May</t>
  </si>
  <si>
    <t xml:space="preserve">Tarifas vigentes de electricidad a partir del 1 de enero de 2013, publicadas en el BOE de 27 de diciembre de 2012. </t>
  </si>
  <si>
    <t>Monsoon S3 amb mirror</t>
  </si>
  <si>
    <t>June H1</t>
  </si>
  <si>
    <t>M-A sense</t>
  </si>
  <si>
    <t>Monsoon S3 sense mirror</t>
  </si>
  <si>
    <t>June H2</t>
  </si>
  <si>
    <t>M S3 amb</t>
  </si>
  <si>
    <t>Caselles que es modifiquen</t>
  </si>
  <si>
    <t>July</t>
  </si>
  <si>
    <t>August</t>
  </si>
  <si>
    <t>September</t>
  </si>
  <si>
    <t>N. cintes</t>
  </si>
  <si>
    <t>Numero transports any</t>
  </si>
  <si>
    <t>Cost / transport (viatge+personal)</t>
  </si>
  <si>
    <t>cost mant. copies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</si>
  <si>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</si>
  <si>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</si>
  <si>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</si>
  <si>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</si>
  <si>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</si>
  <si>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M S3 sense</t>
  </si>
  <si>
    <t>Sobrecost</t>
  </si>
  <si>
    <t>October</t>
  </si>
  <si>
    <t>Take the tapes and run</t>
  </si>
  <si>
    <t>TTTAR</t>
  </si>
  <si>
    <t>Robot de cintes</t>
  </si>
  <si>
    <t>N. Cintes</t>
  </si>
  <si>
    <t>Cost robot</t>
  </si>
  <si>
    <t>cost cintes</t>
  </si>
  <si>
    <t>November</t>
  </si>
  <si>
    <t>Consum robot</t>
  </si>
  <si>
    <t>U’s Robot</t>
  </si>
  <si>
    <t>U’s total</t>
  </si>
  <si>
    <t>Consum total</t>
  </si>
  <si>
    <t>December</t>
  </si>
  <si>
    <t>Backup on-site</t>
  </si>
  <si>
    <t>Month / Hours in period per month</t>
  </si>
  <si>
    <t>Weekend (P6)</t>
  </si>
  <si>
    <t>Yearly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</si>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</sst>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€&quot;#,##0.00"/>
    <numFmt numFmtId="165" formatCode="0.##&quot;W&quot;"/>
    <numFmt numFmtId="166" formatCode="0&quot;U&quot;"/>
    <numFmt numFmtId="167" formatCode="[$€-2]\ 0.00"/>
    <numFmt numFmtId="168" formatCode="#.##&quot;kW&quot;"/>
    <numFmt numFmtId="169" formatCode="#,##0.00&quot; €&quot;"/>
    <numFmt numFmtId="170" formatCode="&quot;€&quot;#,##0.000000"/>
    <numFmt numFmtId="171" formatCode="0&quot;kW&quot;"/>
    <numFmt numFmtId="172" formatCode="0&quot;Mbps&quot;"/>
  </numFmts>
  <fonts count="20">
    <font>
      <sz val="12.0"/>
      <color rgb="FF000000"/>
      <name val="Calibri"/>
    </font>
    <font/>
    <font>
      <b/>
      <sz val="10.0"/>
      <color rgb="FF000000"/>
      <name val="Helvetica Neue"/>
    </font>
    <font>
      <b/>
      <sz val="12.0"/>
      <color rgb="FF000000"/>
      <name val="Calibri"/>
    </font>
    <font>
      <b/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Liberation sans"/>
    </font>
    <font>
      <sz val="11.0"/>
      <color rgb="FF000000"/>
      <name val="Arial"/>
    </font>
    <font>
      <sz val="12.0"/>
      <color rgb="FF000000"/>
      <name val="Liberation sans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9CE159"/>
        <bgColor rgb="FF9CE159"/>
      </patternFill>
    </fill>
    <fill>
      <patternFill patternType="solid">
        <fgColor rgb="FFFF2C21"/>
        <bgColor rgb="FFFF2C21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FE061"/>
        <bgColor rgb="FFFFE061"/>
      </patternFill>
    </fill>
    <fill>
      <patternFill patternType="solid">
        <fgColor rgb="FFF1D030"/>
        <bgColor rgb="FFF1D030"/>
      </patternFill>
    </fill>
    <fill>
      <patternFill patternType="solid">
        <fgColor rgb="FF0066CC"/>
        <bgColor rgb="FF0066CC"/>
      </patternFill>
    </fill>
    <fill>
      <patternFill patternType="solid">
        <fgColor rgb="FF0099FF"/>
        <bgColor rgb="FF0099FF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DCFF"/>
        <bgColor rgb="FF00DCFF"/>
      </patternFill>
    </fill>
    <fill>
      <patternFill patternType="solid">
        <fgColor rgb="FF00FF00"/>
        <bgColor rgb="FF00FF00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top style="thin">
        <color rgb="FFA5A5A5"/>
      </top>
      <bottom style="thin">
        <color rgb="FFA5A5A5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top style="thin">
        <color rgb="FF000000"/>
      </top>
      <bottom/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top" wrapText="1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top" wrapText="1"/>
    </xf>
    <xf borderId="3" fillId="2" fontId="0" numFmtId="49" xfId="0" applyAlignment="1" applyBorder="1" applyFill="1" applyFont="1" applyNumberForma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top" wrapText="1"/>
    </xf>
    <xf borderId="3" fillId="3" fontId="2" numFmtId="49" xfId="0" applyAlignment="1" applyBorder="1" applyFill="1" applyFont="1" applyNumberFormat="1">
      <alignment horizontal="left" shrinkToFit="0" vertical="top" wrapText="1"/>
    </xf>
    <xf borderId="0" fillId="0" fontId="0" numFmtId="0" xfId="0" applyAlignment="1" applyFont="1">
      <alignment shrinkToFit="0" vertical="bottom" wrapText="0"/>
    </xf>
    <xf borderId="2" fillId="0" fontId="0" numFmtId="49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shrinkToFit="0" vertical="bottom" wrapText="0"/>
    </xf>
    <xf borderId="2" fillId="2" fontId="0" numFmtId="49" xfId="0" applyAlignment="1" applyBorder="1" applyFont="1" applyNumberFormat="1">
      <alignment shrinkToFit="0" vertical="top" wrapText="1"/>
    </xf>
    <xf borderId="1" fillId="0" fontId="3" numFmtId="1" xfId="0" applyAlignment="1" applyBorder="1" applyFont="1" applyNumberFormat="1">
      <alignment shrinkToFit="0" vertical="bottom" wrapText="0"/>
    </xf>
    <xf borderId="5" fillId="0" fontId="0" numFmtId="0" xfId="0" applyAlignment="1" applyBorder="1" applyFont="1">
      <alignment shrinkToFit="0" vertical="top" wrapText="1"/>
    </xf>
    <xf borderId="2" fillId="4" fontId="0" numFmtId="0" xfId="0" applyAlignment="1" applyBorder="1" applyFill="1" applyFont="1">
      <alignment shrinkToFit="0" vertical="top" wrapText="1"/>
    </xf>
    <xf borderId="1" fillId="2" fontId="3" numFmtId="49" xfId="0" applyAlignment="1" applyBorder="1" applyFont="1" applyNumberFormat="1">
      <alignment shrinkToFit="0" vertical="bottom" wrapText="0"/>
    </xf>
    <xf borderId="2" fillId="0" fontId="0" numFmtId="164" xfId="0" applyAlignment="1" applyBorder="1" applyFont="1" applyNumberFormat="1">
      <alignment shrinkToFit="0" vertical="top" wrapText="1"/>
    </xf>
    <xf borderId="1" fillId="0" fontId="0" numFmtId="49" xfId="0" applyAlignment="1" applyBorder="1" applyFont="1" applyNumberFormat="1">
      <alignment shrinkToFit="0" vertical="bottom" wrapText="0"/>
    </xf>
    <xf borderId="2" fillId="0" fontId="0" numFmtId="165" xfId="0" applyAlignment="1" applyBorder="1" applyFont="1" applyNumberFormat="1">
      <alignment shrinkToFit="0" vertical="top" wrapText="1"/>
    </xf>
    <xf borderId="6" fillId="0" fontId="0" numFmtId="0" xfId="0" applyAlignment="1" applyBorder="1" applyFont="1">
      <alignment shrinkToFit="0" vertical="top" wrapText="1"/>
    </xf>
    <xf borderId="2" fillId="4" fontId="0" numFmtId="166" xfId="0" applyAlignment="1" applyBorder="1" applyFont="1" applyNumberFormat="1">
      <alignment shrinkToFit="0" vertical="top" wrapText="1"/>
    </xf>
    <xf borderId="1" fillId="0" fontId="0" numFmtId="165" xfId="0" applyAlignment="1" applyBorder="1" applyFont="1" applyNumberFormat="1">
      <alignment shrinkToFit="0" vertical="bottom" wrapText="0"/>
    </xf>
    <xf borderId="1" fillId="0" fontId="0" numFmtId="164" xfId="0" applyAlignment="1" applyBorder="1" applyFont="1" applyNumberFormat="1">
      <alignment shrinkToFit="0" vertical="bottom" wrapText="0"/>
    </xf>
    <xf borderId="7" fillId="3" fontId="4" numFmtId="49" xfId="0" applyAlignment="1" applyBorder="1" applyFont="1" applyNumberFormat="1">
      <alignment horizontal="left" shrinkToFit="0" vertical="top" wrapText="1"/>
    </xf>
    <xf borderId="8" fillId="0" fontId="1" numFmtId="0" xfId="0" applyAlignment="1" applyBorder="1" applyFont="1">
      <alignment shrinkToFit="0" vertical="top" wrapText="1"/>
    </xf>
    <xf borderId="9" fillId="0" fontId="0" numFmtId="0" xfId="0" applyAlignment="1" applyBorder="1" applyFont="1">
      <alignment shrinkToFit="0" vertical="top" wrapText="1"/>
    </xf>
    <xf borderId="10" fillId="3" fontId="2" numFmtId="49" xfId="0" applyAlignment="1" applyBorder="1" applyFont="1" applyNumberFormat="1">
      <alignment horizontal="left" shrinkToFit="0" vertical="top" wrapText="1"/>
    </xf>
    <xf borderId="11" fillId="2" fontId="0" numFmtId="49" xfId="0" applyAlignment="1" applyBorder="1" applyFont="1" applyNumberFormat="1">
      <alignment shrinkToFit="0" vertical="top" wrapText="1"/>
    </xf>
    <xf borderId="12" fillId="2" fontId="0" numFmtId="49" xfId="0" applyAlignment="1" applyBorder="1" applyFont="1" applyNumberFormat="1">
      <alignment shrinkToFit="0" vertical="top" wrapText="1"/>
    </xf>
    <xf borderId="13" fillId="0" fontId="0" numFmtId="0" xfId="0" applyAlignment="1" applyBorder="1" applyFont="1">
      <alignment shrinkToFit="0" vertical="top" wrapText="1"/>
    </xf>
    <xf borderId="10" fillId="2" fontId="0" numFmtId="49" xfId="0" applyAlignment="1" applyBorder="1" applyFont="1" applyNumberFormat="1">
      <alignment shrinkToFit="0" vertical="top" wrapText="1"/>
    </xf>
    <xf borderId="10" fillId="4" fontId="0" numFmtId="166" xfId="0" applyAlignment="1" applyBorder="1" applyFont="1" applyNumberFormat="1">
      <alignment shrinkToFit="0" vertical="top" wrapText="1"/>
    </xf>
    <xf borderId="14" fillId="0" fontId="0" numFmtId="0" xfId="0" applyAlignment="1" applyBorder="1" applyFont="1">
      <alignment shrinkToFit="0" vertical="top" wrapText="1"/>
    </xf>
    <xf borderId="15" fillId="2" fontId="0" numFmtId="49" xfId="0" applyAlignment="1" applyBorder="1" applyFont="1" applyNumberFormat="1">
      <alignment shrinkToFit="0" vertical="top" wrapText="1"/>
    </xf>
    <xf borderId="3" fillId="0" fontId="0" numFmtId="49" xfId="0" applyAlignment="1" applyBorder="1" applyFont="1" applyNumberFormat="1">
      <alignment horizontal="right" shrinkToFit="0" vertical="top" wrapText="1"/>
    </xf>
    <xf borderId="12" fillId="5" fontId="0" numFmtId="164" xfId="0" applyAlignment="1" applyBorder="1" applyFill="1" applyFont="1" applyNumberFormat="1">
      <alignment shrinkToFit="0" vertical="top" wrapText="1"/>
    </xf>
    <xf borderId="16" fillId="0" fontId="1" numFmtId="0" xfId="0" applyAlignment="1" applyBorder="1" applyFont="1">
      <alignment shrinkToFit="0" vertical="top" wrapText="1"/>
    </xf>
    <xf borderId="2" fillId="6" fontId="0" numFmtId="164" xfId="0" applyAlignment="1" applyBorder="1" applyFill="1" applyFont="1" applyNumberFormat="1">
      <alignment shrinkToFit="0" vertical="top" wrapText="1"/>
    </xf>
    <xf borderId="2" fillId="0" fontId="0" numFmtId="167" xfId="0" applyAlignment="1" applyBorder="1" applyFont="1" applyNumberFormat="1">
      <alignment shrinkToFit="0" vertical="top" wrapText="1"/>
    </xf>
    <xf borderId="12" fillId="5" fontId="0" numFmtId="49" xfId="0" applyAlignment="1" applyBorder="1" applyFont="1" applyNumberFormat="1">
      <alignment horizontal="center" shrinkToFit="0" vertical="top" wrapText="1"/>
    </xf>
    <xf borderId="17" fillId="0" fontId="0" numFmtId="0" xfId="0" applyAlignment="1" applyBorder="1" applyFont="1">
      <alignment shrinkToFit="0" vertical="top" wrapText="1"/>
    </xf>
    <xf borderId="2" fillId="6" fontId="0" numFmtId="168" xfId="0" applyAlignment="1" applyBorder="1" applyFont="1" applyNumberFormat="1">
      <alignment shrinkToFit="0" vertical="top" wrapText="1"/>
    </xf>
    <xf borderId="10" fillId="4" fontId="0" numFmtId="168" xfId="0" applyAlignment="1" applyBorder="1" applyFont="1" applyNumberFormat="1">
      <alignment shrinkToFit="0" vertical="top" wrapText="1"/>
    </xf>
    <xf borderId="18" fillId="5" fontId="0" numFmtId="164" xfId="0" applyAlignment="1" applyBorder="1" applyFont="1" applyNumberFormat="1">
      <alignment shrinkToFit="0" vertical="top" wrapText="1"/>
    </xf>
    <xf borderId="10" fillId="4" fontId="0" numFmtId="9" xfId="0" applyAlignment="1" applyBorder="1" applyFont="1" applyNumberFormat="1">
      <alignment shrinkToFit="0" vertical="top" wrapText="1"/>
    </xf>
    <xf borderId="12" fillId="5" fontId="0" numFmtId="49" xfId="0" applyAlignment="1" applyBorder="1" applyFont="1" applyNumberFormat="1">
      <alignment horizontal="center" shrinkToFit="0" vertical="bottom" wrapText="0"/>
    </xf>
    <xf borderId="19" fillId="0" fontId="0" numFmtId="0" xfId="0" applyAlignment="1" applyBorder="1" applyFont="1">
      <alignment shrinkToFit="0" vertical="bottom" wrapText="0"/>
    </xf>
    <xf borderId="20" fillId="0" fontId="0" numFmtId="0" xfId="0" applyAlignment="1" applyBorder="1" applyFont="1">
      <alignment shrinkToFit="0" vertical="top" wrapText="1"/>
    </xf>
    <xf borderId="10" fillId="4" fontId="0" numFmtId="0" xfId="0" applyAlignment="1" applyBorder="1" applyFont="1">
      <alignment shrinkToFit="0" vertical="top" wrapText="1"/>
    </xf>
    <xf borderId="21" fillId="5" fontId="0" numFmtId="164" xfId="0" applyAlignment="1" applyBorder="1" applyFont="1" applyNumberFormat="1">
      <alignment shrinkToFit="0" vertical="top" wrapText="1"/>
    </xf>
    <xf borderId="10" fillId="4" fontId="0" numFmtId="164" xfId="0" applyAlignment="1" applyBorder="1" applyFont="1" applyNumberFormat="1">
      <alignment shrinkToFit="0" vertical="top" wrapText="1"/>
    </xf>
    <xf borderId="22" fillId="0" fontId="0" numFmtId="0" xfId="0" applyAlignment="1" applyBorder="1" applyFont="1">
      <alignment shrinkToFit="0" vertical="top" wrapText="1"/>
    </xf>
    <xf borderId="23" fillId="0" fontId="0" numFmtId="0" xfId="0" applyAlignment="1" applyBorder="1" applyFont="1">
      <alignment shrinkToFit="0" vertical="top" wrapText="1"/>
    </xf>
    <xf borderId="24" fillId="0" fontId="0" numFmtId="0" xfId="0" applyAlignment="1" applyBorder="1" applyFont="1">
      <alignment shrinkToFit="0" vertical="top" wrapText="1"/>
    </xf>
    <xf borderId="25" fillId="0" fontId="0" numFmtId="0" xfId="0" applyAlignment="1" applyBorder="1" applyFont="1">
      <alignment shrinkToFit="0" vertical="top" wrapText="1"/>
    </xf>
    <xf borderId="7" fillId="3" fontId="5" numFmtId="49" xfId="0" applyAlignment="1" applyBorder="1" applyFont="1" applyNumberFormat="1">
      <alignment shrinkToFit="0" vertical="top" wrapText="1"/>
    </xf>
    <xf borderId="26" fillId="3" fontId="4" numFmtId="49" xfId="0" applyAlignment="1" applyBorder="1" applyFont="1" applyNumberFormat="1">
      <alignment horizontal="left" shrinkToFit="0" vertical="top" wrapText="1"/>
    </xf>
    <xf borderId="7" fillId="2" fontId="3" numFmtId="49" xfId="0" applyAlignment="1" applyBorder="1" applyFont="1" applyNumberFormat="1">
      <alignment shrinkToFit="0" vertical="top" wrapText="1"/>
    </xf>
    <xf borderId="1" fillId="0" fontId="3" numFmtId="49" xfId="0" applyAlignment="1" applyBorder="1" applyFont="1" applyNumberForma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1" fillId="7" fontId="3" numFmtId="168" xfId="0" applyAlignment="1" applyBorder="1" applyFill="1" applyFont="1" applyNumberFormat="1">
      <alignment shrinkToFit="0" vertical="bottom" wrapText="0"/>
    </xf>
    <xf borderId="27" fillId="0" fontId="0" numFmtId="0" xfId="0" applyAlignment="1" applyBorder="1" applyFont="1">
      <alignment shrinkToFit="0" vertical="top" wrapText="1"/>
    </xf>
    <xf borderId="1" fillId="7" fontId="3" numFmtId="164" xfId="0" applyAlignment="1" applyBorder="1" applyFont="1" applyNumberFormat="1">
      <alignment shrinkToFit="0" vertical="bottom" wrapText="0"/>
    </xf>
    <xf borderId="1" fillId="7" fontId="3" numFmtId="0" xfId="0" applyAlignment="1" applyBorder="1" applyFont="1">
      <alignment shrinkToFit="0" vertical="bottom" wrapText="0"/>
    </xf>
    <xf borderId="28" fillId="0" fontId="0" numFmtId="0" xfId="0" applyAlignment="1" applyBorder="1" applyFont="1">
      <alignment shrinkToFit="0" vertical="top" wrapText="1"/>
    </xf>
    <xf borderId="1" fillId="0" fontId="3" numFmtId="165" xfId="0" applyAlignment="1" applyBorder="1" applyFont="1" applyNumberFormat="1">
      <alignment shrinkToFit="0" vertical="bottom" wrapText="0"/>
    </xf>
    <xf borderId="1" fillId="7" fontId="0" numFmtId="0" xfId="0" applyAlignment="1" applyBorder="1" applyFont="1">
      <alignment shrinkToFit="0" vertical="bottom" wrapText="0"/>
    </xf>
    <xf borderId="12" fillId="7" fontId="0" numFmtId="49" xfId="0" applyAlignment="1" applyBorder="1" applyFont="1" applyNumberFormat="1">
      <alignment shrinkToFit="0" vertical="top" wrapText="1"/>
    </xf>
    <xf borderId="12" fillId="7" fontId="0" numFmtId="164" xfId="0" applyAlignment="1" applyBorder="1" applyFont="1" applyNumberFormat="1">
      <alignment shrinkToFit="0" vertical="top" wrapText="1"/>
    </xf>
    <xf borderId="10" fillId="2" fontId="3" numFmtId="49" xfId="0" applyAlignment="1" applyBorder="1" applyFont="1" applyNumberFormat="1">
      <alignment shrinkToFit="0" vertical="top" wrapText="1"/>
    </xf>
    <xf borderId="29" fillId="0" fontId="0" numFmtId="0" xfId="0" applyAlignment="1" applyBorder="1" applyFont="1">
      <alignment shrinkToFit="0" vertical="bottom" wrapText="0"/>
    </xf>
    <xf borderId="30" fillId="0" fontId="0" numFmtId="0" xfId="0" applyAlignment="1" applyBorder="1" applyFont="1">
      <alignment shrinkToFit="0" vertical="bottom" wrapText="0"/>
    </xf>
    <xf borderId="31" fillId="3" fontId="2" numFmtId="49" xfId="0" applyAlignment="1" applyBorder="1" applyFont="1" applyNumberFormat="1">
      <alignment horizontal="left" shrinkToFit="0" vertical="bottom" wrapText="0"/>
    </xf>
    <xf borderId="32" fillId="0" fontId="1" numFmtId="0" xfId="0" applyAlignment="1" applyBorder="1" applyFont="1">
      <alignment shrinkToFit="0" vertical="top" wrapText="1"/>
    </xf>
    <xf borderId="33" fillId="0" fontId="0" numFmtId="0" xfId="0" applyAlignment="1" applyBorder="1" applyFont="1">
      <alignment shrinkToFit="0" vertical="bottom" wrapText="0"/>
    </xf>
    <xf borderId="34" fillId="3" fontId="6" numFmtId="49" xfId="0" applyAlignment="1" applyBorder="1" applyFont="1" applyNumberFormat="1">
      <alignment horizontal="left" shrinkToFit="0" vertical="center" wrapText="0"/>
    </xf>
    <xf borderId="35" fillId="8" fontId="0" numFmtId="49" xfId="0" applyAlignment="1" applyBorder="1" applyFill="1" applyFont="1" applyNumberFormat="1">
      <alignment horizontal="center" shrinkToFit="0" vertical="center" wrapText="0"/>
    </xf>
    <xf borderId="36" fillId="0" fontId="1" numFmtId="0" xfId="0" applyAlignment="1" applyBorder="1" applyFont="1">
      <alignment shrinkToFit="0" vertical="top" wrapText="1"/>
    </xf>
    <xf borderId="37" fillId="0" fontId="1" numFmtId="0" xfId="0" applyAlignment="1" applyBorder="1" applyFont="1">
      <alignment shrinkToFit="0" vertical="top" wrapText="1"/>
    </xf>
    <xf borderId="38" fillId="0" fontId="0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shrinkToFit="0" vertical="top" wrapText="1"/>
    </xf>
    <xf borderId="34" fillId="9" fontId="6" numFmtId="49" xfId="0" applyAlignment="1" applyBorder="1" applyFill="1" applyFont="1" applyNumberFormat="1">
      <alignment horizontal="center" shrinkToFit="0" vertical="center" wrapText="0"/>
    </xf>
    <xf borderId="40" fillId="0" fontId="0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shrinkToFit="0" vertical="top" wrapText="1"/>
    </xf>
    <xf borderId="35" fillId="10" fontId="0" numFmtId="49" xfId="0" applyAlignment="1" applyBorder="1" applyFill="1" applyFont="1" applyNumberFormat="1">
      <alignment horizontal="center" shrinkToFit="0" vertical="center" wrapText="0"/>
    </xf>
    <xf borderId="42" fillId="0" fontId="0" numFmtId="0" xfId="0" applyAlignment="1" applyBorder="1" applyFont="1">
      <alignment shrinkToFit="0" vertical="bottom" wrapText="0"/>
    </xf>
    <xf borderId="43" fillId="0" fontId="0" numFmtId="49" xfId="0" applyAlignment="1" applyBorder="1" applyFont="1" applyNumberFormat="1">
      <alignment shrinkToFit="0" vertical="bottom" wrapText="0"/>
    </xf>
    <xf borderId="44" fillId="7" fontId="6" numFmtId="49" xfId="0" applyAlignment="1" applyBorder="1" applyFont="1" applyNumberFormat="1">
      <alignment shrinkToFit="0" vertical="bottom" wrapText="0"/>
    </xf>
    <xf borderId="43" fillId="11" fontId="0" numFmtId="166" xfId="0" applyAlignment="1" applyBorder="1" applyFill="1" applyFont="1" applyNumberFormat="1">
      <alignment shrinkToFit="0" vertical="bottom" wrapText="0"/>
    </xf>
    <xf borderId="44" fillId="4" fontId="7" numFmtId="0" xfId="0" applyAlignment="1" applyBorder="1" applyFont="1">
      <alignment readingOrder="0" shrinkToFit="0" vertical="bottom" wrapText="0"/>
    </xf>
    <xf borderId="43" fillId="10" fontId="0" numFmtId="49" xfId="0" applyAlignment="1" applyBorder="1" applyFont="1" applyNumberFormat="1">
      <alignment shrinkToFit="0" vertical="bottom" wrapText="0"/>
    </xf>
    <xf borderId="44" fillId="9" fontId="6" numFmtId="49" xfId="0" applyAlignment="1" applyBorder="1" applyFont="1" applyNumberFormat="1">
      <alignment shrinkToFit="0" vertical="bottom" wrapText="0"/>
    </xf>
    <xf borderId="45" fillId="0" fontId="0" numFmtId="49" xfId="0" applyAlignment="1" applyBorder="1" applyFont="1" applyNumberFormat="1">
      <alignment horizontal="left" shrinkToFit="0" vertical="bottom" wrapText="0"/>
    </xf>
    <xf borderId="46" fillId="0" fontId="0" numFmtId="0" xfId="0" applyAlignment="1" applyBorder="1" applyFont="1">
      <alignment shrinkToFit="0" vertical="bottom" wrapText="0"/>
    </xf>
    <xf borderId="43" fillId="11" fontId="0" numFmtId="166" xfId="0" applyAlignment="1" applyBorder="1" applyFont="1" applyNumberFormat="1">
      <alignment horizontal="right" shrinkToFit="0" vertical="center" wrapText="0"/>
    </xf>
    <xf borderId="47" fillId="0" fontId="1" numFmtId="0" xfId="0" applyAlignment="1" applyBorder="1" applyFont="1">
      <alignment shrinkToFit="0" vertical="top" wrapText="1"/>
    </xf>
    <xf borderId="43" fillId="12" fontId="0" numFmtId="49" xfId="0" applyAlignment="1" applyBorder="1" applyFill="1" applyFont="1" applyNumberFormat="1">
      <alignment shrinkToFit="0" vertical="bottom" wrapText="0"/>
    </xf>
    <xf borderId="44" fillId="7" fontId="6" numFmtId="49" xfId="0" applyAlignment="1" applyBorder="1" applyFont="1" applyNumberFormat="1">
      <alignment horizontal="left" shrinkToFit="0" vertical="center" wrapText="0"/>
    </xf>
    <xf borderId="43" fillId="12" fontId="0" numFmtId="0" xfId="0" applyAlignment="1" applyBorder="1" applyFont="1">
      <alignment shrinkToFit="0" vertical="bottom" wrapText="0"/>
    </xf>
    <xf borderId="44" fillId="4" fontId="6" numFmtId="0" xfId="0" applyAlignment="1" applyBorder="1" applyFont="1">
      <alignment horizontal="right" shrinkToFit="0" vertical="center" wrapText="0"/>
    </xf>
    <xf borderId="43" fillId="13" fontId="0" numFmtId="0" xfId="0" applyAlignment="1" applyBorder="1" applyFill="1" applyFont="1">
      <alignment shrinkToFit="0" vertical="bottom" wrapText="0"/>
    </xf>
    <xf borderId="44" fillId="14" fontId="6" numFmtId="49" xfId="0" applyAlignment="1" applyBorder="1" applyFill="1" applyFont="1" applyNumberFormat="1">
      <alignment shrinkToFit="0" vertical="bottom" wrapText="0"/>
    </xf>
    <xf borderId="43" fillId="15" fontId="0" numFmtId="0" xfId="0" applyAlignment="1" applyBorder="1" applyFill="1" applyFont="1">
      <alignment shrinkToFit="0" vertical="bottom" wrapText="0"/>
    </xf>
    <xf borderId="44" fillId="14" fontId="6" numFmtId="0" xfId="0" applyAlignment="1" applyBorder="1" applyFont="1">
      <alignment shrinkToFit="0" vertical="bottom" wrapText="0"/>
    </xf>
    <xf borderId="43" fillId="15" fontId="0" numFmtId="164" xfId="0" applyAlignment="1" applyBorder="1" applyFont="1" applyNumberFormat="1">
      <alignment shrinkToFit="0" vertical="bottom" wrapText="0"/>
    </xf>
    <xf borderId="44" fillId="16" fontId="6" numFmtId="0" xfId="0" applyAlignment="1" applyBorder="1" applyFill="1" applyFont="1">
      <alignment shrinkToFit="0" vertical="bottom" wrapText="0"/>
    </xf>
    <xf borderId="43" fillId="12" fontId="0" numFmtId="166" xfId="0" applyAlignment="1" applyBorder="1" applyFont="1" applyNumberFormat="1">
      <alignment shrinkToFit="0" vertical="bottom" wrapText="0"/>
    </xf>
    <xf borderId="34" fillId="17" fontId="4" numFmtId="49" xfId="0" applyAlignment="1" applyBorder="1" applyFill="1" applyFont="1" applyNumberFormat="1">
      <alignment horizontal="left" shrinkToFit="0" vertical="center" wrapText="0"/>
    </xf>
    <xf borderId="43" fillId="13" fontId="0" numFmtId="169" xfId="0" applyAlignment="1" applyBorder="1" applyFont="1" applyNumberFormat="1">
      <alignment shrinkToFit="0" vertical="bottom" wrapText="0"/>
    </xf>
    <xf borderId="48" fillId="0" fontId="6" numFmtId="1" xfId="0" applyAlignment="1" applyBorder="1" applyFont="1" applyNumberFormat="1">
      <alignment shrinkToFit="0" vertical="bottom" wrapText="0"/>
    </xf>
    <xf borderId="43" fillId="0" fontId="0" numFmtId="49" xfId="0" applyAlignment="1" applyBorder="1" applyFont="1" applyNumberFormat="1">
      <alignment horizontal="left" shrinkToFit="0" vertical="center" wrapText="0"/>
    </xf>
    <xf borderId="49" fillId="0" fontId="6" numFmtId="1" xfId="0" applyAlignment="1" applyBorder="1" applyFont="1" applyNumberFormat="1">
      <alignment shrinkToFit="0" vertical="bottom" wrapText="0"/>
    </xf>
    <xf borderId="43" fillId="12" fontId="0" numFmtId="169" xfId="0" applyAlignment="1" applyBorder="1" applyFont="1" applyNumberFormat="1">
      <alignment shrinkToFit="0" vertical="bottom" wrapText="0"/>
    </xf>
    <xf borderId="50" fillId="0" fontId="0" numFmtId="0" xfId="0" applyAlignment="1" applyBorder="1" applyFont="1">
      <alignment shrinkToFit="0" vertical="bottom" wrapText="0"/>
    </xf>
    <xf borderId="44" fillId="17" fontId="6" numFmtId="49" xfId="0" applyAlignment="1" applyBorder="1" applyFont="1" applyNumberFormat="1">
      <alignment shrinkToFit="0" vertical="bottom" wrapText="0"/>
    </xf>
    <xf borderId="43" fillId="11" fontId="0" numFmtId="164" xfId="0" applyAlignment="1" applyBorder="1" applyFont="1" applyNumberFormat="1">
      <alignment horizontal="right" shrinkToFit="0" vertical="center" wrapText="0"/>
    </xf>
    <xf borderId="44" fillId="4" fontId="6" numFmtId="0" xfId="0" applyAlignment="1" applyBorder="1" applyFont="1">
      <alignment shrinkToFit="0" vertical="bottom" wrapText="0"/>
    </xf>
    <xf borderId="51" fillId="0" fontId="0" numFmtId="0" xfId="0" applyAlignment="1" applyBorder="1" applyFont="1">
      <alignment shrinkToFit="0" vertical="bottom" wrapText="0"/>
    </xf>
    <xf borderId="52" fillId="0" fontId="0" numFmtId="0" xfId="0" applyAlignment="1" applyBorder="1" applyFont="1">
      <alignment shrinkToFit="0" vertical="bottom" wrapText="0"/>
    </xf>
    <xf borderId="42" fillId="0" fontId="6" numFmtId="1" xfId="0" applyAlignment="1" applyBorder="1" applyFont="1" applyNumberFormat="1">
      <alignment shrinkToFit="0" vertical="bottom" wrapText="0"/>
    </xf>
    <xf borderId="53" fillId="0" fontId="0" numFmtId="49" xfId="0" applyAlignment="1" applyBorder="1" applyFont="1" applyNumberFormat="1">
      <alignment shrinkToFit="0" vertical="bottom" wrapText="0"/>
    </xf>
    <xf borderId="1" fillId="0" fontId="6" numFmtId="1" xfId="0" applyAlignment="1" applyBorder="1" applyFont="1" applyNumberFormat="1">
      <alignment shrinkToFit="0" vertical="bottom" wrapText="0"/>
    </xf>
    <xf borderId="43" fillId="11" fontId="0" numFmtId="0" xfId="0" applyAlignment="1" applyBorder="1" applyFont="1">
      <alignment horizontal="right" shrinkToFit="0" vertical="center" wrapText="0"/>
    </xf>
    <xf borderId="50" fillId="0" fontId="8" numFmtId="49" xfId="0" applyAlignment="1" applyBorder="1" applyFont="1" applyNumberFormat="1">
      <alignment horizontal="right" shrinkToFit="0" vertical="bottom" wrapText="0"/>
    </xf>
    <xf borderId="43" fillId="12" fontId="0" numFmtId="49" xfId="0" applyAlignment="1" applyBorder="1" applyFont="1" applyNumberFormat="1">
      <alignment shrinkToFit="0" vertical="bottom" wrapText="1"/>
    </xf>
    <xf borderId="44" fillId="18" fontId="6" numFmtId="0" xfId="0" applyAlignment="1" applyBorder="1" applyFill="1" applyFont="1">
      <alignment shrinkToFit="0" vertical="bottom" wrapText="0"/>
    </xf>
    <xf borderId="33" fillId="0" fontId="0" numFmtId="49" xfId="0" applyAlignment="1" applyBorder="1" applyFont="1" applyNumberFormat="1">
      <alignment shrinkToFit="0" vertical="bottom" wrapText="0"/>
    </xf>
    <xf borderId="44" fillId="18" fontId="6" numFmtId="49" xfId="0" applyAlignment="1" applyBorder="1" applyFont="1" applyNumberFormat="1">
      <alignment shrinkToFit="0" vertical="bottom" wrapText="0"/>
    </xf>
    <xf borderId="44" fillId="18" fontId="6" numFmtId="169" xfId="0" applyAlignment="1" applyBorder="1" applyFont="1" applyNumberFormat="1">
      <alignment shrinkToFit="0" vertical="bottom" wrapText="0"/>
    </xf>
    <xf borderId="43" fillId="13" fontId="0" numFmtId="166" xfId="0" applyAlignment="1" applyBorder="1" applyFont="1" applyNumberFormat="1">
      <alignment shrinkToFit="0" vertical="bottom" wrapText="0"/>
    </xf>
    <xf borderId="44" fillId="4" fontId="7" numFmtId="1" xfId="0" applyAlignment="1" applyBorder="1" applyFont="1" applyNumberFormat="1">
      <alignment horizontal="right" readingOrder="0" shrinkToFit="0" vertical="center" wrapText="0"/>
    </xf>
    <xf borderId="1" fillId="0" fontId="0" numFmtId="1" xfId="0" applyAlignment="1" applyBorder="1" applyFont="1" applyNumberFormat="1">
      <alignment shrinkToFit="0" vertical="bottom" wrapText="0"/>
    </xf>
    <xf borderId="54" fillId="19" fontId="0" numFmtId="1" xfId="0" applyAlignment="1" applyBorder="1" applyFill="1" applyFont="1" applyNumberFormat="1">
      <alignment shrinkToFit="0" vertical="bottom" wrapText="0"/>
    </xf>
    <xf borderId="29" fillId="0" fontId="0" numFmtId="1" xfId="0" applyAlignment="1" applyBorder="1" applyFont="1" applyNumberFormat="1">
      <alignment shrinkToFit="0" vertical="bottom" wrapText="0"/>
    </xf>
    <xf borderId="55" fillId="19" fontId="3" numFmtId="49" xfId="0" applyAlignment="1" applyBorder="1" applyFont="1" applyNumberFormat="1">
      <alignment horizontal="center" shrinkToFit="0" vertical="bottom" wrapText="0"/>
    </xf>
    <xf borderId="34" fillId="7" fontId="0" numFmtId="49" xfId="0" applyAlignment="1" applyBorder="1" applyFont="1" applyNumberFormat="1">
      <alignment shrinkToFit="0" vertical="bottom" wrapText="0"/>
    </xf>
    <xf borderId="56" fillId="0" fontId="1" numFmtId="0" xfId="0" applyAlignment="1" applyBorder="1" applyFont="1">
      <alignment shrinkToFit="0" vertical="top" wrapText="1"/>
    </xf>
    <xf borderId="57" fillId="0" fontId="1" numFmtId="0" xfId="0" applyAlignment="1" applyBorder="1" applyFont="1">
      <alignment shrinkToFit="0" vertical="top" wrapText="1"/>
    </xf>
    <xf borderId="58" fillId="0" fontId="9" numFmtId="49" xfId="0" applyAlignment="1" applyBorder="1" applyFont="1" applyNumberFormat="1">
      <alignment shrinkToFit="0" vertical="bottom" wrapText="0"/>
    </xf>
    <xf borderId="1" fillId="0" fontId="6" numFmtId="1" xfId="0" applyAlignment="1" applyBorder="1" applyFont="1" applyNumberFormat="1">
      <alignment horizontal="right" shrinkToFit="0" vertical="center" wrapText="0"/>
    </xf>
    <xf borderId="59" fillId="0" fontId="0" numFmtId="0" xfId="0" applyAlignment="1" applyBorder="1" applyFont="1">
      <alignment shrinkToFit="0" vertical="bottom" wrapText="0"/>
    </xf>
    <xf borderId="60" fillId="0" fontId="0" numFmtId="1" xfId="0" applyAlignment="1" applyBorder="1" applyFont="1" applyNumberFormat="1">
      <alignment shrinkToFit="0" vertical="bottom" wrapText="0"/>
    </xf>
    <xf borderId="61" fillId="0" fontId="0" numFmtId="0" xfId="0" applyAlignment="1" applyBorder="1" applyFont="1">
      <alignment shrinkToFit="0" vertical="bottom" wrapText="0"/>
    </xf>
    <xf borderId="34" fillId="4" fontId="0" numFmtId="49" xfId="0" applyAlignment="1" applyBorder="1" applyFont="1" applyNumberFormat="1">
      <alignment shrinkToFit="0" vertical="bottom" wrapText="0"/>
    </xf>
    <xf borderId="62" fillId="0" fontId="0" numFmtId="0" xfId="0" applyAlignment="1" applyBorder="1" applyFont="1">
      <alignment shrinkToFit="0" vertical="bottom" wrapText="0"/>
    </xf>
    <xf borderId="63" fillId="0" fontId="6" numFmtId="1" xfId="0" applyAlignment="1" applyBorder="1" applyFont="1" applyNumberFormat="1">
      <alignment shrinkToFit="0" vertical="bottom" wrapText="0"/>
    </xf>
    <xf borderId="34" fillId="0" fontId="3" numFmtId="49" xfId="0" applyAlignment="1" applyBorder="1" applyFont="1" applyNumberFormat="1">
      <alignment horizontal="center" shrinkToFit="0" vertical="bottom" wrapText="0"/>
    </xf>
    <xf borderId="64" fillId="0" fontId="6" numFmtId="1" xfId="0" applyAlignment="1" applyBorder="1" applyFont="1" applyNumberFormat="1">
      <alignment shrinkToFit="0" vertical="bottom" wrapText="0"/>
    </xf>
    <xf borderId="65" fillId="19" fontId="0" numFmtId="1" xfId="0" applyAlignment="1" applyBorder="1" applyFont="1" applyNumberFormat="1">
      <alignment shrinkToFit="0" vertical="bottom" wrapText="0"/>
    </xf>
    <xf borderId="30" fillId="0" fontId="6" numFmtId="1" xfId="0" applyAlignment="1" applyBorder="1" applyFont="1" applyNumberFormat="1">
      <alignment shrinkToFit="0" vertical="bottom" wrapText="0"/>
    </xf>
    <xf borderId="49" fillId="0" fontId="0" numFmtId="0" xfId="0" applyAlignment="1" applyBorder="1" applyFont="1">
      <alignment shrinkToFit="0" vertical="bottom" wrapText="0"/>
    </xf>
    <xf borderId="45" fillId="0" fontId="0" numFmtId="1" xfId="0" applyAlignment="1" applyBorder="1" applyFont="1" applyNumberFormat="1">
      <alignment shrinkToFit="0" vertical="bottom" wrapText="0"/>
    </xf>
    <xf borderId="44" fillId="7" fontId="0" numFmtId="49" xfId="0" applyAlignment="1" applyBorder="1" applyFont="1" applyNumberFormat="1">
      <alignment shrinkToFit="0" vertical="bottom" wrapText="0"/>
    </xf>
    <xf borderId="66" fillId="19" fontId="0" numFmtId="1" xfId="0" applyAlignment="1" applyBorder="1" applyFont="1" applyNumberFormat="1">
      <alignment shrinkToFit="0" vertical="bottom" wrapText="0"/>
    </xf>
    <xf borderId="52" fillId="0" fontId="0" numFmtId="1" xfId="0" applyAlignment="1" applyBorder="1" applyFont="1" applyNumberFormat="1">
      <alignment shrinkToFit="0" vertical="bottom" wrapText="0"/>
    </xf>
    <xf borderId="44" fillId="4" fontId="0" numFmtId="0" xfId="0" applyAlignment="1" applyBorder="1" applyFont="1">
      <alignment shrinkToFit="0" vertical="bottom" wrapText="0"/>
    </xf>
    <xf borderId="53" fillId="0" fontId="0" numFmtId="1" xfId="0" applyAlignment="1" applyBorder="1" applyFont="1" applyNumberFormat="1">
      <alignment shrinkToFit="0" vertical="bottom" wrapText="0"/>
    </xf>
    <xf borderId="44" fillId="0" fontId="0" numFmtId="1" xfId="0" applyAlignment="1" applyBorder="1" applyFont="1" applyNumberFormat="1">
      <alignment shrinkToFit="0" vertical="bottom" wrapText="0"/>
    </xf>
    <xf borderId="44" fillId="0" fontId="3" numFmtId="49" xfId="0" applyAlignment="1" applyBorder="1" applyFont="1" applyNumberFormat="1">
      <alignment horizontal="center" shrinkToFit="0" vertical="bottom" wrapText="0"/>
    </xf>
    <xf borderId="67" fillId="19" fontId="0" numFmtId="1" xfId="0" applyAlignment="1" applyBorder="1" applyFont="1" applyNumberFormat="1">
      <alignment shrinkToFit="0" vertical="bottom" wrapText="0"/>
    </xf>
    <xf borderId="44" fillId="0" fontId="0" numFmtId="49" xfId="0" applyAlignment="1" applyBorder="1" applyFont="1" applyNumberFormat="1">
      <alignment horizontal="right" shrinkToFit="0" vertical="bottom" wrapText="0"/>
    </xf>
    <xf borderId="44" fillId="0" fontId="0" numFmtId="49" xfId="0" applyAlignment="1" applyBorder="1" applyFont="1" applyNumberFormat="1">
      <alignment shrinkToFit="0" vertical="bottom" wrapText="0"/>
    </xf>
    <xf borderId="44" fillId="0" fontId="10" numFmtId="170" xfId="0" applyAlignment="1" applyBorder="1" applyFont="1" applyNumberFormat="1">
      <alignment shrinkToFit="0" vertical="bottom" wrapText="0"/>
    </xf>
    <xf borderId="60" fillId="0" fontId="0" numFmtId="1" xfId="0" applyAlignment="1" applyBorder="1" applyFont="1" applyNumberFormat="1">
      <alignment horizontal="center" shrinkToFit="0" vertical="center" wrapText="0"/>
    </xf>
    <xf borderId="44" fillId="0" fontId="10" numFmtId="1" xfId="0" applyAlignment="1" applyBorder="1" applyFont="1" applyNumberFormat="1">
      <alignment shrinkToFit="0" vertical="bottom" wrapText="0"/>
    </xf>
    <xf borderId="52" fillId="0" fontId="0" numFmtId="1" xfId="0" applyAlignment="1" applyBorder="1" applyFont="1" applyNumberFormat="1">
      <alignment horizontal="center" shrinkToFit="0" vertical="center" wrapText="0"/>
    </xf>
    <xf borderId="44" fillId="0" fontId="0" numFmtId="0" xfId="0" applyAlignment="1" applyBorder="1" applyFont="1">
      <alignment shrinkToFit="0" vertical="bottom" wrapText="0"/>
    </xf>
    <xf borderId="30" fillId="0" fontId="6" numFmtId="1" xfId="0" applyAlignment="1" applyBorder="1" applyFont="1" applyNumberFormat="1">
      <alignment horizontal="right" shrinkToFit="0" vertical="center" wrapText="0"/>
    </xf>
    <xf borderId="49" fillId="0" fontId="0" numFmtId="1" xfId="0" applyAlignment="1" applyBorder="1" applyFont="1" applyNumberFormat="1">
      <alignment shrinkToFit="0" vertical="bottom" wrapText="0"/>
    </xf>
    <xf borderId="68" fillId="9" fontId="6" numFmtId="49" xfId="0" applyAlignment="1" applyBorder="1" applyFont="1" applyNumberFormat="1">
      <alignment horizontal="center" shrinkToFit="0" vertical="center" wrapText="0"/>
    </xf>
    <xf borderId="64" fillId="0" fontId="0" numFmtId="1" xfId="0" applyAlignment="1" applyBorder="1" applyFont="1" applyNumberFormat="1">
      <alignment shrinkToFit="0" vertical="bottom" wrapText="0"/>
    </xf>
    <xf borderId="69" fillId="0" fontId="0" numFmtId="1" xfId="0" applyAlignment="1" applyBorder="1" applyFont="1" applyNumberFormat="1">
      <alignment shrinkToFit="0" vertical="bottom" wrapText="0"/>
    </xf>
    <xf borderId="70" fillId="0" fontId="1" numFmtId="0" xfId="0" applyAlignment="1" applyBorder="1" applyFont="1">
      <alignment shrinkToFit="0" vertical="top" wrapText="1"/>
    </xf>
    <xf borderId="71" fillId="19" fontId="0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top" wrapText="1"/>
    </xf>
    <xf borderId="73" fillId="0" fontId="0" numFmtId="0" xfId="0" applyAlignment="1" applyBorder="1" applyFont="1">
      <alignment shrinkToFit="0" vertical="bottom" wrapText="0"/>
    </xf>
    <xf borderId="62" fillId="0" fontId="0" numFmtId="49" xfId="0" applyAlignment="1" applyBorder="1" applyFont="1" applyNumberFormat="1">
      <alignment shrinkToFit="0" vertical="bottom" wrapText="0"/>
    </xf>
    <xf borderId="74" fillId="9" fontId="6" numFmtId="49" xfId="0" applyAlignment="1" applyBorder="1" applyFont="1" applyNumberFormat="1">
      <alignment shrinkToFit="0" vertical="bottom" wrapText="0"/>
    </xf>
    <xf borderId="44" fillId="20" fontId="11" numFmtId="9" xfId="0" applyAlignment="1" applyBorder="1" applyFill="1" applyFont="1" applyNumberFormat="1">
      <alignment shrinkToFit="0" vertical="bottom" wrapText="0"/>
    </xf>
    <xf borderId="42" fillId="0" fontId="12" numFmtId="49" xfId="0" applyAlignment="1" applyBorder="1" applyFont="1" applyNumberFormat="1">
      <alignment shrinkToFit="0" vertical="bottom" wrapText="0"/>
    </xf>
    <xf borderId="75" fillId="0" fontId="0" numFmtId="0" xfId="0" applyAlignment="1" applyBorder="1" applyFont="1">
      <alignment shrinkToFit="0" vertical="bottom" wrapText="0"/>
    </xf>
    <xf borderId="44" fillId="17" fontId="6" numFmtId="49" xfId="0" applyAlignment="1" applyBorder="1" applyFont="1" applyNumberFormat="1">
      <alignment horizontal="center" shrinkToFit="0" vertical="bottom" wrapText="0"/>
    </xf>
    <xf borderId="42" fillId="0" fontId="0" numFmtId="49" xfId="0" applyAlignment="1" applyBorder="1" applyFont="1" applyNumberFormat="1">
      <alignment shrinkToFit="0" vertical="bottom" wrapText="0"/>
    </xf>
    <xf borderId="44" fillId="20" fontId="11" numFmtId="171" xfId="0" applyAlignment="1" applyBorder="1" applyFont="1" applyNumberFormat="1">
      <alignment shrinkToFit="0" vertical="bottom" wrapText="0"/>
    </xf>
    <xf borderId="1" fillId="0" fontId="13" numFmtId="49" xfId="0" applyAlignment="1" applyBorder="1" applyFont="1" applyNumberFormat="1">
      <alignment shrinkToFit="0" vertical="bottom" wrapText="0"/>
    </xf>
    <xf borderId="76" fillId="0" fontId="0" numFmtId="0" xfId="0" applyAlignment="1" applyBorder="1" applyFont="1">
      <alignment shrinkToFit="0" vertical="bottom" wrapText="0"/>
    </xf>
    <xf borderId="76" fillId="0" fontId="0" numFmtId="164" xfId="0" applyAlignment="1" applyBorder="1" applyFont="1" applyNumberFormat="1">
      <alignment shrinkToFit="0" vertical="bottom" wrapText="0"/>
    </xf>
    <xf borderId="77" fillId="0" fontId="0" numFmtId="0" xfId="0" applyAlignment="1" applyBorder="1" applyFont="1">
      <alignment shrinkToFit="0" vertical="bottom" wrapText="0"/>
    </xf>
    <xf borderId="54" fillId="20" fontId="11" numFmtId="49" xfId="0" applyAlignment="1" applyBorder="1" applyFont="1" applyNumberFormat="1">
      <alignment shrinkToFit="0" vertical="bottom" wrapText="0"/>
    </xf>
    <xf borderId="42" fillId="0" fontId="0" numFmtId="169" xfId="0" applyAlignment="1" applyBorder="1" applyFont="1" applyNumberFormat="1">
      <alignment shrinkToFit="0" vertical="bottom" wrapText="0"/>
    </xf>
    <xf borderId="54" fillId="19" fontId="0" numFmtId="164" xfId="0" applyAlignment="1" applyBorder="1" applyFont="1" applyNumberFormat="1">
      <alignment shrinkToFit="0" vertical="bottom" wrapText="0"/>
    </xf>
    <xf borderId="78" fillId="9" fontId="6" numFmtId="1" xfId="0" applyAlignment="1" applyBorder="1" applyFont="1" applyNumberFormat="1">
      <alignment shrinkToFit="0" vertical="bottom" wrapText="0"/>
    </xf>
    <xf borderId="79" fillId="9" fontId="6" numFmtId="49" xfId="0" applyAlignment="1" applyBorder="1" applyFont="1" applyNumberFormat="1">
      <alignment shrinkToFit="0" vertical="bottom" wrapText="0"/>
    </xf>
    <xf borderId="44" fillId="0" fontId="3" numFmtId="49" xfId="0" applyAlignment="1" applyBorder="1" applyFont="1" applyNumberFormat="1">
      <alignment horizontal="center" shrinkToFit="0" vertical="center" wrapText="0"/>
    </xf>
    <xf borderId="44" fillId="0" fontId="3" numFmtId="49" xfId="0" applyAlignment="1" applyBorder="1" applyFont="1" applyNumberFormat="1">
      <alignment horizontal="center" shrinkToFit="0" vertical="center" wrapText="1"/>
    </xf>
    <xf borderId="44" fillId="0" fontId="13" numFmtId="49" xfId="0" applyAlignment="1" applyBorder="1" applyFont="1" applyNumberFormat="1">
      <alignment horizontal="center" shrinkToFit="0" vertical="center" wrapText="1"/>
    </xf>
    <xf borderId="80" fillId="0" fontId="0" numFmtId="0" xfId="0" applyAlignment="1" applyBorder="1" applyFont="1">
      <alignment shrinkToFit="0" vertical="bottom" wrapText="0"/>
    </xf>
    <xf borderId="44" fillId="21" fontId="14" numFmtId="49" xfId="0" applyAlignment="1" applyBorder="1" applyFill="1" applyFont="1" applyNumberFormat="1">
      <alignment horizontal="center" shrinkToFit="0" vertical="center" wrapText="1"/>
    </xf>
    <xf borderId="65" fillId="19" fontId="3" numFmtId="49" xfId="0" applyAlignment="1" applyBorder="1" applyFont="1" applyNumberFormat="1">
      <alignment horizontal="right" shrinkToFit="0" vertical="center" wrapText="1"/>
    </xf>
    <xf borderId="44" fillId="0" fontId="15" numFmtId="2" xfId="0" applyAlignment="1" applyBorder="1" applyFont="1" applyNumberFormat="1">
      <alignment horizontal="center" shrinkToFit="0" vertical="bottom" wrapText="0"/>
    </xf>
    <xf borderId="44" fillId="0" fontId="0" numFmtId="0" xfId="0" applyAlignment="1" applyBorder="1" applyFont="1">
      <alignment horizontal="center" shrinkToFit="0" vertical="bottom" wrapText="0"/>
    </xf>
    <xf borderId="44" fillId="0" fontId="16" numFmtId="1" xfId="0" applyAlignment="1" applyBorder="1" applyFont="1" applyNumberFormat="1">
      <alignment horizontal="center" shrinkToFit="0" vertical="bottom" wrapText="0"/>
    </xf>
    <xf borderId="49" fillId="22" fontId="0" numFmtId="49" xfId="0" applyAlignment="1" applyBorder="1" applyFill="1" applyFont="1" applyNumberFormat="1">
      <alignment shrinkToFit="0" vertical="bottom" wrapText="0"/>
    </xf>
    <xf borderId="44" fillId="0" fontId="0" numFmtId="164" xfId="0" applyAlignment="1" applyBorder="1" applyFont="1" applyNumberFormat="1">
      <alignment horizontal="center" shrinkToFit="0" vertical="bottom" wrapText="0"/>
    </xf>
    <xf borderId="49" fillId="22" fontId="0" numFmtId="0" xfId="0" applyAlignment="1" applyBorder="1" applyFont="1">
      <alignment shrinkToFit="0" vertical="bottom" wrapText="0"/>
    </xf>
    <xf borderId="1" fillId="5" fontId="0" numFmtId="0" xfId="0" applyAlignment="1" applyBorder="1" applyFont="1">
      <alignment shrinkToFit="0" vertical="bottom" wrapText="0"/>
    </xf>
    <xf borderId="44" fillId="0" fontId="17" numFmtId="164" xfId="0" applyAlignment="1" applyBorder="1" applyFont="1" applyNumberFormat="1">
      <alignment horizontal="center" shrinkToFit="0" vertical="bottom" wrapText="0"/>
    </xf>
    <xf borderId="65" fillId="19" fontId="0" numFmtId="10" xfId="0" applyAlignment="1" applyBorder="1" applyFont="1" applyNumberFormat="1">
      <alignment shrinkToFit="0" vertical="bottom" wrapText="0"/>
    </xf>
    <xf borderId="44" fillId="0" fontId="14" numFmtId="2" xfId="0" applyAlignment="1" applyBorder="1" applyFont="1" applyNumberFormat="1">
      <alignment horizontal="center" shrinkToFit="0" vertical="bottom" wrapText="0"/>
    </xf>
    <xf borderId="1" fillId="22" fontId="0" numFmtId="49" xfId="0" applyAlignment="1" applyBorder="1" applyFont="1" applyNumberFormat="1">
      <alignment shrinkToFit="0" vertical="bottom" wrapText="0"/>
    </xf>
    <xf borderId="1" fillId="22" fontId="0" numFmtId="0" xfId="0" applyAlignment="1" applyBorder="1" applyFont="1">
      <alignment shrinkToFit="0" vertical="bottom" wrapText="0"/>
    </xf>
    <xf borderId="44" fillId="0" fontId="18" numFmtId="0" xfId="0" applyAlignment="1" applyBorder="1" applyFont="1">
      <alignment horizontal="center" shrinkToFit="0" vertical="bottom" wrapText="0"/>
    </xf>
    <xf borderId="1" fillId="2" fontId="0" numFmtId="49" xfId="0" applyAlignment="1" applyBorder="1" applyFont="1" applyNumberFormat="1">
      <alignment shrinkToFit="0" vertical="bottom" wrapText="0"/>
    </xf>
    <xf borderId="44" fillId="0" fontId="18" numFmtId="1" xfId="0" applyAlignment="1" applyBorder="1" applyFont="1" applyNumberFormat="1">
      <alignment horizontal="center" shrinkToFit="0" vertical="bottom" wrapText="0"/>
    </xf>
    <xf borderId="44" fillId="0" fontId="18" numFmtId="164" xfId="0" applyAlignment="1" applyBorder="1" applyFont="1" applyNumberFormat="1">
      <alignment horizontal="center" shrinkToFit="0" vertical="bottom" wrapText="0"/>
    </xf>
    <xf borderId="1" fillId="5" fontId="0" numFmtId="168" xfId="0" applyAlignment="1" applyBorder="1" applyFont="1" applyNumberFormat="1">
      <alignment shrinkToFit="0" vertical="bottom" wrapText="0"/>
    </xf>
    <xf borderId="44" fillId="0" fontId="14" numFmtId="164" xfId="0" applyAlignment="1" applyBorder="1" applyFont="1" applyNumberFormat="1">
      <alignment horizontal="center" shrinkToFit="0" vertical="bottom" wrapText="0"/>
    </xf>
    <xf borderId="65" fillId="19" fontId="12" numFmtId="10" xfId="0" applyAlignment="1" applyBorder="1" applyFont="1" applyNumberFormat="1">
      <alignment shrinkToFit="0" vertical="bottom" wrapText="0"/>
    </xf>
    <xf borderId="1" fillId="5" fontId="0" numFmtId="166" xfId="0" applyAlignment="1" applyBorder="1" applyFont="1" applyNumberFormat="1">
      <alignment shrinkToFit="0" vertical="bottom" wrapText="0"/>
    </xf>
    <xf borderId="81" fillId="19" fontId="0" numFmtId="1" xfId="0" applyAlignment="1" applyBorder="1" applyFont="1" applyNumberFormat="1">
      <alignment shrinkToFit="0" vertical="bottom" wrapText="0"/>
    </xf>
    <xf borderId="1" fillId="6" fontId="0" numFmtId="166" xfId="0" applyAlignment="1" applyBorder="1" applyFont="1" applyNumberFormat="1">
      <alignment shrinkToFit="0" vertical="bottom" wrapText="0"/>
    </xf>
    <xf borderId="81" fillId="19" fontId="12" numFmtId="1" xfId="0" applyAlignment="1" applyBorder="1" applyFont="1" applyNumberFormat="1">
      <alignment shrinkToFit="0" vertical="bottom" wrapText="0"/>
    </xf>
    <xf borderId="1" fillId="6" fontId="0" numFmtId="168" xfId="0" applyAlignment="1" applyBorder="1" applyFont="1" applyNumberFormat="1">
      <alignment shrinkToFit="0" vertical="bottom" wrapText="0"/>
    </xf>
    <xf borderId="1" fillId="2" fontId="0" numFmtId="0" xfId="0" applyAlignment="1" applyBorder="1" applyFont="1">
      <alignment shrinkToFit="0" vertical="bottom" wrapText="0"/>
    </xf>
    <xf borderId="65" fillId="19" fontId="12" numFmtId="1" xfId="0" applyAlignment="1" applyBorder="1" applyFont="1" applyNumberFormat="1">
      <alignment horizontal="center" shrinkToFit="0" vertical="bottom" wrapText="0"/>
    </xf>
    <xf borderId="54" fillId="19" fontId="12" numFmtId="1" xfId="0" applyAlignment="1" applyBorder="1" applyFont="1" applyNumberFormat="1">
      <alignment shrinkToFit="0" vertical="bottom" wrapText="0"/>
    </xf>
    <xf borderId="54" fillId="19" fontId="3" numFmtId="1" xfId="0" applyAlignment="1" applyBorder="1" applyFont="1" applyNumberFormat="1">
      <alignment horizontal="center" shrinkToFit="0" vertical="center" wrapText="0"/>
    </xf>
    <xf borderId="54" fillId="19" fontId="3" numFmtId="1" xfId="0" applyAlignment="1" applyBorder="1" applyFont="1" applyNumberFormat="1">
      <alignment horizontal="center" shrinkToFit="0" vertical="center" wrapText="1"/>
    </xf>
    <xf borderId="54" fillId="19" fontId="14" numFmtId="1" xfId="0" applyAlignment="1" applyBorder="1" applyFont="1" applyNumberFormat="1">
      <alignment horizontal="center" shrinkToFit="0" vertical="center" wrapText="1"/>
    </xf>
    <xf borderId="54" fillId="19" fontId="0" numFmtId="2" xfId="0" applyAlignment="1" applyBorder="1" applyFont="1" applyNumberFormat="1">
      <alignment horizontal="center" shrinkToFit="0" vertical="bottom" wrapText="0"/>
    </xf>
    <xf borderId="54" fillId="19" fontId="0" numFmtId="1" xfId="0" applyAlignment="1" applyBorder="1" applyFont="1" applyNumberFormat="1">
      <alignment horizontal="center" shrinkToFit="0" vertical="bottom" wrapText="0"/>
    </xf>
    <xf borderId="54" fillId="19" fontId="0" numFmtId="164" xfId="0" applyAlignment="1" applyBorder="1" applyFont="1" applyNumberFormat="1">
      <alignment horizontal="center" shrinkToFit="0" vertical="bottom" wrapText="0"/>
    </xf>
    <xf borderId="54" fillId="19" fontId="17" numFmtId="164" xfId="0" applyAlignment="1" applyBorder="1" applyFont="1" applyNumberFormat="1">
      <alignment horizontal="center" shrinkToFit="0" vertical="bottom" wrapText="0"/>
    </xf>
    <xf borderId="44" fillId="0" fontId="0" numFmtId="49" xfId="0" applyAlignment="1" applyBorder="1" applyFont="1" applyNumberFormat="1">
      <alignment horizontal="center" shrinkToFit="0" vertical="bottom" wrapText="0"/>
    </xf>
    <xf borderId="73" fillId="0" fontId="0" numFmtId="49" xfId="0" applyAlignment="1" applyBorder="1" applyFont="1" applyNumberFormat="1">
      <alignment shrinkToFit="0" vertical="bottom" wrapText="0"/>
    </xf>
    <xf borderId="44" fillId="0" fontId="19" numFmtId="172" xfId="0" applyAlignment="1" applyBorder="1" applyFont="1" applyNumberFormat="1">
      <alignment horizontal="center" shrinkToFit="0" vertical="center" wrapText="1"/>
    </xf>
    <xf borderId="44" fillId="0" fontId="19" numFmtId="49" xfId="0" applyAlignment="1" applyBorder="1" applyFont="1" applyNumberFormat="1">
      <alignment horizontal="center" shrinkToFit="0" vertical="center" wrapText="1"/>
    </xf>
    <xf borderId="44" fillId="0" fontId="19" numFmtId="164" xfId="0" applyAlignment="1" applyBorder="1" applyFont="1" applyNumberFormat="1">
      <alignment horizontal="center" shrinkToFit="0" vertical="center" wrapText="1"/>
    </xf>
    <xf borderId="44" fillId="7" fontId="0" numFmtId="164" xfId="0" applyAlignment="1" applyBorder="1" applyFont="1" applyNumberFormat="1">
      <alignment shrinkToFit="0" vertical="bottom" wrapText="0"/>
    </xf>
    <xf borderId="42" fillId="0" fontId="0" numFmtId="1" xfId="0" applyAlignment="1" applyBorder="1" applyFont="1" applyNumberFormat="1">
      <alignment shrinkToFit="0" vertical="bottom" wrapText="0"/>
    </xf>
    <xf borderId="49" fillId="0" fontId="6" numFmtId="1" xfId="0" applyAlignment="1" applyBorder="1" applyFont="1" applyNumberFormat="1">
      <alignment horizontal="left" shrinkToFit="0" vertical="center" wrapText="0"/>
    </xf>
    <xf borderId="49" fillId="0" fontId="6" numFmtId="49" xfId="0" applyAlignment="1" applyBorder="1" applyFont="1" applyNumberFormat="1">
      <alignment shrinkToFit="0" vertical="bottom" wrapText="0"/>
    </xf>
    <xf borderId="49" fillId="2" fontId="6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00000000001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99BC9"/>
              </a:solidFill>
              <a:ln cmpd="sng">
                <a:solidFill>
                  <a:srgbClr val="499BC9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EC038"/>
              </a:solidFill>
              <a:ln cmpd="sng">
                <a:solidFill>
                  <a:srgbClr val="6EC038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1D130"/>
              </a:solidFill>
              <a:ln cmpd="sng">
                <a:solidFill>
                  <a:srgbClr val="F1D130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A93A"/>
              </a:solidFill>
              <a:ln cmpd="sng">
                <a:solidFill>
                  <a:srgbClr val="FFA93A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2D21"/>
              </a:solidFill>
              <a:ln cmpd="sng">
                <a:solidFill>
                  <a:srgbClr val="FF2D2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413826"/>
        <c:axId val="971173483"/>
      </c:scatterChart>
      <c:valAx>
        <c:axId val="1863413826"/>
        <c:scaling>
          <c:orientation val="minMax"/>
          <c:max val="2.0"/>
          <c:min val="1.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BABABA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t>PUE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71173483"/>
        <c:majorUnit val="0.25"/>
        <c:minorUnit val="0.125"/>
      </c:valAx>
      <c:valAx>
        <c:axId val="97117348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BABABA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6341382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44.11"/>
    <col customWidth="1" min="2" max="2" width="21.11"/>
    <col customWidth="1" min="3" max="3" width="4.78"/>
    <col customWidth="1" min="4" max="4" width="41.11"/>
    <col customWidth="1" min="5" max="5" width="20.78"/>
    <col customWidth="1" min="6" max="26" width="16.33"/>
  </cols>
  <sheetData>
    <row r="1" ht="23.25" customHeight="1">
      <c r="A1" s="12"/>
      <c r="B1" s="12"/>
      <c r="C1" s="2"/>
      <c r="D1" s="12"/>
      <c r="E1" s="18"/>
      <c r="F1" s="18"/>
      <c r="G1" s="2"/>
      <c r="H1" s="2"/>
      <c r="I1" s="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4.5" customHeight="1">
      <c r="A2" s="22" t="s">
        <v>22</v>
      </c>
      <c r="B2" s="23"/>
      <c r="C2" s="24"/>
      <c r="D2" s="25" t="s">
        <v>29</v>
      </c>
      <c r="E2" s="26" t="s">
        <v>31</v>
      </c>
      <c r="F2" s="27" t="s">
        <v>34</v>
      </c>
      <c r="G2" s="28"/>
      <c r="H2" s="2"/>
      <c r="I2" s="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.75" customHeight="1">
      <c r="A3" s="29" t="s">
        <v>36</v>
      </c>
      <c r="B3" s="30">
        <v>134.0</v>
      </c>
      <c r="C3" s="31"/>
      <c r="D3" s="32" t="s">
        <v>41</v>
      </c>
      <c r="E3" s="34">
        <f>Electricitat!F18</f>
        <v>32884.17365</v>
      </c>
      <c r="F3" s="34">
        <f>E3*5</f>
        <v>164420.8682</v>
      </c>
      <c r="G3" s="28"/>
      <c r="H3" s="2"/>
      <c r="I3" s="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.75" customHeight="1">
      <c r="A4" s="29" t="s">
        <v>45</v>
      </c>
      <c r="B4" s="30">
        <v>42.0</v>
      </c>
      <c r="C4" s="31"/>
      <c r="D4" s="27" t="s">
        <v>46</v>
      </c>
      <c r="E4" s="38" t="str">
        <f>IF(B20=1,"MOCOSA",IF(B20=2,"CPDs Céspedes",IF(B20=3,"Mordor","error")))</f>
        <v>Mordor</v>
      </c>
      <c r="F4" s="39"/>
      <c r="G4" s="2"/>
      <c r="H4" s="2"/>
      <c r="I4" s="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9.0" customHeight="1">
      <c r="A5" s="29" t="s">
        <v>7</v>
      </c>
      <c r="B5" s="41">
        <v>180.5</v>
      </c>
      <c r="C5" s="31"/>
      <c r="D5" s="27" t="s">
        <v>52</v>
      </c>
      <c r="E5" s="34">
        <f>IF(B20=1,Infraestructura!J4,IF(B20=2,Infraestructura!J5,IF(B20=3,Infraestructura!J6,"error")))</f>
        <v>74932.62605</v>
      </c>
      <c r="F5" s="42">
        <f>E5*5</f>
        <v>374663.1302</v>
      </c>
      <c r="G5" s="28"/>
      <c r="H5" s="2"/>
      <c r="I5" s="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.75" customHeight="1">
      <c r="A6" s="29" t="s">
        <v>57</v>
      </c>
      <c r="B6" s="43">
        <v>0.07</v>
      </c>
      <c r="C6" s="31"/>
      <c r="D6" s="27" t="s">
        <v>58</v>
      </c>
      <c r="E6" s="44" t="str">
        <f>IF(B16=1,"Microworks Azure M-A",IF(B16=2,"MonsoonS3 MS3",IF(B16=3,"Take the tapes and run","error")))</f>
        <v>MonsoonS3 MS3</v>
      </c>
      <c r="F6" s="45"/>
      <c r="G6" s="46"/>
      <c r="H6" s="2"/>
      <c r="I6" s="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29" t="s">
        <v>59</v>
      </c>
      <c r="B7" s="47">
        <v>60.0</v>
      </c>
      <c r="C7" s="31"/>
      <c r="D7" s="27" t="s">
        <v>60</v>
      </c>
      <c r="E7" s="34">
        <f>IF(B16=1,B17*Backup!L6,IF(B16=2,B17*Backup!L7,IF(B16=3,0,"error")))</f>
        <v>159952.896</v>
      </c>
      <c r="F7" s="48">
        <f t="shared" ref="F7:F9" si="1">E7*5</f>
        <v>799764.48</v>
      </c>
      <c r="G7" s="28"/>
      <c r="H7" s="2"/>
      <c r="I7" s="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75" customHeight="1">
      <c r="A8" s="29" t="s">
        <v>61</v>
      </c>
      <c r="B8" s="49">
        <v>1.0E7</v>
      </c>
      <c r="C8" s="31"/>
      <c r="D8" s="27" t="s">
        <v>62</v>
      </c>
      <c r="E8" s="34">
        <f>Backup!M27</f>
        <v>607651.2</v>
      </c>
      <c r="F8" s="34">
        <f t="shared" si="1"/>
        <v>3038256</v>
      </c>
      <c r="G8" s="28"/>
      <c r="H8" s="2"/>
      <c r="I8" s="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4.75" customHeight="1">
      <c r="A9" s="29" t="s">
        <v>63</v>
      </c>
      <c r="B9" s="49">
        <v>7500000.0</v>
      </c>
      <c r="C9" s="31"/>
      <c r="D9" s="27" t="s">
        <v>64</v>
      </c>
      <c r="E9" s="34">
        <f>'Bandwidth provider'!F9</f>
        <v>1058.4</v>
      </c>
      <c r="F9" s="34">
        <f t="shared" si="1"/>
        <v>5292</v>
      </c>
      <c r="G9" s="28"/>
      <c r="H9" s="2"/>
      <c r="I9" s="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75" customHeight="1">
      <c r="A10" s="50"/>
      <c r="B10" s="50"/>
      <c r="C10" s="2"/>
      <c r="D10" s="51"/>
      <c r="E10" s="52"/>
      <c r="F10" s="53"/>
      <c r="G10" s="2"/>
      <c r="H10" s="2"/>
      <c r="I10" s="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54" t="s">
        <v>65</v>
      </c>
      <c r="B11" s="23"/>
      <c r="C11" s="24"/>
      <c r="D11" s="55" t="s">
        <v>66</v>
      </c>
      <c r="E11" s="26" t="s">
        <v>8</v>
      </c>
      <c r="F11" s="28"/>
      <c r="G11" s="2"/>
      <c r="H11" s="2"/>
      <c r="I11" s="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.75" customHeight="1">
      <c r="A12" s="56" t="s">
        <v>67</v>
      </c>
      <c r="B12" s="23"/>
      <c r="C12" s="31"/>
      <c r="D12" s="27" t="s">
        <v>69</v>
      </c>
      <c r="E12" s="34">
        <f>B9</f>
        <v>7500000</v>
      </c>
      <c r="F12" s="28"/>
      <c r="G12" s="2"/>
      <c r="H12" s="2"/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4.75" customHeight="1">
      <c r="A13" s="29" t="s">
        <v>70</v>
      </c>
      <c r="B13" s="47">
        <v>227580.0</v>
      </c>
      <c r="C13" s="31"/>
      <c r="D13" s="27" t="s">
        <v>71</v>
      </c>
      <c r="E13" s="34">
        <f>SAN!B14</f>
        <v>0</v>
      </c>
      <c r="F13" s="28"/>
      <c r="G13" s="2"/>
      <c r="H13" s="2"/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4.75" customHeight="1">
      <c r="A14" s="29" t="s">
        <v>72</v>
      </c>
      <c r="B14" s="47">
        <v>10.0</v>
      </c>
      <c r="C14" s="31"/>
      <c r="D14" s="27" t="s">
        <v>73</v>
      </c>
      <c r="E14" s="34">
        <f>'Cabina de discos'!K24+Backup!M29</f>
        <v>55720</v>
      </c>
      <c r="F14" s="28"/>
      <c r="G14" s="2"/>
      <c r="H14" s="2"/>
      <c r="I14" s="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4.75" customHeight="1">
      <c r="A15" s="29" t="s">
        <v>74</v>
      </c>
      <c r="B15" s="47">
        <v>4.0</v>
      </c>
      <c r="C15" s="60"/>
      <c r="D15" s="53"/>
      <c r="E15" s="53"/>
      <c r="F15" s="2"/>
      <c r="G15" s="2"/>
      <c r="H15" s="2"/>
      <c r="I15" s="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4.75" customHeight="1">
      <c r="A16" s="29" t="s">
        <v>75</v>
      </c>
      <c r="B16" s="47">
        <v>2.0</v>
      </c>
      <c r="C16" s="60"/>
      <c r="D16" s="2"/>
      <c r="E16" s="2"/>
      <c r="F16" s="2"/>
      <c r="G16" s="2"/>
      <c r="H16" s="2"/>
      <c r="I16" s="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4.75" customHeight="1">
      <c r="A17" s="29" t="s">
        <v>76</v>
      </c>
      <c r="B17" s="47">
        <v>1.0</v>
      </c>
      <c r="C17" s="60"/>
      <c r="D17" s="2"/>
      <c r="E17" s="2"/>
      <c r="F17" s="2"/>
      <c r="G17" s="2"/>
      <c r="H17" s="2"/>
      <c r="I17" s="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4.75" customHeight="1">
      <c r="A18" s="29" t="s">
        <v>78</v>
      </c>
      <c r="B18" s="47">
        <v>0.0</v>
      </c>
      <c r="C18" s="60"/>
      <c r="D18" s="12"/>
      <c r="E18" s="2"/>
      <c r="F18" s="2"/>
      <c r="G18" s="2"/>
      <c r="H18" s="2"/>
      <c r="I18" s="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4.75" customHeight="1">
      <c r="A19" s="56" t="s">
        <v>79</v>
      </c>
      <c r="B19" s="23"/>
      <c r="C19" s="24"/>
      <c r="D19" s="55" t="s">
        <v>80</v>
      </c>
      <c r="E19" s="63"/>
      <c r="F19" s="2"/>
      <c r="G19" s="2"/>
      <c r="H19" s="2"/>
      <c r="I19" s="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39.0" customHeight="1">
      <c r="A20" s="29" t="s">
        <v>81</v>
      </c>
      <c r="B20" s="47">
        <v>3.0</v>
      </c>
      <c r="C20" s="31"/>
      <c r="D20" s="27" t="s">
        <v>82</v>
      </c>
      <c r="E20" s="34">
        <f>SUM(F3:F9)</f>
        <v>4382396.478</v>
      </c>
      <c r="F20" s="28"/>
      <c r="G20" s="2"/>
      <c r="H20" s="2"/>
      <c r="I20" s="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4.75" customHeight="1">
      <c r="A21" s="29" t="s">
        <v>83</v>
      </c>
      <c r="B21" s="47">
        <v>0.0</v>
      </c>
      <c r="C21" s="31"/>
      <c r="D21" s="27" t="s">
        <v>84</v>
      </c>
      <c r="E21" s="34">
        <f>SUM(E12:E14)</f>
        <v>7555720</v>
      </c>
      <c r="F21" s="28"/>
      <c r="G21" s="2"/>
      <c r="H21" s="2"/>
      <c r="I21" s="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4.75" customHeight="1">
      <c r="A22" s="29" t="s">
        <v>85</v>
      </c>
      <c r="B22" s="47">
        <v>1.0</v>
      </c>
      <c r="C22" s="31"/>
      <c r="D22" s="27" t="s">
        <v>86</v>
      </c>
      <c r="E22" s="34">
        <f>E20+E21</f>
        <v>11938116.48</v>
      </c>
      <c r="F22" s="28"/>
      <c r="G22" s="2"/>
      <c r="H22" s="2"/>
      <c r="I22" s="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4.75" customHeight="1">
      <c r="A23" s="56" t="s">
        <v>87</v>
      </c>
      <c r="B23" s="23"/>
      <c r="C23" s="31"/>
      <c r="D23" s="66" t="s">
        <v>88</v>
      </c>
      <c r="E23" s="67">
        <f>B8-E22</f>
        <v>-1938116.478</v>
      </c>
      <c r="F23" s="28"/>
      <c r="G23" s="2"/>
      <c r="H23" s="2"/>
      <c r="I23" s="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39.0" customHeight="1">
      <c r="A24" s="29" t="s">
        <v>89</v>
      </c>
      <c r="B24" s="47">
        <v>3.0</v>
      </c>
      <c r="C24" s="60"/>
      <c r="D24" s="53"/>
      <c r="E24" s="53"/>
      <c r="F24" s="2"/>
      <c r="G24" s="2"/>
      <c r="H24" s="2"/>
      <c r="I24" s="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4.75" customHeight="1">
      <c r="A25" s="29" t="s">
        <v>90</v>
      </c>
      <c r="B25" s="47">
        <v>1.0</v>
      </c>
      <c r="C25" s="60"/>
      <c r="D25" s="2"/>
      <c r="E25" s="2"/>
      <c r="F25" s="2"/>
      <c r="G25" s="2"/>
      <c r="H25" s="2"/>
      <c r="I25" s="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4.75" customHeight="1">
      <c r="A26" s="29" t="s">
        <v>91</v>
      </c>
      <c r="B26" s="47">
        <v>1.0</v>
      </c>
      <c r="C26" s="60"/>
      <c r="D26" s="2"/>
      <c r="E26" s="2"/>
      <c r="F26" s="2"/>
      <c r="G26" s="2"/>
      <c r="H26" s="2"/>
      <c r="I26" s="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4.75" customHeight="1">
      <c r="A27" s="68" t="s">
        <v>92</v>
      </c>
      <c r="B27" s="47">
        <v>0.0</v>
      </c>
      <c r="C27" s="60"/>
      <c r="D27" s="2"/>
      <c r="E27" s="2"/>
      <c r="F27" s="2"/>
      <c r="G27" s="2"/>
      <c r="H27" s="2"/>
      <c r="I27" s="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4.75" customHeight="1">
      <c r="A28" s="56" t="s">
        <v>93</v>
      </c>
      <c r="B28" s="23"/>
      <c r="C28" s="60"/>
      <c r="D28" s="2"/>
      <c r="E28" s="2"/>
      <c r="F28" s="2"/>
      <c r="G28" s="2"/>
      <c r="H28" s="2"/>
      <c r="I28" s="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4.75" customHeight="1">
      <c r="A29" s="29" t="s">
        <v>94</v>
      </c>
      <c r="B29" s="47">
        <v>8.0</v>
      </c>
      <c r="C29" s="60"/>
      <c r="D29" s="2"/>
      <c r="E29" s="2"/>
      <c r="F29" s="2"/>
      <c r="G29" s="2"/>
      <c r="H29" s="2"/>
      <c r="I29" s="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4.75" customHeight="1">
      <c r="A30" s="29" t="s">
        <v>95</v>
      </c>
      <c r="B30" s="47">
        <v>14.0</v>
      </c>
      <c r="C30" s="60"/>
      <c r="D30" s="2"/>
      <c r="E30" s="2"/>
      <c r="F30" s="2"/>
      <c r="G30" s="2"/>
      <c r="H30" s="2"/>
      <c r="I30" s="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4.75" customHeight="1">
      <c r="A31" s="29" t="s">
        <v>96</v>
      </c>
      <c r="B31" s="47">
        <v>2.0</v>
      </c>
      <c r="C31" s="60"/>
      <c r="D31" s="2"/>
      <c r="E31" s="2"/>
      <c r="F31" s="2"/>
      <c r="G31" s="2"/>
      <c r="H31" s="2"/>
      <c r="I31" s="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4.75" customHeight="1">
      <c r="A32" s="29" t="s">
        <v>97</v>
      </c>
      <c r="B32" s="47">
        <v>1.0</v>
      </c>
      <c r="C32" s="60"/>
      <c r="D32" s="2"/>
      <c r="E32" s="2"/>
      <c r="F32" s="2"/>
      <c r="G32" s="2"/>
      <c r="H32" s="2"/>
      <c r="I32" s="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4.75" customHeight="1">
      <c r="A33" s="56" t="s">
        <v>98</v>
      </c>
      <c r="B33" s="23"/>
      <c r="C33" s="60"/>
      <c r="D33" s="2"/>
      <c r="E33" s="2"/>
      <c r="F33" s="2"/>
      <c r="G33" s="2"/>
      <c r="H33" s="2"/>
      <c r="I33" s="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4.75" customHeight="1">
      <c r="A34" s="29" t="s">
        <v>99</v>
      </c>
      <c r="B34" s="47">
        <v>5.0</v>
      </c>
      <c r="C34" s="60"/>
      <c r="D34" s="2"/>
      <c r="E34" s="2"/>
      <c r="F34" s="2"/>
      <c r="G34" s="2"/>
      <c r="H34" s="2"/>
      <c r="I34" s="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4.75" customHeight="1">
      <c r="A35" s="29" t="s">
        <v>95</v>
      </c>
      <c r="B35" s="47">
        <v>78.0</v>
      </c>
      <c r="C35" s="60"/>
      <c r="D35" s="2"/>
      <c r="E35" s="2"/>
      <c r="F35" s="2"/>
      <c r="G35" s="2"/>
      <c r="H35" s="2"/>
      <c r="I35" s="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4.75" customHeight="1">
      <c r="A36" s="29" t="s">
        <v>96</v>
      </c>
      <c r="B36" s="47">
        <v>5.0</v>
      </c>
      <c r="C36" s="60"/>
      <c r="D36" s="2"/>
      <c r="E36" s="2"/>
      <c r="F36" s="2"/>
      <c r="G36" s="2"/>
      <c r="H36" s="2"/>
      <c r="I36" s="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4.75" customHeight="1">
      <c r="A37" s="29" t="s">
        <v>97</v>
      </c>
      <c r="B37" s="47">
        <v>3.0</v>
      </c>
      <c r="C37" s="60"/>
      <c r="D37" s="2"/>
      <c r="E37" s="2"/>
      <c r="F37" s="2"/>
      <c r="G37" s="2"/>
      <c r="H37" s="2"/>
      <c r="I37" s="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4.75" customHeight="1">
      <c r="A38" s="56" t="s">
        <v>100</v>
      </c>
      <c r="B38" s="23"/>
      <c r="C38" s="60"/>
      <c r="D38" s="2"/>
      <c r="E38" s="2"/>
      <c r="F38" s="2"/>
      <c r="G38" s="2"/>
      <c r="H38" s="2"/>
      <c r="I38" s="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4.75" customHeight="1">
      <c r="A39" s="29" t="s">
        <v>99</v>
      </c>
      <c r="B39" s="47">
        <v>9.0</v>
      </c>
      <c r="C39" s="60"/>
      <c r="D39" s="2"/>
      <c r="E39" s="2"/>
      <c r="F39" s="2"/>
      <c r="G39" s="2"/>
      <c r="H39" s="2"/>
      <c r="I39" s="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4.75" customHeight="1">
      <c r="A40" s="29" t="s">
        <v>95</v>
      </c>
      <c r="B40" s="47">
        <v>0.0</v>
      </c>
      <c r="C40" s="60"/>
      <c r="D40" s="2"/>
      <c r="E40" s="2"/>
      <c r="F40" s="2"/>
      <c r="G40" s="2"/>
      <c r="H40" s="2"/>
      <c r="I40" s="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4.75" customHeight="1">
      <c r="A41" s="29" t="s">
        <v>96</v>
      </c>
      <c r="B41" s="47">
        <v>6.0</v>
      </c>
      <c r="C41" s="60"/>
      <c r="D41" s="2"/>
      <c r="E41" s="2"/>
      <c r="F41" s="2"/>
      <c r="G41" s="2"/>
      <c r="H41" s="2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4.75" customHeight="1">
      <c r="A42" s="29" t="s">
        <v>97</v>
      </c>
      <c r="B42" s="47">
        <v>0.0</v>
      </c>
      <c r="C42" s="60"/>
      <c r="D42" s="2"/>
      <c r="E42" s="2"/>
      <c r="F42" s="2"/>
      <c r="G42" s="2"/>
      <c r="H42" s="2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8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8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8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8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8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8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8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8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8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8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8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8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8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8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8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8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8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8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8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8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8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8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8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8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8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8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8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8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8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8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8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8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8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8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8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8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8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8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8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8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8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8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8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8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8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8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8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8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8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8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8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8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8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0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0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0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0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0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0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78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75" customHeight="1">
      <c r="A3" s="9"/>
      <c r="B3" s="9"/>
      <c r="C3" s="9"/>
      <c r="D3" s="9"/>
      <c r="E3" s="11"/>
      <c r="F3" s="1"/>
      <c r="G3" s="1"/>
      <c r="H3" s="1"/>
      <c r="I3" s="1"/>
      <c r="J3" s="1"/>
      <c r="K3" s="1"/>
      <c r="L3" s="1"/>
      <c r="M3" s="1"/>
      <c r="N3" s="1"/>
      <c r="O3" s="1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75" customHeight="1">
      <c r="A4" s="14" t="s">
        <v>10</v>
      </c>
      <c r="B4" s="14" t="s">
        <v>12</v>
      </c>
      <c r="C4" s="14" t="s">
        <v>13</v>
      </c>
      <c r="D4" s="14" t="s">
        <v>14</v>
      </c>
      <c r="E4" s="14" t="s">
        <v>15</v>
      </c>
      <c r="F4" s="14" t="s">
        <v>16</v>
      </c>
      <c r="G4" s="14" t="s">
        <v>17</v>
      </c>
      <c r="H4" s="14" t="s">
        <v>7</v>
      </c>
      <c r="I4" s="14" t="s">
        <v>6</v>
      </c>
      <c r="J4" s="14" t="s">
        <v>18</v>
      </c>
      <c r="K4" s="14" t="s">
        <v>19</v>
      </c>
      <c r="L4" s="11"/>
      <c r="M4" s="11"/>
      <c r="N4" s="9"/>
      <c r="O4" s="11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16" t="s">
        <v>20</v>
      </c>
      <c r="B5" s="1">
        <f>IF(Resum!$B$29=1,1,0)</f>
        <v>0</v>
      </c>
      <c r="C5" s="1">
        <f>IF(Resum!$B$34=1,1,0)</f>
        <v>0</v>
      </c>
      <c r="D5" s="1">
        <f>IF(Resum!B39=1,1,0)</f>
        <v>0</v>
      </c>
      <c r="E5" s="1">
        <f>Resum!$B$30</f>
        <v>14</v>
      </c>
      <c r="F5" s="1">
        <f>Resum!$B$35</f>
        <v>78</v>
      </c>
      <c r="G5" s="1">
        <f>Resum!$B$40</f>
        <v>0</v>
      </c>
      <c r="H5" s="20">
        <v>7.5</v>
      </c>
      <c r="I5" s="21">
        <v>530.0</v>
      </c>
      <c r="J5" s="20">
        <f t="shared" ref="J5:J14" si="1">H5*(B5*E5+C5*F5+D5*G5)</f>
        <v>0</v>
      </c>
      <c r="K5" s="21">
        <f t="shared" ref="K5:K14" si="2">I5*(B5*E5+C5*F5+D5*G5)</f>
        <v>0</v>
      </c>
      <c r="L5" s="1"/>
      <c r="M5" s="1"/>
      <c r="N5" s="1"/>
      <c r="O5" s="1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75" customHeight="1">
      <c r="A6" s="16" t="s">
        <v>27</v>
      </c>
      <c r="B6" s="1">
        <f>IF(Resum!$B$29=2,1,0)</f>
        <v>0</v>
      </c>
      <c r="C6" s="1">
        <f>IF(Resum!$B$34=2,1,0)</f>
        <v>0</v>
      </c>
      <c r="D6" s="1">
        <f>IF(Resum!B39=2,1,0)</f>
        <v>0</v>
      </c>
      <c r="E6" s="1">
        <f>Resum!$B$30</f>
        <v>14</v>
      </c>
      <c r="F6" s="1">
        <f>Resum!$B$35</f>
        <v>78</v>
      </c>
      <c r="G6" s="1">
        <f>Resum!$B$40</f>
        <v>0</v>
      </c>
      <c r="H6" s="20">
        <v>7.8</v>
      </c>
      <c r="I6" s="21">
        <v>640.0</v>
      </c>
      <c r="J6" s="20">
        <f t="shared" si="1"/>
        <v>0</v>
      </c>
      <c r="K6" s="21">
        <f t="shared" si="2"/>
        <v>0</v>
      </c>
      <c r="L6" s="1"/>
      <c r="M6" s="1"/>
      <c r="N6" s="1"/>
      <c r="O6" s="1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75" customHeight="1">
      <c r="A7" s="16" t="s">
        <v>33</v>
      </c>
      <c r="B7" s="1">
        <f>IF(Resum!$B$29=3,1,0)</f>
        <v>0</v>
      </c>
      <c r="C7" s="1">
        <f>IF(Resum!$B$34=3,1,0)</f>
        <v>0</v>
      </c>
      <c r="D7" s="1">
        <f>IF(Resum!B39=3,1,0)</f>
        <v>0</v>
      </c>
      <c r="E7" s="1">
        <f>Resum!$B$30</f>
        <v>14</v>
      </c>
      <c r="F7" s="1">
        <f>Resum!$B$35</f>
        <v>78</v>
      </c>
      <c r="G7" s="1">
        <f>Resum!$B$40</f>
        <v>0</v>
      </c>
      <c r="H7" s="20">
        <v>7.5</v>
      </c>
      <c r="I7" s="21">
        <v>395.0</v>
      </c>
      <c r="J7" s="20">
        <f t="shared" si="1"/>
        <v>0</v>
      </c>
      <c r="K7" s="21">
        <f t="shared" si="2"/>
        <v>0</v>
      </c>
      <c r="L7" s="1"/>
      <c r="M7" s="1"/>
      <c r="N7" s="1"/>
      <c r="O7" s="1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75" customHeight="1">
      <c r="A8" s="16" t="s">
        <v>39</v>
      </c>
      <c r="B8" s="1">
        <f>IF(Resum!$B$29=4,1,0)</f>
        <v>0</v>
      </c>
      <c r="C8" s="1">
        <f>IF(Resum!$B$34=4,1,0)</f>
        <v>0</v>
      </c>
      <c r="D8" s="1">
        <f>IF(Resum!B39=4,1,0)</f>
        <v>0</v>
      </c>
      <c r="E8" s="1">
        <f>Resum!$B$30</f>
        <v>14</v>
      </c>
      <c r="F8" s="1">
        <f>Resum!$B$35</f>
        <v>78</v>
      </c>
      <c r="G8" s="1">
        <f>Resum!$B$40</f>
        <v>0</v>
      </c>
      <c r="H8" s="20">
        <v>7.4</v>
      </c>
      <c r="I8" s="21">
        <v>662.0</v>
      </c>
      <c r="J8" s="20">
        <f t="shared" si="1"/>
        <v>0</v>
      </c>
      <c r="K8" s="21">
        <f t="shared" si="2"/>
        <v>0</v>
      </c>
      <c r="L8" s="1"/>
      <c r="M8" s="1"/>
      <c r="N8" s="1"/>
      <c r="O8" s="1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75" customHeight="1">
      <c r="A9" s="16" t="s">
        <v>43</v>
      </c>
      <c r="B9" s="1">
        <f>IF(Resum!$B$29=5,1,0)</f>
        <v>0</v>
      </c>
      <c r="C9" s="1">
        <f>IF(Resum!$B$34=5,1,0)</f>
        <v>1</v>
      </c>
      <c r="D9" s="1">
        <f>IF(Resum!B39=5,1,0)</f>
        <v>0</v>
      </c>
      <c r="E9" s="1">
        <f>Resum!$B$30</f>
        <v>14</v>
      </c>
      <c r="F9" s="1">
        <f>Resum!$B$35</f>
        <v>78</v>
      </c>
      <c r="G9" s="1">
        <f>Resum!$B$40</f>
        <v>0</v>
      </c>
      <c r="H9" s="20">
        <v>7.0</v>
      </c>
      <c r="I9" s="21">
        <v>362.0</v>
      </c>
      <c r="J9" s="20">
        <f t="shared" si="1"/>
        <v>546</v>
      </c>
      <c r="K9" s="21">
        <f t="shared" si="2"/>
        <v>28236</v>
      </c>
      <c r="L9" s="1"/>
      <c r="M9" s="1"/>
      <c r="N9" s="1"/>
      <c r="O9" s="1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75" customHeight="1">
      <c r="A10" s="16" t="s">
        <v>44</v>
      </c>
      <c r="B10" s="1">
        <f>IF(Resum!$B$29=6,1,0)</f>
        <v>0</v>
      </c>
      <c r="C10" s="1">
        <f>IF(Resum!$B$34=6,1,0)</f>
        <v>0</v>
      </c>
      <c r="D10" s="1">
        <f>IF(Resum!B39=6,1,0)</f>
        <v>0</v>
      </c>
      <c r="E10" s="1">
        <f>Resum!$B$30</f>
        <v>14</v>
      </c>
      <c r="F10" s="1">
        <f>Resum!$B$35</f>
        <v>78</v>
      </c>
      <c r="G10" s="1">
        <f>Resum!$B$40</f>
        <v>0</v>
      </c>
      <c r="H10" s="20">
        <v>2.4</v>
      </c>
      <c r="I10" s="21">
        <v>84.0</v>
      </c>
      <c r="J10" s="20">
        <f t="shared" si="1"/>
        <v>0</v>
      </c>
      <c r="K10" s="21">
        <f t="shared" si="2"/>
        <v>0</v>
      </c>
      <c r="L10" s="1"/>
      <c r="M10" s="1"/>
      <c r="N10" s="1"/>
      <c r="O10" s="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75" customHeight="1">
      <c r="A11" s="16" t="s">
        <v>48</v>
      </c>
      <c r="B11" s="1">
        <f>IF(Resum!$B$29=7,1,0)</f>
        <v>0</v>
      </c>
      <c r="C11" s="1">
        <f>IF(Resum!$B$34=7,1,0)</f>
        <v>0</v>
      </c>
      <c r="D11" s="1">
        <f>IF(Resum!B39=7,1,0)</f>
        <v>0</v>
      </c>
      <c r="E11" s="1">
        <f>Resum!$B$30</f>
        <v>14</v>
      </c>
      <c r="F11" s="1">
        <f>Resum!$B$35</f>
        <v>78</v>
      </c>
      <c r="G11" s="1">
        <f>Resum!$B$40</f>
        <v>0</v>
      </c>
      <c r="H11" s="20">
        <v>6.8</v>
      </c>
      <c r="I11" s="21">
        <v>200.0</v>
      </c>
      <c r="J11" s="20">
        <f t="shared" si="1"/>
        <v>0</v>
      </c>
      <c r="K11" s="21">
        <f t="shared" si="2"/>
        <v>0</v>
      </c>
      <c r="L11" s="1"/>
      <c r="M11" s="1"/>
      <c r="N11" s="1"/>
      <c r="O11" s="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75" customHeight="1">
      <c r="A12" s="16" t="s">
        <v>49</v>
      </c>
      <c r="B12" s="1">
        <f>IF(Resum!$B$29=8,1,0)</f>
        <v>1</v>
      </c>
      <c r="C12" s="1">
        <f>IF(Resum!$B$34=8,1,0)</f>
        <v>0</v>
      </c>
      <c r="D12" s="1">
        <f>IF(Resum!B39=8,1,0)</f>
        <v>0</v>
      </c>
      <c r="E12" s="1">
        <f>Resum!$B$30</f>
        <v>14</v>
      </c>
      <c r="F12" s="1">
        <f>Resum!$B$35</f>
        <v>78</v>
      </c>
      <c r="G12" s="1">
        <f>Resum!$B$40</f>
        <v>0</v>
      </c>
      <c r="H12" s="20">
        <v>3.8</v>
      </c>
      <c r="I12" s="21">
        <v>456.0</v>
      </c>
      <c r="J12" s="20">
        <f t="shared" si="1"/>
        <v>53.2</v>
      </c>
      <c r="K12" s="21">
        <f t="shared" si="2"/>
        <v>6384</v>
      </c>
      <c r="L12" s="1"/>
      <c r="M12" s="1"/>
      <c r="N12" s="1"/>
      <c r="O12" s="1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75" customHeight="1">
      <c r="A13" s="16" t="s">
        <v>50</v>
      </c>
      <c r="B13" s="1">
        <f>IF(Resum!$B$29=9,1,0)</f>
        <v>0</v>
      </c>
      <c r="C13" s="1">
        <f>IF(Resum!$B$34=9,1,0)</f>
        <v>0</v>
      </c>
      <c r="D13" s="1">
        <f>IF(Resum!B39=9,1,0)</f>
        <v>1</v>
      </c>
      <c r="E13" s="1">
        <f>Resum!$B$30</f>
        <v>14</v>
      </c>
      <c r="F13" s="1">
        <f>Resum!$B$35</f>
        <v>78</v>
      </c>
      <c r="G13" s="1">
        <f>Resum!$B$40</f>
        <v>0</v>
      </c>
      <c r="H13" s="20">
        <v>3.5</v>
      </c>
      <c r="I13" s="21">
        <v>1800.0</v>
      </c>
      <c r="J13" s="20">
        <f t="shared" si="1"/>
        <v>0</v>
      </c>
      <c r="K13" s="21">
        <f t="shared" si="2"/>
        <v>0</v>
      </c>
      <c r="L13" s="1"/>
      <c r="M13" s="1"/>
      <c r="N13" s="1"/>
      <c r="O13" s="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75" customHeight="1">
      <c r="A14" s="16" t="s">
        <v>53</v>
      </c>
      <c r="B14" s="1">
        <f>IF(Resum!$B$29=10,1,0)</f>
        <v>0</v>
      </c>
      <c r="C14" s="1">
        <f>IF(Resum!$B$34=10,1,0)</f>
        <v>0</v>
      </c>
      <c r="D14" s="1">
        <f>IF(Resum!B39=10,1,0)</f>
        <v>0</v>
      </c>
      <c r="E14" s="1">
        <f>Resum!$B$30</f>
        <v>14</v>
      </c>
      <c r="F14" s="1">
        <f>Resum!$B$35</f>
        <v>78</v>
      </c>
      <c r="G14" s="1">
        <f>Resum!$B$40</f>
        <v>0</v>
      </c>
      <c r="H14" s="20">
        <v>4.1</v>
      </c>
      <c r="I14" s="21">
        <v>3800.0</v>
      </c>
      <c r="J14" s="20">
        <f t="shared" si="1"/>
        <v>0</v>
      </c>
      <c r="K14" s="21">
        <f t="shared" si="2"/>
        <v>0</v>
      </c>
      <c r="L14" s="1"/>
      <c r="M14" s="1"/>
      <c r="N14" s="1"/>
      <c r="O14" s="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75" customHeight="1">
      <c r="A15" s="14" t="s">
        <v>54</v>
      </c>
      <c r="B15" s="1"/>
      <c r="C15" s="1"/>
      <c r="D15" s="1"/>
      <c r="E15" s="1"/>
      <c r="F15" s="1"/>
      <c r="G15" s="1"/>
      <c r="H15" s="1"/>
      <c r="I15" s="21"/>
      <c r="J15" s="20"/>
      <c r="K15" s="16" t="str">
        <f>IF(I15="","",I15*E15)</f>
        <v/>
      </c>
      <c r="L15" s="14" t="s">
        <v>55</v>
      </c>
      <c r="M15" s="14" t="s">
        <v>56</v>
      </c>
      <c r="N15" s="1"/>
      <c r="O15" s="1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75" customHeight="1">
      <c r="A16" s="16" t="s">
        <v>20</v>
      </c>
      <c r="B16" s="1">
        <f>IF(Resum!$B$31=1,1,0)</f>
        <v>0</v>
      </c>
      <c r="C16" s="1">
        <f>IF(Resum!$B$36=1,1,0)</f>
        <v>0</v>
      </c>
      <c r="D16" s="1">
        <f>IF(Resum!B41=1,1,0)</f>
        <v>0</v>
      </c>
      <c r="E16" s="1">
        <f>Resum!$B$32</f>
        <v>1</v>
      </c>
      <c r="F16" s="1">
        <f>Resum!$B$37</f>
        <v>3</v>
      </c>
      <c r="G16" s="1">
        <f>Resum!$B$42</f>
        <v>0</v>
      </c>
      <c r="H16" s="20">
        <v>300.0</v>
      </c>
      <c r="I16" s="21">
        <v>3400.0</v>
      </c>
      <c r="J16" s="20">
        <f t="shared" ref="J16:J21" si="3">H16*(B16*E16+C16*F16+D16*G16)</f>
        <v>0</v>
      </c>
      <c r="K16" s="21">
        <f t="shared" ref="K16:K21" si="4">I16*(B16*E16+C16*F16+D16*G16)</f>
        <v>0</v>
      </c>
      <c r="L16" s="1">
        <v>2.0</v>
      </c>
      <c r="M16" s="1">
        <f t="shared" ref="M16:M21" si="5">L16*(B16*E16+C16*F16+D16*G16)</f>
        <v>0</v>
      </c>
      <c r="N16" s="1"/>
      <c r="O16" s="1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75" customHeight="1">
      <c r="A17" s="16" t="s">
        <v>27</v>
      </c>
      <c r="B17" s="1">
        <f>IF(Resum!$B$31=2,1,0)</f>
        <v>1</v>
      </c>
      <c r="C17" s="1">
        <f>IF(Resum!$B$36=2,1,0)</f>
        <v>0</v>
      </c>
      <c r="D17" s="1">
        <f>IF(Resum!B41=2,1,0)</f>
        <v>0</v>
      </c>
      <c r="E17" s="1">
        <f>Resum!$B$32</f>
        <v>1</v>
      </c>
      <c r="F17" s="1">
        <f>Resum!$B$37</f>
        <v>3</v>
      </c>
      <c r="G17" s="1">
        <f>Resum!$B$42</f>
        <v>0</v>
      </c>
      <c r="H17" s="20">
        <v>400.0</v>
      </c>
      <c r="I17" s="21">
        <v>4600.0</v>
      </c>
      <c r="J17" s="20">
        <f t="shared" si="3"/>
        <v>400</v>
      </c>
      <c r="K17" s="21">
        <f t="shared" si="4"/>
        <v>4600</v>
      </c>
      <c r="L17" s="1">
        <v>4.0</v>
      </c>
      <c r="M17" s="1">
        <f t="shared" si="5"/>
        <v>4</v>
      </c>
      <c r="N17" s="1"/>
      <c r="O17" s="1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75" customHeight="1">
      <c r="A18" s="16" t="s">
        <v>33</v>
      </c>
      <c r="B18" s="1">
        <f>IF(Resum!$B$31=3,1,0)</f>
        <v>0</v>
      </c>
      <c r="C18" s="1">
        <f>IF(Resum!$B$36=3,1,0)</f>
        <v>0</v>
      </c>
      <c r="D18" s="1">
        <f>IF(Resum!B41=3,1,0)</f>
        <v>0</v>
      </c>
      <c r="E18" s="1">
        <f>Resum!$B$32</f>
        <v>1</v>
      </c>
      <c r="F18" s="1">
        <f>Resum!$B$37</f>
        <v>3</v>
      </c>
      <c r="G18" s="1">
        <f>Resum!$B$42</f>
        <v>0</v>
      </c>
      <c r="H18" s="20">
        <v>408.0</v>
      </c>
      <c r="I18" s="21">
        <v>5100.0</v>
      </c>
      <c r="J18" s="20">
        <f t="shared" si="3"/>
        <v>0</v>
      </c>
      <c r="K18" s="21">
        <f t="shared" si="4"/>
        <v>0</v>
      </c>
      <c r="L18" s="1">
        <v>4.0</v>
      </c>
      <c r="M18" s="1">
        <f t="shared" si="5"/>
        <v>0</v>
      </c>
      <c r="N18" s="1"/>
      <c r="O18" s="1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75" customHeight="1">
      <c r="A19" s="16" t="s">
        <v>39</v>
      </c>
      <c r="B19" s="1">
        <f>IF(Resum!$B$31=4,1,0)</f>
        <v>0</v>
      </c>
      <c r="C19" s="1">
        <f>IF(Resum!$B$36=4,1,0)</f>
        <v>0</v>
      </c>
      <c r="D19" s="1">
        <f>IF(Resum!B41=4,1,0)</f>
        <v>0</v>
      </c>
      <c r="E19" s="1">
        <f>Resum!$B$32</f>
        <v>1</v>
      </c>
      <c r="F19" s="1">
        <f>Resum!$B$37</f>
        <v>3</v>
      </c>
      <c r="G19" s="1">
        <f>Resum!$B$42</f>
        <v>0</v>
      </c>
      <c r="H19" s="20">
        <v>450.0</v>
      </c>
      <c r="I19" s="21">
        <v>5000.0</v>
      </c>
      <c r="J19" s="20">
        <f t="shared" si="3"/>
        <v>0</v>
      </c>
      <c r="K19" s="21">
        <f t="shared" si="4"/>
        <v>0</v>
      </c>
      <c r="L19" s="1">
        <v>4.0</v>
      </c>
      <c r="M19" s="1">
        <f t="shared" si="5"/>
        <v>0</v>
      </c>
      <c r="N19" s="1"/>
      <c r="O19" s="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75" customHeight="1">
      <c r="A20" s="16" t="s">
        <v>43</v>
      </c>
      <c r="B20" s="1">
        <f>IF(Resum!$B$31=5,1,0)</f>
        <v>0</v>
      </c>
      <c r="C20" s="1">
        <f>IF(Resum!$B$36=5,1,0)</f>
        <v>1</v>
      </c>
      <c r="D20" s="1">
        <f>IF(Resum!B41=5,1,0)</f>
        <v>0</v>
      </c>
      <c r="E20" s="1">
        <f>Resum!$B$32</f>
        <v>1</v>
      </c>
      <c r="F20" s="1">
        <f>Resum!$B$37</f>
        <v>3</v>
      </c>
      <c r="G20" s="1">
        <f>Resum!$B$42</f>
        <v>0</v>
      </c>
      <c r="H20" s="20">
        <v>460.0</v>
      </c>
      <c r="I20" s="21">
        <v>5500.0</v>
      </c>
      <c r="J20" s="20">
        <f t="shared" si="3"/>
        <v>1380</v>
      </c>
      <c r="K20" s="21">
        <f t="shared" si="4"/>
        <v>16500</v>
      </c>
      <c r="L20" s="1">
        <v>4.0</v>
      </c>
      <c r="M20" s="1">
        <f t="shared" si="5"/>
        <v>12</v>
      </c>
      <c r="N20" s="1"/>
      <c r="O20" s="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75" customHeight="1">
      <c r="A21" s="16" t="s">
        <v>44</v>
      </c>
      <c r="B21" s="1">
        <f>IF(Resum!$B$31=6,1,0)</f>
        <v>0</v>
      </c>
      <c r="C21" s="1">
        <f>IF(Resum!$B$36=6,1,0)</f>
        <v>0</v>
      </c>
      <c r="D21" s="1">
        <f>IF(Resum!B41=6,1,0)</f>
        <v>1</v>
      </c>
      <c r="E21" s="1">
        <f>Resum!$B$32</f>
        <v>1</v>
      </c>
      <c r="F21" s="1">
        <f>Resum!$B$37</f>
        <v>3</v>
      </c>
      <c r="G21" s="1">
        <f>Resum!$B$42</f>
        <v>0</v>
      </c>
      <c r="H21" s="20">
        <v>0.0</v>
      </c>
      <c r="I21" s="21">
        <v>2400.0</v>
      </c>
      <c r="J21" s="20">
        <f t="shared" si="3"/>
        <v>0</v>
      </c>
      <c r="K21" s="21">
        <f t="shared" si="4"/>
        <v>0</v>
      </c>
      <c r="L21" s="1">
        <v>4.0</v>
      </c>
      <c r="M21" s="1">
        <f t="shared" si="5"/>
        <v>0</v>
      </c>
      <c r="N21" s="1"/>
      <c r="O21" s="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75" customHeight="1">
      <c r="A22" s="1"/>
      <c r="B22" s="1"/>
      <c r="C22" s="1"/>
      <c r="D22" s="1"/>
      <c r="E22" s="1"/>
      <c r="F22" s="20"/>
      <c r="G22" s="20"/>
      <c r="H22" s="21"/>
      <c r="I22" s="21"/>
      <c r="J22" s="20"/>
      <c r="K22" s="16" t="str">
        <f>IF(I22="","",I22*E22)</f>
        <v/>
      </c>
      <c r="L22" s="1"/>
      <c r="M22" s="1"/>
      <c r="N22" s="1"/>
      <c r="O22" s="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75" customHeight="1">
      <c r="A23" s="1"/>
      <c r="B23" s="1"/>
      <c r="C23" s="1"/>
      <c r="D23" s="1"/>
      <c r="E23" s="1"/>
      <c r="F23" s="1"/>
      <c r="G23" s="1"/>
      <c r="H23" s="21"/>
      <c r="I23" s="21"/>
      <c r="J23" s="20"/>
      <c r="K23" s="21"/>
      <c r="L23" s="1"/>
      <c r="M23" s="1"/>
      <c r="N23" s="1"/>
      <c r="O23" s="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75" customHeight="1">
      <c r="A24" s="9"/>
      <c r="B24" s="57" t="s">
        <v>68</v>
      </c>
      <c r="C24" s="11"/>
      <c r="D24" s="11"/>
      <c r="E24" s="11"/>
      <c r="F24" s="11"/>
      <c r="G24" s="11"/>
      <c r="H24" s="58"/>
      <c r="I24" s="58"/>
      <c r="J24" s="59">
        <f>SUM(J5:J22)/1000</f>
        <v>2.3792</v>
      </c>
      <c r="K24" s="61">
        <f>SUM(K5:K22)</f>
        <v>55720</v>
      </c>
      <c r="L24" s="57" t="s">
        <v>77</v>
      </c>
      <c r="M24" s="62">
        <f>SUM(M16:M21)</f>
        <v>16</v>
      </c>
      <c r="N24" s="1"/>
      <c r="O24" s="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8.75" customHeight="1">
      <c r="A25" s="9"/>
      <c r="B25" s="9"/>
      <c r="C25" s="11"/>
      <c r="D25" s="11"/>
      <c r="E25" s="11"/>
      <c r="F25" s="11"/>
      <c r="G25" s="11"/>
      <c r="H25" s="58"/>
      <c r="I25" s="58"/>
      <c r="J25" s="64"/>
      <c r="K25" s="58"/>
      <c r="L25" s="57" t="s">
        <v>54</v>
      </c>
      <c r="M25" s="65">
        <f>E16+F16+G16</f>
        <v>4</v>
      </c>
      <c r="N25" s="1"/>
      <c r="O25" s="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75" customHeight="1">
      <c r="A26" s="9"/>
      <c r="B26" s="9"/>
      <c r="C26" s="11"/>
      <c r="D26" s="11"/>
      <c r="E26" s="11"/>
      <c r="F26" s="11"/>
      <c r="G26" s="11"/>
      <c r="H26" s="58"/>
      <c r="I26" s="58"/>
      <c r="J26" s="64"/>
      <c r="K26" s="58"/>
      <c r="L26" s="1"/>
      <c r="M26" s="1"/>
      <c r="N26" s="1"/>
      <c r="O26" s="1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75" customHeight="1">
      <c r="A27" s="9"/>
      <c r="B27" s="9"/>
      <c r="C27" s="11"/>
      <c r="D27" s="11"/>
      <c r="E27" s="11"/>
      <c r="F27" s="11"/>
      <c r="G27" s="11"/>
      <c r="H27" s="58"/>
      <c r="I27" s="58"/>
      <c r="J27" s="64"/>
      <c r="K27" s="58"/>
      <c r="L27" s="1"/>
      <c r="M27" s="1"/>
      <c r="N27" s="1"/>
      <c r="O27" s="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75" customHeight="1">
      <c r="A28" s="9"/>
      <c r="B28" s="9"/>
      <c r="C28" s="11"/>
      <c r="D28" s="11"/>
      <c r="E28" s="11"/>
      <c r="F28" s="11"/>
      <c r="G28" s="11"/>
      <c r="H28" s="58"/>
      <c r="I28" s="58"/>
      <c r="J28" s="64"/>
      <c r="K28" s="58"/>
      <c r="L28" s="1"/>
      <c r="M28" s="1"/>
      <c r="N28" s="1"/>
      <c r="O28" s="1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8.75" customHeight="1">
      <c r="A29" s="9"/>
      <c r="B29" s="9"/>
      <c r="C29" s="11"/>
      <c r="D29" s="11"/>
      <c r="E29" s="11"/>
      <c r="F29" s="11"/>
      <c r="G29" s="11"/>
      <c r="H29" s="58"/>
      <c r="I29" s="58"/>
      <c r="J29" s="64"/>
      <c r="K29" s="58"/>
      <c r="L29" s="1"/>
      <c r="M29" s="1"/>
      <c r="N29" s="1"/>
      <c r="O29" s="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56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3" t="s">
        <v>0</v>
      </c>
      <c r="G1" s="4"/>
      <c r="H1" s="3" t="s">
        <v>1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75" customHeight="1">
      <c r="A2" s="6" t="s">
        <v>2</v>
      </c>
      <c r="B2" s="4"/>
      <c r="C2" s="8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1.75" customHeight="1">
      <c r="A3" s="10" t="s">
        <v>9</v>
      </c>
      <c r="B3" s="13">
        <f>Resum!B7</f>
        <v>60</v>
      </c>
      <c r="C3" s="2">
        <f t="shared" ref="C3:C5" si="1">IF($B$6&lt;&gt;0,1,0)</f>
        <v>0</v>
      </c>
      <c r="D3" s="8" t="s">
        <v>11</v>
      </c>
      <c r="E3" s="2">
        <v>16.0</v>
      </c>
      <c r="F3" s="15">
        <v>400.0</v>
      </c>
      <c r="G3" s="17">
        <v>0.7</v>
      </c>
      <c r="H3" s="15">
        <f t="shared" ref="H3:H5" si="2">E3*F3*C3</f>
        <v>0</v>
      </c>
      <c r="I3" s="17">
        <f t="shared" ref="I3:I11" si="3">G3*E3*C3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75" customHeight="1">
      <c r="A4" s="10" t="s">
        <v>21</v>
      </c>
      <c r="B4" s="19">
        <f>Resum!B4</f>
        <v>42</v>
      </c>
      <c r="C4" s="2">
        <f t="shared" si="1"/>
        <v>0</v>
      </c>
      <c r="D4" s="8" t="s">
        <v>23</v>
      </c>
      <c r="E4" s="2">
        <f>2*E15+B5*2</f>
        <v>6</v>
      </c>
      <c r="F4" s="15">
        <v>6000.0</v>
      </c>
      <c r="G4" s="17">
        <v>150.0</v>
      </c>
      <c r="H4" s="15">
        <f t="shared" si="2"/>
        <v>0</v>
      </c>
      <c r="I4" s="17">
        <f t="shared" si="3"/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6.0" customHeight="1">
      <c r="A5" s="10" t="s">
        <v>24</v>
      </c>
      <c r="B5" s="13">
        <f>ROUNDUP('Cabina de discos'!M24/B4,0)</f>
        <v>1</v>
      </c>
      <c r="C5" s="2">
        <f t="shared" si="1"/>
        <v>0</v>
      </c>
      <c r="D5" s="8" t="s">
        <v>25</v>
      </c>
      <c r="E5" s="2">
        <f>(B4-4)*2+E15+2+2</f>
        <v>82</v>
      </c>
      <c r="F5" s="15">
        <v>26.0</v>
      </c>
      <c r="G5" s="17">
        <v>0.0</v>
      </c>
      <c r="H5" s="15">
        <f t="shared" si="2"/>
        <v>0</v>
      </c>
      <c r="I5" s="17">
        <f t="shared" si="3"/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1.75" customHeight="1">
      <c r="A6" s="10" t="s">
        <v>26</v>
      </c>
      <c r="B6" s="13">
        <f>Resum!B27</f>
        <v>0</v>
      </c>
      <c r="C6" s="2">
        <f t="shared" ref="C6:C7" si="4">IF($B$6=1,1,0)</f>
        <v>0</v>
      </c>
      <c r="D6" s="8" t="s">
        <v>28</v>
      </c>
      <c r="E6" s="2">
        <f>$B$3*2</f>
        <v>120</v>
      </c>
      <c r="F6" s="15">
        <v>1600.0</v>
      </c>
      <c r="G6" s="17">
        <v>6.2</v>
      </c>
      <c r="H6" s="15">
        <f t="shared" ref="H6:H11" si="5">C6*E6*F6</f>
        <v>0</v>
      </c>
      <c r="I6" s="17">
        <f t="shared" si="3"/>
        <v>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1.75" customHeight="1">
      <c r="A7" s="2"/>
      <c r="B7" s="2"/>
      <c r="C7" s="2">
        <f t="shared" si="4"/>
        <v>0</v>
      </c>
      <c r="D7" s="8" t="s">
        <v>30</v>
      </c>
      <c r="E7" s="2">
        <v>2.0</v>
      </c>
      <c r="F7" s="15">
        <v>12800.0</v>
      </c>
      <c r="G7" s="17">
        <v>600.0</v>
      </c>
      <c r="H7" s="15">
        <f t="shared" si="5"/>
        <v>0</v>
      </c>
      <c r="I7" s="17">
        <f t="shared" si="3"/>
        <v>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1.75" customHeight="1">
      <c r="A8" s="2"/>
      <c r="B8" s="2"/>
      <c r="C8" s="2">
        <f t="shared" ref="C8:C9" si="6">IF($B$6=2,1,0)</f>
        <v>0</v>
      </c>
      <c r="D8" s="8" t="s">
        <v>32</v>
      </c>
      <c r="E8" s="2">
        <f>$B$3*2</f>
        <v>120</v>
      </c>
      <c r="F8" s="15">
        <v>2800.0</v>
      </c>
      <c r="G8" s="17">
        <v>10.2</v>
      </c>
      <c r="H8" s="15">
        <f t="shared" si="5"/>
        <v>0</v>
      </c>
      <c r="I8" s="17">
        <f t="shared" si="3"/>
        <v>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1.75" customHeight="1">
      <c r="A9" s="2"/>
      <c r="B9" s="2"/>
      <c r="C9" s="2">
        <f t="shared" si="6"/>
        <v>0</v>
      </c>
      <c r="D9" s="8" t="s">
        <v>35</v>
      </c>
      <c r="E9" s="2">
        <v>2.0</v>
      </c>
      <c r="F9" s="15">
        <v>30000.0</v>
      </c>
      <c r="G9" s="17">
        <v>1800.0</v>
      </c>
      <c r="H9" s="15">
        <f t="shared" si="5"/>
        <v>0</v>
      </c>
      <c r="I9" s="17">
        <f t="shared" si="3"/>
        <v>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1.75" customHeight="1">
      <c r="A10" s="2"/>
      <c r="B10" s="2"/>
      <c r="C10" s="2">
        <f t="shared" ref="C10:C11" si="7">IF($B$6=3,1,0)</f>
        <v>0</v>
      </c>
      <c r="D10" s="8" t="s">
        <v>37</v>
      </c>
      <c r="E10" s="2">
        <f>$B$3*2</f>
        <v>120</v>
      </c>
      <c r="F10" s="15">
        <v>4200.0</v>
      </c>
      <c r="G10" s="17">
        <v>18.5</v>
      </c>
      <c r="H10" s="15">
        <f t="shared" si="5"/>
        <v>0</v>
      </c>
      <c r="I10" s="17">
        <f t="shared" si="3"/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1.75" customHeight="1">
      <c r="A11" s="2"/>
      <c r="B11" s="2"/>
      <c r="C11" s="2">
        <f t="shared" si="7"/>
        <v>0</v>
      </c>
      <c r="D11" s="8" t="s">
        <v>38</v>
      </c>
      <c r="E11" s="2">
        <v>2.0</v>
      </c>
      <c r="F11" s="15">
        <v>72200.0</v>
      </c>
      <c r="G11" s="17">
        <v>3500.0</v>
      </c>
      <c r="H11" s="15">
        <f t="shared" si="5"/>
        <v>0</v>
      </c>
      <c r="I11" s="17">
        <f t="shared" si="3"/>
        <v>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.75" customHeight="1">
      <c r="A12" s="2"/>
      <c r="B12" s="2"/>
      <c r="C12" s="2"/>
      <c r="D12" s="8"/>
      <c r="E12" s="2"/>
      <c r="F12" s="15"/>
      <c r="G12" s="17"/>
      <c r="H12" s="15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1.75" customHeight="1">
      <c r="A13" s="6" t="s">
        <v>40</v>
      </c>
      <c r="B13" s="4"/>
      <c r="C13" s="2"/>
      <c r="D13" s="33" t="s">
        <v>42</v>
      </c>
      <c r="E13" s="35"/>
      <c r="F13" s="35"/>
      <c r="G13" s="4"/>
      <c r="H13" s="15">
        <f t="shared" ref="H13:I13" si="8">SUM(H3:H12)</f>
        <v>0</v>
      </c>
      <c r="I13" s="17">
        <f t="shared" si="8"/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1.75" customHeight="1">
      <c r="A14" s="10" t="s">
        <v>47</v>
      </c>
      <c r="B14" s="36">
        <f>H13</f>
        <v>0</v>
      </c>
      <c r="C14" s="2"/>
      <c r="D14" s="2"/>
      <c r="E14" s="2"/>
      <c r="F14" s="37"/>
      <c r="G14" s="17"/>
      <c r="H14" s="2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1.75" customHeight="1">
      <c r="A15" s="10" t="s">
        <v>7</v>
      </c>
      <c r="B15" s="40">
        <f>I13/1000</f>
        <v>0</v>
      </c>
      <c r="C15" s="2"/>
      <c r="D15" s="8" t="s">
        <v>51</v>
      </c>
      <c r="E15" s="2">
        <f>MROUND(B3/(B4-4),1)</f>
        <v>2</v>
      </c>
      <c r="F15" s="2"/>
      <c r="G15" s="2"/>
      <c r="H15" s="2"/>
      <c r="I15" s="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9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9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9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9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9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9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9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9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9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9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9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9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9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9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9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9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9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9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9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9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9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9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9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9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9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9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9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9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9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9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9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9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9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9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9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9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9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9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9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9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9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9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9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9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9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9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9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9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9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9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9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9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9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9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9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9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9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9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9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9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9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9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9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9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9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9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9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9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9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9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9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9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9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9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9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9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9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9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9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9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9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9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9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9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9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9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9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9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9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9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9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9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9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9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9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9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9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9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9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9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9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9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9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9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9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9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9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9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9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9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9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9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9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9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9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9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9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9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9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9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9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9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9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9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9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9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9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9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9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9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9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9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9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9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9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9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9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9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9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9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9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9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9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9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9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9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9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9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9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9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9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9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9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9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9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9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9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9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9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9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9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9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9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9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9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9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9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9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9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9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9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9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9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9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9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9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9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9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9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9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9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9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9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9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9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9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9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9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9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9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9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9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9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9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9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9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9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9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9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9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9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9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9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9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9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9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9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9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9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9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9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9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9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9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9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9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9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9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9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9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9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9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9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9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9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9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9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9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9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9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9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9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9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9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9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9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9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9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9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9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9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9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9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9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9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9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9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9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9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9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9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9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9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9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9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9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9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9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9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9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9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9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9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9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9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9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9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9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9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9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9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9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9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9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9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9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9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9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9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9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9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9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9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9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9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9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9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9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9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9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9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9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9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9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9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9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9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9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9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9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9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9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9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9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9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9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9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9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9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9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9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9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9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9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9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9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9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9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9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9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9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9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9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9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9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9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9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9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9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9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9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9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9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9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9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9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9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9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9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9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9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9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9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9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9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9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9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9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9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9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9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9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9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9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9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9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9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9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9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9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9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9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9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9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9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9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9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9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9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9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9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9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9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9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9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9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9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9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9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9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9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9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9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9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9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9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9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9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9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9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9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9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9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9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9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9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9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9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9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9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9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9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9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9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9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9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9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9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9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9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9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9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9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9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9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9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9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9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9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9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9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9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9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9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9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9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9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9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9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9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9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9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9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9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9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9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9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9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9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9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9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9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9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9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9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9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9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9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9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9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9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9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9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9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9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9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9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9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9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9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9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9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9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9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9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9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9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9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9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9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9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9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9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9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9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9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9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9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9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9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9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9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9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9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9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9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9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9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9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9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9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9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9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9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9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9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9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9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9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9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9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9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9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9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9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9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9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9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9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9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9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9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9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9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9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9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9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9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9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9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9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9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9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9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9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9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9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9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9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9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9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9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9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9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9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9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9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9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9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9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9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9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9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9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9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9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9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9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9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9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9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9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9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9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9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9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9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9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9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9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9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9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9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9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9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9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9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9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9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9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9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9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9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9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9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9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9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9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9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9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9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9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9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9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9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9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9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9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9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9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9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9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9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9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9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9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9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9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9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9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9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9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9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9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9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9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9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9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9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9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9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9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9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9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9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9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9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9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9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9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9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9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9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9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9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9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9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9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9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9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9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9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9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9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9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9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9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9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9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9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9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9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9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9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9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9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9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9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9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9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9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9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9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9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9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9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9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9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9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9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9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9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9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9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9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9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9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9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9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9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9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9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9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9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9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9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9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9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9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9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9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9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9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9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9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9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9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9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9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9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9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9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9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9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9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9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9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9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9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9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9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9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9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9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9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9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9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9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9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9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9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9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9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9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9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9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9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9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9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9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9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9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9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9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9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9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9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9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9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9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9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9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9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9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9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9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9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9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9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9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9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9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9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9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9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9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9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9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9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9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9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9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9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9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9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9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9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9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9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9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9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9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9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9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9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9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9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9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9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9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9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9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9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9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9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9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9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9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9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9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9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9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9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9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9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9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9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9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9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9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9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9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9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9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9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9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9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9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9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9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9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9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9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9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9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9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9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9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9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9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9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9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9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9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9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9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9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9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9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9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9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9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9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9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9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9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9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9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9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9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9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9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9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9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9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9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9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9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9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9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9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9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9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9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9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9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9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9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9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9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9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9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9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9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9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9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9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9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9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9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9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9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9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9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9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9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9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9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9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9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9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9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9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9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9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9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9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9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9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9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9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9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9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9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9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9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9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9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9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9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9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9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9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9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9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9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9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9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9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9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9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9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9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9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9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9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9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9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9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9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9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9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9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9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9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9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9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9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9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9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9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9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9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9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9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9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9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9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9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9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9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9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9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9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9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9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9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9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9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9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9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9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9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9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9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9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9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9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9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9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9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9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9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9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9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9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9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9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9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9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9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D13:G13"/>
    <mergeCell ref="A13:B13"/>
    <mergeCell ref="H1:I1"/>
    <mergeCell ref="F1:G1"/>
    <mergeCell ref="A2:B2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7"/>
      <c r="V1" s="7"/>
      <c r="W1" s="7"/>
      <c r="X1" s="7"/>
      <c r="Y1" s="7"/>
      <c r="Z1" s="7"/>
    </row>
    <row r="2" ht="18.0" customHeight="1">
      <c r="A2" s="133" t="s">
        <v>142</v>
      </c>
      <c r="B2" s="135"/>
      <c r="C2" s="135"/>
      <c r="D2" s="135"/>
      <c r="E2" s="135"/>
      <c r="F2" s="135"/>
      <c r="G2" s="136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7"/>
      <c r="V2" s="7"/>
      <c r="W2" s="7"/>
      <c r="X2" s="7"/>
      <c r="Y2" s="7"/>
      <c r="Z2" s="7"/>
    </row>
    <row r="3" ht="18.0" customHeight="1">
      <c r="A3" s="137" t="s">
        <v>146</v>
      </c>
      <c r="B3" s="139"/>
      <c r="C3" s="139"/>
      <c r="D3" s="139"/>
      <c r="E3" s="139"/>
      <c r="F3" s="139"/>
      <c r="G3" s="14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7"/>
      <c r="V3" s="7"/>
      <c r="W3" s="7"/>
      <c r="X3" s="7"/>
      <c r="Y3" s="7"/>
      <c r="Z3" s="7"/>
    </row>
    <row r="4" ht="18.75" customHeight="1">
      <c r="A4" s="143"/>
      <c r="B4" s="145" t="s">
        <v>152</v>
      </c>
      <c r="C4" s="82"/>
      <c r="D4" s="82"/>
      <c r="E4" s="82"/>
      <c r="F4" s="82"/>
      <c r="G4" s="76"/>
      <c r="H4" s="147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31"/>
      <c r="U4" s="7"/>
      <c r="V4" s="7"/>
      <c r="W4" s="7"/>
      <c r="X4" s="7"/>
      <c r="Y4" s="7"/>
      <c r="Z4" s="7"/>
    </row>
    <row r="5" ht="18.75" customHeight="1">
      <c r="A5" s="156"/>
      <c r="B5" s="157" t="s">
        <v>156</v>
      </c>
      <c r="C5" s="157" t="s">
        <v>158</v>
      </c>
      <c r="D5" s="157" t="s">
        <v>159</v>
      </c>
      <c r="E5" s="157" t="s">
        <v>160</v>
      </c>
      <c r="F5" s="157" t="s">
        <v>161</v>
      </c>
      <c r="G5" s="157" t="s">
        <v>162</v>
      </c>
      <c r="H5" s="158"/>
      <c r="I5" s="159" t="s">
        <v>163</v>
      </c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47"/>
      <c r="U5" s="7"/>
      <c r="V5" s="7"/>
      <c r="W5" s="7"/>
      <c r="X5" s="7"/>
      <c r="Y5" s="7"/>
      <c r="Z5" s="7"/>
    </row>
    <row r="6" ht="18.0" customHeight="1">
      <c r="A6" s="160" t="s">
        <v>164</v>
      </c>
      <c r="B6" s="161">
        <v>17.683102</v>
      </c>
      <c r="C6" s="161">
        <v>8.849205</v>
      </c>
      <c r="D6" s="161">
        <v>6.476148</v>
      </c>
      <c r="E6" s="161">
        <v>6.476148</v>
      </c>
      <c r="F6" s="161">
        <v>6.476148</v>
      </c>
      <c r="G6" s="161">
        <v>2.954837</v>
      </c>
      <c r="H6" s="158"/>
      <c r="I6" s="156"/>
      <c r="J6" s="159" t="s">
        <v>156</v>
      </c>
      <c r="K6" s="159" t="s">
        <v>158</v>
      </c>
      <c r="L6" s="159" t="s">
        <v>159</v>
      </c>
      <c r="M6" s="159" t="s">
        <v>160</v>
      </c>
      <c r="N6" s="159" t="s">
        <v>161</v>
      </c>
      <c r="O6" s="159" t="s">
        <v>162</v>
      </c>
      <c r="P6" s="159" t="s">
        <v>166</v>
      </c>
      <c r="Q6" s="159" t="s">
        <v>167</v>
      </c>
      <c r="R6" s="159" t="s">
        <v>168</v>
      </c>
      <c r="S6" s="159" t="s">
        <v>169</v>
      </c>
      <c r="T6" s="147"/>
      <c r="U6" s="7"/>
      <c r="V6" s="7"/>
      <c r="W6" s="7"/>
      <c r="X6" s="7"/>
      <c r="Y6" s="7"/>
      <c r="Z6" s="7"/>
    </row>
    <row r="7" ht="18.0" customHeight="1">
      <c r="A7" s="160" t="s">
        <v>170</v>
      </c>
      <c r="B7" s="161">
        <v>0.075697</v>
      </c>
      <c r="C7" s="161">
        <v>0.056532</v>
      </c>
      <c r="D7" s="161">
        <v>0.030124</v>
      </c>
      <c r="E7" s="161">
        <v>0.014992</v>
      </c>
      <c r="F7" s="161">
        <v>0.009682</v>
      </c>
      <c r="G7" s="161">
        <v>0.006062</v>
      </c>
      <c r="H7" s="158"/>
      <c r="I7" s="159" t="s">
        <v>171</v>
      </c>
      <c r="J7" s="163">
        <v>6.0</v>
      </c>
      <c r="K7" s="156">
        <v>10.0</v>
      </c>
      <c r="L7" s="156">
        <v>0.0</v>
      </c>
      <c r="M7" s="156">
        <v>0.0</v>
      </c>
      <c r="N7" s="156">
        <v>0.0</v>
      </c>
      <c r="O7" s="156">
        <v>8.0</v>
      </c>
      <c r="P7" s="156">
        <v>23.0</v>
      </c>
      <c r="Q7" s="156">
        <v>8.0</v>
      </c>
      <c r="R7" s="156">
        <f t="shared" ref="R7:R20" si="1">P7+Q7</f>
        <v>31</v>
      </c>
      <c r="S7" s="165">
        <f t="shared" ref="S7:S19" si="2">R7*24</f>
        <v>744</v>
      </c>
      <c r="T7" s="147"/>
      <c r="U7" s="7"/>
      <c r="V7" s="7"/>
      <c r="W7" s="7"/>
      <c r="X7" s="7"/>
      <c r="Y7" s="7"/>
      <c r="Z7" s="7"/>
    </row>
    <row r="8" ht="18.75" customHeight="1">
      <c r="A8" s="167"/>
      <c r="B8" s="169"/>
      <c r="C8" s="167"/>
      <c r="D8" s="167"/>
      <c r="E8" s="167"/>
      <c r="F8" s="167"/>
      <c r="G8" s="170"/>
      <c r="H8" s="172"/>
      <c r="I8" s="159" t="s">
        <v>173</v>
      </c>
      <c r="J8" s="156">
        <v>6.0</v>
      </c>
      <c r="K8" s="156">
        <v>10.0</v>
      </c>
      <c r="L8" s="156">
        <v>0.0</v>
      </c>
      <c r="M8" s="156">
        <v>0.0</v>
      </c>
      <c r="N8" s="156">
        <v>0.0</v>
      </c>
      <c r="O8" s="156">
        <v>8.0</v>
      </c>
      <c r="P8" s="156">
        <v>20.0</v>
      </c>
      <c r="Q8" s="156">
        <v>8.0</v>
      </c>
      <c r="R8" s="156">
        <f t="shared" si="1"/>
        <v>28</v>
      </c>
      <c r="S8" s="165">
        <f t="shared" si="2"/>
        <v>672</v>
      </c>
      <c r="T8" s="147"/>
      <c r="U8" s="7"/>
      <c r="V8" s="7"/>
      <c r="W8" s="7"/>
      <c r="X8" s="7"/>
      <c r="Y8" s="7"/>
      <c r="Z8" s="7"/>
    </row>
    <row r="9" ht="18.75" customHeight="1">
      <c r="A9" s="175" t="s">
        <v>174</v>
      </c>
      <c r="B9" s="177">
        <f>Resum!B6</f>
        <v>0.07</v>
      </c>
      <c r="C9" s="178" t="s">
        <v>181</v>
      </c>
      <c r="D9" s="1"/>
      <c r="E9" s="1"/>
      <c r="F9" s="1"/>
      <c r="G9" s="179"/>
      <c r="H9" s="172"/>
      <c r="I9" s="159" t="s">
        <v>182</v>
      </c>
      <c r="J9" s="156">
        <v>0.0</v>
      </c>
      <c r="K9" s="156">
        <v>0.0</v>
      </c>
      <c r="L9" s="156">
        <v>6.0</v>
      </c>
      <c r="M9" s="156">
        <v>10.0</v>
      </c>
      <c r="N9" s="156">
        <v>0.0</v>
      </c>
      <c r="O9" s="156">
        <v>8.0</v>
      </c>
      <c r="P9" s="156">
        <v>23.0</v>
      </c>
      <c r="Q9" s="156">
        <v>8.0</v>
      </c>
      <c r="R9" s="156">
        <f t="shared" si="1"/>
        <v>31</v>
      </c>
      <c r="S9" s="165">
        <f t="shared" si="2"/>
        <v>744</v>
      </c>
      <c r="T9" s="147"/>
      <c r="U9" s="7"/>
      <c r="V9" s="7"/>
      <c r="W9" s="7"/>
      <c r="X9" s="7"/>
      <c r="Y9" s="7"/>
      <c r="Z9" s="7"/>
    </row>
    <row r="10" ht="18.75" customHeight="1">
      <c r="A10" s="160" t="s">
        <v>183</v>
      </c>
      <c r="B10" s="182">
        <f>Resum!B5+'Cabina de discos'!J24+SAN!B15+Backup!H29</f>
        <v>183.0472</v>
      </c>
      <c r="C10" s="178" t="s">
        <v>186</v>
      </c>
      <c r="D10" s="1"/>
      <c r="E10" s="1"/>
      <c r="F10" s="1"/>
      <c r="G10" s="179"/>
      <c r="H10" s="172"/>
      <c r="I10" s="159" t="s">
        <v>187</v>
      </c>
      <c r="J10" s="156">
        <v>0.0</v>
      </c>
      <c r="K10" s="156">
        <v>0.0</v>
      </c>
      <c r="L10" s="156">
        <v>0.0</v>
      </c>
      <c r="M10" s="156">
        <v>0.0</v>
      </c>
      <c r="N10" s="156">
        <v>16.0</v>
      </c>
      <c r="O10" s="156">
        <v>8.0</v>
      </c>
      <c r="P10" s="156">
        <v>22.0</v>
      </c>
      <c r="Q10" s="156">
        <v>8.0</v>
      </c>
      <c r="R10" s="156">
        <f t="shared" si="1"/>
        <v>30</v>
      </c>
      <c r="S10" s="165">
        <f t="shared" si="2"/>
        <v>720</v>
      </c>
      <c r="T10" s="147"/>
      <c r="U10" s="7"/>
      <c r="V10" s="7"/>
      <c r="W10" s="7"/>
      <c r="X10" s="7"/>
      <c r="Y10" s="7"/>
      <c r="Z10" s="7"/>
    </row>
    <row r="11" ht="18.75" customHeight="1">
      <c r="A11" s="149"/>
      <c r="B11" s="149"/>
      <c r="C11" s="1"/>
      <c r="D11" s="1"/>
      <c r="E11" s="1"/>
      <c r="F11" s="1"/>
      <c r="G11" s="179"/>
      <c r="H11" s="172"/>
      <c r="I11" s="159" t="s">
        <v>189</v>
      </c>
      <c r="J11" s="156">
        <v>0.0</v>
      </c>
      <c r="K11" s="156">
        <v>0.0</v>
      </c>
      <c r="L11" s="156">
        <v>0.0</v>
      </c>
      <c r="M11" s="156">
        <v>0.0</v>
      </c>
      <c r="N11" s="156">
        <v>16.0</v>
      </c>
      <c r="O11" s="156">
        <v>8.0</v>
      </c>
      <c r="P11" s="156">
        <v>23.0</v>
      </c>
      <c r="Q11" s="156">
        <v>8.0</v>
      </c>
      <c r="R11" s="156">
        <f t="shared" si="1"/>
        <v>31</v>
      </c>
      <c r="S11" s="165">
        <f t="shared" si="2"/>
        <v>744</v>
      </c>
      <c r="T11" s="147"/>
      <c r="U11" s="7"/>
      <c r="V11" s="7"/>
      <c r="W11" s="7"/>
      <c r="X11" s="7"/>
      <c r="Y11" s="7"/>
      <c r="Z11" s="7"/>
    </row>
    <row r="12" ht="18.75" customHeight="1">
      <c r="A12" s="183" t="s">
        <v>190</v>
      </c>
      <c r="B12" s="21"/>
      <c r="C12" s="1"/>
      <c r="D12" s="1"/>
      <c r="E12" s="1"/>
      <c r="F12" s="1"/>
      <c r="G12" s="179"/>
      <c r="H12" s="172"/>
      <c r="I12" s="159" t="s">
        <v>192</v>
      </c>
      <c r="J12" s="156">
        <v>0.0</v>
      </c>
      <c r="K12" s="156">
        <v>0.0</v>
      </c>
      <c r="L12" s="156">
        <v>6.0</v>
      </c>
      <c r="M12" s="156">
        <v>10.0</v>
      </c>
      <c r="N12" s="156">
        <v>0.0</v>
      </c>
      <c r="O12" s="156">
        <v>8.0</v>
      </c>
      <c r="P12" s="156">
        <v>11.0</v>
      </c>
      <c r="Q12" s="156">
        <v>4.0</v>
      </c>
      <c r="R12" s="156">
        <f t="shared" si="1"/>
        <v>15</v>
      </c>
      <c r="S12" s="165">
        <f t="shared" si="2"/>
        <v>360</v>
      </c>
      <c r="T12" s="147"/>
      <c r="U12" s="7"/>
      <c r="V12" s="7"/>
      <c r="W12" s="7"/>
      <c r="X12" s="7"/>
      <c r="Y12" s="7"/>
      <c r="Z12" s="7"/>
    </row>
    <row r="13" ht="18.75" customHeight="1">
      <c r="A13" s="184"/>
      <c r="B13" s="185"/>
      <c r="C13" s="184"/>
      <c r="D13" s="184"/>
      <c r="E13" s="184"/>
      <c r="F13" s="184"/>
      <c r="G13" s="186"/>
      <c r="H13" s="172"/>
      <c r="I13" s="159" t="s">
        <v>195</v>
      </c>
      <c r="J13" s="156">
        <v>8.0</v>
      </c>
      <c r="K13" s="156">
        <v>8.0</v>
      </c>
      <c r="L13" s="156">
        <v>0.0</v>
      </c>
      <c r="M13" s="156">
        <v>0.0</v>
      </c>
      <c r="N13" s="156">
        <v>0.0</v>
      </c>
      <c r="O13" s="156">
        <v>8.0</v>
      </c>
      <c r="P13" s="156">
        <v>11.0</v>
      </c>
      <c r="Q13" s="156">
        <v>4.0</v>
      </c>
      <c r="R13" s="156">
        <f t="shared" si="1"/>
        <v>15</v>
      </c>
      <c r="S13" s="165">
        <f t="shared" si="2"/>
        <v>360</v>
      </c>
      <c r="T13" s="147"/>
      <c r="U13" s="7"/>
      <c r="V13" s="7"/>
      <c r="W13" s="7"/>
      <c r="X13" s="7"/>
      <c r="Y13" s="7"/>
      <c r="Z13" s="7"/>
    </row>
    <row r="14" ht="18.75" customHeight="1">
      <c r="A14" s="187" t="s">
        <v>197</v>
      </c>
      <c r="B14" s="131"/>
      <c r="C14" s="131"/>
      <c r="D14" s="131"/>
      <c r="E14" s="131"/>
      <c r="F14" s="131"/>
      <c r="G14" s="131"/>
      <c r="H14" s="172"/>
      <c r="I14" s="159" t="s">
        <v>198</v>
      </c>
      <c r="J14" s="156">
        <v>8.0</v>
      </c>
      <c r="K14" s="156">
        <v>8.0</v>
      </c>
      <c r="L14" s="156">
        <v>0.0</v>
      </c>
      <c r="M14" s="156">
        <v>0.0</v>
      </c>
      <c r="N14" s="156">
        <v>0.0</v>
      </c>
      <c r="O14" s="156">
        <v>8.0</v>
      </c>
      <c r="P14" s="156">
        <v>23.0</v>
      </c>
      <c r="Q14" s="156">
        <v>8.0</v>
      </c>
      <c r="R14" s="156">
        <f t="shared" si="1"/>
        <v>31</v>
      </c>
      <c r="S14" s="165">
        <f t="shared" si="2"/>
        <v>744</v>
      </c>
      <c r="T14" s="147"/>
      <c r="U14" s="7"/>
      <c r="V14" s="7"/>
      <c r="W14" s="7"/>
      <c r="X14" s="7"/>
      <c r="Y14" s="7"/>
      <c r="Z14" s="7"/>
    </row>
    <row r="15" ht="18.75" customHeight="1">
      <c r="A15" s="131"/>
      <c r="B15" s="189"/>
      <c r="C15" s="131"/>
      <c r="D15" s="131"/>
      <c r="E15" s="131"/>
      <c r="F15" s="131"/>
      <c r="G15" s="131"/>
      <c r="H15" s="172"/>
      <c r="I15" s="159" t="s">
        <v>199</v>
      </c>
      <c r="J15" s="156">
        <v>0.0</v>
      </c>
      <c r="K15" s="156">
        <v>0.0</v>
      </c>
      <c r="L15" s="156">
        <v>0.0</v>
      </c>
      <c r="M15" s="156">
        <v>0.0</v>
      </c>
      <c r="N15" s="156">
        <v>0.0</v>
      </c>
      <c r="O15" s="156">
        <v>24.0</v>
      </c>
      <c r="P15" s="156">
        <v>23.0</v>
      </c>
      <c r="Q15" s="156">
        <v>8.0</v>
      </c>
      <c r="R15" s="156">
        <f t="shared" si="1"/>
        <v>31</v>
      </c>
      <c r="S15" s="165">
        <f t="shared" si="2"/>
        <v>744</v>
      </c>
      <c r="T15" s="147"/>
      <c r="U15" s="7"/>
      <c r="V15" s="7"/>
      <c r="W15" s="7"/>
      <c r="X15" s="7"/>
      <c r="Y15" s="7"/>
      <c r="Z15" s="7"/>
    </row>
    <row r="16" ht="18.75" customHeight="1">
      <c r="A16" s="152"/>
      <c r="B16" s="152"/>
      <c r="C16" s="152"/>
      <c r="D16" s="152"/>
      <c r="E16" s="152"/>
      <c r="F16" s="152"/>
      <c r="G16" s="131"/>
      <c r="H16" s="172"/>
      <c r="I16" s="159" t="s">
        <v>200</v>
      </c>
      <c r="J16" s="156">
        <v>0.0</v>
      </c>
      <c r="K16" s="156">
        <v>0.0</v>
      </c>
      <c r="L16" s="156">
        <v>6.0</v>
      </c>
      <c r="M16" s="156">
        <v>10.0</v>
      </c>
      <c r="N16" s="156">
        <v>0.0</v>
      </c>
      <c r="O16" s="156">
        <v>8.0</v>
      </c>
      <c r="P16" s="156">
        <v>22.0</v>
      </c>
      <c r="Q16" s="156">
        <v>8.0</v>
      </c>
      <c r="R16" s="156">
        <f t="shared" si="1"/>
        <v>30</v>
      </c>
      <c r="S16" s="165">
        <f t="shared" si="2"/>
        <v>720</v>
      </c>
      <c r="T16" s="147"/>
      <c r="U16" s="7"/>
      <c r="V16" s="7"/>
      <c r="W16" s="7"/>
      <c r="X16" s="7"/>
      <c r="Y16" s="7"/>
      <c r="Z16" s="7"/>
    </row>
    <row r="17" ht="47.25" customHeight="1">
      <c r="A17" s="192" t="s">
        <v>136</v>
      </c>
      <c r="B17" s="193" t="s">
        <v>205</v>
      </c>
      <c r="C17" s="194" t="s">
        <v>206</v>
      </c>
      <c r="D17" s="193" t="s">
        <v>207</v>
      </c>
      <c r="E17" s="193" t="s">
        <v>208</v>
      </c>
      <c r="F17" s="196" t="s">
        <v>209</v>
      </c>
      <c r="G17" s="197" t="s">
        <v>211</v>
      </c>
      <c r="H17" s="172"/>
      <c r="I17" s="159" t="s">
        <v>212</v>
      </c>
      <c r="J17" s="156">
        <v>0.0</v>
      </c>
      <c r="K17" s="156">
        <v>0.0</v>
      </c>
      <c r="L17" s="156">
        <v>6.0</v>
      </c>
      <c r="M17" s="156">
        <v>10.0</v>
      </c>
      <c r="N17" s="156">
        <v>0.0</v>
      </c>
      <c r="O17" s="156">
        <v>8.0</v>
      </c>
      <c r="P17" s="156">
        <v>23.0</v>
      </c>
      <c r="Q17" s="156">
        <v>8.0</v>
      </c>
      <c r="R17" s="156">
        <f t="shared" si="1"/>
        <v>31</v>
      </c>
      <c r="S17" s="165">
        <f t="shared" si="2"/>
        <v>744</v>
      </c>
      <c r="T17" s="147"/>
      <c r="U17" s="7"/>
      <c r="V17" s="7"/>
      <c r="W17" s="7"/>
      <c r="X17" s="7"/>
      <c r="Y17" s="7"/>
      <c r="Z17" s="7"/>
    </row>
    <row r="18" ht="18.75" customHeight="1">
      <c r="A18" s="198">
        <v>1.0</v>
      </c>
      <c r="B18" s="199">
        <f t="shared" ref="B18:B38" si="3">$B$10*A18</f>
        <v>183.0472</v>
      </c>
      <c r="C18" s="200">
        <f t="shared" ref="C18:C38" si="4">B18*(1+$B$9)</f>
        <v>195.860504</v>
      </c>
      <c r="D18" s="202">
        <f>SUM(B6:G6*C18)</f>
        <v>1268.421611</v>
      </c>
      <c r="E18" s="202">
        <f t="shared" ref="E18:E38" si="5">($J$38*$B$7+$K$38*$C$7+$L$38*$D$7+$M$38*$E$7+$N$38*$F$7+$O$38*$G$7+$P$38*$G$7)*B18</f>
        <v>31615.75203</v>
      </c>
      <c r="F18" s="205">
        <f t="shared" ref="F18:F38" si="6">D18+E18</f>
        <v>32884.17365</v>
      </c>
      <c r="G18" s="206">
        <f t="shared" ref="G18:G38" si="7">1-$F$18/F18</f>
        <v>0</v>
      </c>
      <c r="H18" s="172"/>
      <c r="I18" s="159" t="s">
        <v>219</v>
      </c>
      <c r="J18" s="156">
        <v>0.0</v>
      </c>
      <c r="K18" s="156">
        <v>0.0</v>
      </c>
      <c r="L18" s="156">
        <v>6.0</v>
      </c>
      <c r="M18" s="156">
        <v>10.0</v>
      </c>
      <c r="N18" s="156">
        <v>0.0</v>
      </c>
      <c r="O18" s="156">
        <v>8.0</v>
      </c>
      <c r="P18" s="156">
        <v>22.0</v>
      </c>
      <c r="Q18" s="156">
        <v>8.0</v>
      </c>
      <c r="R18" s="156">
        <f t="shared" si="1"/>
        <v>30</v>
      </c>
      <c r="S18" s="165">
        <f t="shared" si="2"/>
        <v>720</v>
      </c>
      <c r="T18" s="147"/>
      <c r="U18" s="7"/>
      <c r="V18" s="7"/>
      <c r="W18" s="7"/>
      <c r="X18" s="7"/>
      <c r="Y18" s="7"/>
      <c r="Z18" s="7"/>
    </row>
    <row r="19" ht="18.75" customHeight="1">
      <c r="A19" s="207">
        <v>1.05</v>
      </c>
      <c r="B19" s="210">
        <f t="shared" si="3"/>
        <v>192.19956</v>
      </c>
      <c r="C19" s="212">
        <f t="shared" si="4"/>
        <v>205.6535292</v>
      </c>
      <c r="D19" s="213">
        <v>1721.34541159056</v>
      </c>
      <c r="E19" s="213">
        <f t="shared" si="5"/>
        <v>33196.53964</v>
      </c>
      <c r="F19" s="215">
        <f t="shared" si="6"/>
        <v>34917.88505</v>
      </c>
      <c r="G19" s="216">
        <f t="shared" si="7"/>
        <v>0.05824268564</v>
      </c>
      <c r="H19" s="172"/>
      <c r="I19" s="159" t="s">
        <v>224</v>
      </c>
      <c r="J19" s="156">
        <v>6.0</v>
      </c>
      <c r="K19" s="156">
        <v>10.0</v>
      </c>
      <c r="L19" s="156">
        <v>0.0</v>
      </c>
      <c r="M19" s="156">
        <v>0.0</v>
      </c>
      <c r="N19" s="156">
        <v>0.0</v>
      </c>
      <c r="O19" s="156">
        <v>8.0</v>
      </c>
      <c r="P19" s="156">
        <v>23.0</v>
      </c>
      <c r="Q19" s="156">
        <v>7.0</v>
      </c>
      <c r="R19" s="156">
        <f t="shared" si="1"/>
        <v>30</v>
      </c>
      <c r="S19" s="165">
        <f t="shared" si="2"/>
        <v>720</v>
      </c>
      <c r="T19" s="147"/>
      <c r="U19" s="7"/>
      <c r="V19" s="7"/>
      <c r="W19" s="7"/>
      <c r="X19" s="7"/>
      <c r="Y19" s="7"/>
      <c r="Z19" s="7"/>
    </row>
    <row r="20" ht="18.75" customHeight="1">
      <c r="A20" s="207">
        <v>1.1</v>
      </c>
      <c r="B20" s="210">
        <f t="shared" si="3"/>
        <v>201.35192</v>
      </c>
      <c r="C20" s="212">
        <f t="shared" si="4"/>
        <v>215.4465544</v>
      </c>
      <c r="D20" s="213">
        <v>1803.314240713921</v>
      </c>
      <c r="E20" s="213">
        <f t="shared" si="5"/>
        <v>34777.32724</v>
      </c>
      <c r="F20" s="215">
        <f t="shared" si="6"/>
        <v>36580.64148</v>
      </c>
      <c r="G20" s="216">
        <f t="shared" si="7"/>
        <v>0.1010498363</v>
      </c>
      <c r="H20" s="131"/>
      <c r="I20" s="218"/>
      <c r="J20" s="218"/>
      <c r="K20" s="218"/>
      <c r="L20" s="218"/>
      <c r="M20" s="218"/>
      <c r="N20" s="218"/>
      <c r="O20" s="218"/>
      <c r="P20" s="220">
        <f t="shared" ref="P20:Q20" si="8">SUM(P7:P19)</f>
        <v>269</v>
      </c>
      <c r="Q20" s="220">
        <f t="shared" si="8"/>
        <v>95</v>
      </c>
      <c r="R20" s="220">
        <f t="shared" si="1"/>
        <v>364</v>
      </c>
      <c r="S20" s="220">
        <f>SUM(S7:S19)</f>
        <v>8736</v>
      </c>
      <c r="T20" s="131"/>
      <c r="U20" s="7"/>
      <c r="V20" s="7"/>
      <c r="W20" s="7"/>
      <c r="X20" s="7"/>
      <c r="Y20" s="7"/>
      <c r="Z20" s="7"/>
    </row>
    <row r="21" ht="18.75" customHeight="1">
      <c r="A21" s="207">
        <v>1.15</v>
      </c>
      <c r="B21" s="210">
        <f t="shared" si="3"/>
        <v>210.50428</v>
      </c>
      <c r="C21" s="212">
        <f t="shared" si="4"/>
        <v>225.2395796</v>
      </c>
      <c r="D21" s="213">
        <v>1885.28306983728</v>
      </c>
      <c r="E21" s="213">
        <f t="shared" si="5"/>
        <v>36358.11484</v>
      </c>
      <c r="F21" s="215">
        <f t="shared" si="6"/>
        <v>38243.39791</v>
      </c>
      <c r="G21" s="216">
        <f t="shared" si="7"/>
        <v>0.140134626</v>
      </c>
      <c r="H21" s="131"/>
      <c r="I21" s="152"/>
      <c r="J21" s="152"/>
      <c r="K21" s="152"/>
      <c r="L21" s="152"/>
      <c r="M21" s="152"/>
      <c r="N21" s="152"/>
      <c r="O21" s="152"/>
      <c r="P21" s="152"/>
      <c r="Q21" s="131"/>
      <c r="R21" s="131"/>
      <c r="S21" s="131"/>
      <c r="T21" s="131"/>
      <c r="U21" s="7"/>
      <c r="V21" s="7"/>
      <c r="W21" s="7"/>
      <c r="X21" s="7"/>
      <c r="Y21" s="7"/>
      <c r="Z21" s="7"/>
    </row>
    <row r="22" ht="18.75" customHeight="1">
      <c r="A22" s="207">
        <v>1.2</v>
      </c>
      <c r="B22" s="210">
        <f t="shared" si="3"/>
        <v>219.65664</v>
      </c>
      <c r="C22" s="212">
        <f t="shared" si="4"/>
        <v>235.0326048</v>
      </c>
      <c r="D22" s="213">
        <v>1967.25189896064</v>
      </c>
      <c r="E22" s="213">
        <f t="shared" si="5"/>
        <v>37938.90244</v>
      </c>
      <c r="F22" s="215">
        <f t="shared" si="6"/>
        <v>39906.15434</v>
      </c>
      <c r="G22" s="216">
        <f t="shared" si="7"/>
        <v>0.1759623499</v>
      </c>
      <c r="H22" s="172"/>
      <c r="I22" s="159" t="s">
        <v>226</v>
      </c>
      <c r="J22" s="156"/>
      <c r="K22" s="156"/>
      <c r="L22" s="156"/>
      <c r="M22" s="156"/>
      <c r="N22" s="156"/>
      <c r="O22" s="156"/>
      <c r="P22" s="156"/>
      <c r="Q22" s="147"/>
      <c r="R22" s="131"/>
      <c r="S22" s="131"/>
      <c r="T22" s="131"/>
      <c r="U22" s="7"/>
      <c r="V22" s="7"/>
      <c r="W22" s="7"/>
      <c r="X22" s="7"/>
      <c r="Y22" s="7"/>
      <c r="Z22" s="7"/>
    </row>
    <row r="23" ht="18.75" customHeight="1">
      <c r="A23" s="207">
        <v>1.25</v>
      </c>
      <c r="B23" s="210">
        <f t="shared" si="3"/>
        <v>228.809</v>
      </c>
      <c r="C23" s="212">
        <f t="shared" si="4"/>
        <v>244.82563</v>
      </c>
      <c r="D23" s="213">
        <v>2049.220728084</v>
      </c>
      <c r="E23" s="213">
        <f t="shared" si="5"/>
        <v>39519.69004</v>
      </c>
      <c r="F23" s="215">
        <f t="shared" si="6"/>
        <v>41568.91077</v>
      </c>
      <c r="G23" s="216">
        <f t="shared" si="7"/>
        <v>0.2089238559</v>
      </c>
      <c r="H23" s="172"/>
      <c r="I23" s="156"/>
      <c r="J23" s="159" t="s">
        <v>156</v>
      </c>
      <c r="K23" s="159" t="s">
        <v>158</v>
      </c>
      <c r="L23" s="159" t="s">
        <v>159</v>
      </c>
      <c r="M23" s="159" t="s">
        <v>160</v>
      </c>
      <c r="N23" s="159" t="s">
        <v>161</v>
      </c>
      <c r="O23" s="159" t="s">
        <v>162</v>
      </c>
      <c r="P23" s="159" t="s">
        <v>227</v>
      </c>
      <c r="Q23" s="147"/>
      <c r="R23" s="131"/>
      <c r="S23" s="131"/>
      <c r="T23" s="131"/>
      <c r="U23" s="7"/>
      <c r="V23" s="7"/>
      <c r="W23" s="7"/>
      <c r="X23" s="7"/>
      <c r="Y23" s="7"/>
      <c r="Z23" s="7"/>
    </row>
    <row r="24" ht="18.0" customHeight="1">
      <c r="A24" s="207">
        <v>1.3</v>
      </c>
      <c r="B24" s="210">
        <f t="shared" si="3"/>
        <v>237.96136</v>
      </c>
      <c r="C24" s="212">
        <f t="shared" si="4"/>
        <v>254.6186552</v>
      </c>
      <c r="D24" s="213">
        <v>2131.18955720736</v>
      </c>
      <c r="E24" s="213">
        <f t="shared" si="5"/>
        <v>41100.47765</v>
      </c>
      <c r="F24" s="215">
        <f t="shared" si="6"/>
        <v>43231.6672</v>
      </c>
      <c r="G24" s="216">
        <f t="shared" si="7"/>
        <v>0.2393498615</v>
      </c>
      <c r="H24" s="172"/>
      <c r="I24" s="159" t="s">
        <v>171</v>
      </c>
      <c r="J24" s="163">
        <f t="shared" ref="J24:O24" si="9">J7*$P7</f>
        <v>138</v>
      </c>
      <c r="K24" s="163">
        <f t="shared" si="9"/>
        <v>230</v>
      </c>
      <c r="L24" s="163">
        <f t="shared" si="9"/>
        <v>0</v>
      </c>
      <c r="M24" s="163">
        <f t="shared" si="9"/>
        <v>0</v>
      </c>
      <c r="N24" s="163">
        <f t="shared" si="9"/>
        <v>0</v>
      </c>
      <c r="O24" s="163">
        <f t="shared" si="9"/>
        <v>184</v>
      </c>
      <c r="P24" s="163">
        <f t="shared" ref="P24:P36" si="11">$Q7*24</f>
        <v>192</v>
      </c>
      <c r="Q24" s="147"/>
      <c r="R24" s="131"/>
      <c r="S24" s="131"/>
      <c r="T24" s="131"/>
      <c r="U24" s="7"/>
      <c r="V24" s="7"/>
      <c r="W24" s="7"/>
      <c r="X24" s="7"/>
      <c r="Y24" s="7"/>
      <c r="Z24" s="7"/>
    </row>
    <row r="25" ht="18.0" customHeight="1">
      <c r="A25" s="207">
        <v>1.35</v>
      </c>
      <c r="B25" s="210">
        <f t="shared" si="3"/>
        <v>247.11372</v>
      </c>
      <c r="C25" s="212">
        <f t="shared" si="4"/>
        <v>264.4116804</v>
      </c>
      <c r="D25" s="213">
        <v>2213.158386330721</v>
      </c>
      <c r="E25" s="213">
        <f t="shared" si="5"/>
        <v>42681.26525</v>
      </c>
      <c r="F25" s="215">
        <f t="shared" si="6"/>
        <v>44894.42363</v>
      </c>
      <c r="G25" s="216">
        <f t="shared" si="7"/>
        <v>0.2675220888</v>
      </c>
      <c r="H25" s="172"/>
      <c r="I25" s="159" t="s">
        <v>173</v>
      </c>
      <c r="J25" s="163">
        <f t="shared" ref="J25:O25" si="10">J8*$P8</f>
        <v>120</v>
      </c>
      <c r="K25" s="163">
        <f t="shared" si="10"/>
        <v>200</v>
      </c>
      <c r="L25" s="163">
        <f t="shared" si="10"/>
        <v>0</v>
      </c>
      <c r="M25" s="163">
        <f t="shared" si="10"/>
        <v>0</v>
      </c>
      <c r="N25" s="163">
        <f t="shared" si="10"/>
        <v>0</v>
      </c>
      <c r="O25" s="163">
        <f t="shared" si="10"/>
        <v>160</v>
      </c>
      <c r="P25" s="163">
        <f t="shared" si="11"/>
        <v>192</v>
      </c>
      <c r="Q25" s="147"/>
      <c r="R25" s="131"/>
      <c r="S25" s="131"/>
      <c r="T25" s="131"/>
      <c r="U25" s="7"/>
      <c r="V25" s="7"/>
      <c r="W25" s="7"/>
      <c r="X25" s="7"/>
      <c r="Y25" s="7"/>
      <c r="Z25" s="7"/>
    </row>
    <row r="26" ht="18.0" customHeight="1">
      <c r="A26" s="207">
        <v>1.4</v>
      </c>
      <c r="B26" s="210">
        <f t="shared" si="3"/>
        <v>256.26608</v>
      </c>
      <c r="C26" s="212">
        <f t="shared" si="4"/>
        <v>274.2047056</v>
      </c>
      <c r="D26" s="213">
        <v>2295.127215454081</v>
      </c>
      <c r="E26" s="213">
        <f t="shared" si="5"/>
        <v>44262.05285</v>
      </c>
      <c r="F26" s="215">
        <f t="shared" si="6"/>
        <v>46557.18006</v>
      </c>
      <c r="G26" s="216">
        <f t="shared" si="7"/>
        <v>0.2936820142</v>
      </c>
      <c r="H26" s="172"/>
      <c r="I26" s="159" t="s">
        <v>182</v>
      </c>
      <c r="J26" s="163">
        <f t="shared" ref="J26:O26" si="12">J9*$P9</f>
        <v>0</v>
      </c>
      <c r="K26" s="163">
        <f t="shared" si="12"/>
        <v>0</v>
      </c>
      <c r="L26" s="163">
        <f t="shared" si="12"/>
        <v>138</v>
      </c>
      <c r="M26" s="163">
        <f t="shared" si="12"/>
        <v>230</v>
      </c>
      <c r="N26" s="163">
        <f t="shared" si="12"/>
        <v>0</v>
      </c>
      <c r="O26" s="163">
        <f t="shared" si="12"/>
        <v>184</v>
      </c>
      <c r="P26" s="163">
        <f t="shared" si="11"/>
        <v>192</v>
      </c>
      <c r="Q26" s="147"/>
      <c r="R26" s="131"/>
      <c r="S26" s="131"/>
      <c r="T26" s="131"/>
      <c r="U26" s="7"/>
      <c r="V26" s="7"/>
      <c r="W26" s="7"/>
      <c r="X26" s="7"/>
      <c r="Y26" s="7"/>
      <c r="Z26" s="7"/>
    </row>
    <row r="27" ht="18.0" customHeight="1">
      <c r="A27" s="207">
        <v>1.45</v>
      </c>
      <c r="B27" s="210">
        <f t="shared" si="3"/>
        <v>265.41844</v>
      </c>
      <c r="C27" s="212">
        <f t="shared" si="4"/>
        <v>283.9977308</v>
      </c>
      <c r="D27" s="213">
        <v>2377.09604457744</v>
      </c>
      <c r="E27" s="213">
        <f t="shared" si="5"/>
        <v>45842.84045</v>
      </c>
      <c r="F27" s="215">
        <f t="shared" si="6"/>
        <v>48219.93649</v>
      </c>
      <c r="G27" s="216">
        <f t="shared" si="7"/>
        <v>0.3180378068</v>
      </c>
      <c r="H27" s="172"/>
      <c r="I27" s="159" t="s">
        <v>187</v>
      </c>
      <c r="J27" s="163">
        <f t="shared" ref="J27:O27" si="13">J10*$P10</f>
        <v>0</v>
      </c>
      <c r="K27" s="163">
        <f t="shared" si="13"/>
        <v>0</v>
      </c>
      <c r="L27" s="163">
        <f t="shared" si="13"/>
        <v>0</v>
      </c>
      <c r="M27" s="163">
        <f t="shared" si="13"/>
        <v>0</v>
      </c>
      <c r="N27" s="163">
        <f t="shared" si="13"/>
        <v>352</v>
      </c>
      <c r="O27" s="163">
        <f t="shared" si="13"/>
        <v>176</v>
      </c>
      <c r="P27" s="163">
        <f t="shared" si="11"/>
        <v>192</v>
      </c>
      <c r="Q27" s="147"/>
      <c r="R27" s="131"/>
      <c r="S27" s="131"/>
      <c r="T27" s="131"/>
      <c r="U27" s="7"/>
      <c r="V27" s="7"/>
      <c r="W27" s="7"/>
      <c r="X27" s="7"/>
      <c r="Y27" s="7"/>
      <c r="Z27" s="7"/>
    </row>
    <row r="28" ht="18.0" customHeight="1">
      <c r="A28" s="207">
        <v>1.5</v>
      </c>
      <c r="B28" s="210">
        <f t="shared" si="3"/>
        <v>274.5708</v>
      </c>
      <c r="C28" s="212">
        <f t="shared" si="4"/>
        <v>293.790756</v>
      </c>
      <c r="D28" s="213">
        <v>2459.0648737008</v>
      </c>
      <c r="E28" s="213">
        <f t="shared" si="5"/>
        <v>47423.62805</v>
      </c>
      <c r="F28" s="215">
        <f t="shared" si="6"/>
        <v>49882.69293</v>
      </c>
      <c r="G28" s="216">
        <f t="shared" si="7"/>
        <v>0.3407698799</v>
      </c>
      <c r="H28" s="172"/>
      <c r="I28" s="159" t="s">
        <v>189</v>
      </c>
      <c r="J28" s="163">
        <f t="shared" ref="J28:O28" si="14">J11*$P11</f>
        <v>0</v>
      </c>
      <c r="K28" s="163">
        <f t="shared" si="14"/>
        <v>0</v>
      </c>
      <c r="L28" s="163">
        <f t="shared" si="14"/>
        <v>0</v>
      </c>
      <c r="M28" s="163">
        <f t="shared" si="14"/>
        <v>0</v>
      </c>
      <c r="N28" s="163">
        <f t="shared" si="14"/>
        <v>368</v>
      </c>
      <c r="O28" s="163">
        <f t="shared" si="14"/>
        <v>184</v>
      </c>
      <c r="P28" s="163">
        <f t="shared" si="11"/>
        <v>192</v>
      </c>
      <c r="Q28" s="147"/>
      <c r="R28" s="131"/>
      <c r="S28" s="131"/>
      <c r="T28" s="131"/>
      <c r="U28" s="7"/>
      <c r="V28" s="7"/>
      <c r="W28" s="7"/>
      <c r="X28" s="7"/>
      <c r="Y28" s="7"/>
      <c r="Z28" s="7"/>
    </row>
    <row r="29" ht="18.0" customHeight="1">
      <c r="A29" s="207">
        <v>1.55</v>
      </c>
      <c r="B29" s="210">
        <f t="shared" si="3"/>
        <v>283.72316</v>
      </c>
      <c r="C29" s="212">
        <f t="shared" si="4"/>
        <v>303.5837812</v>
      </c>
      <c r="D29" s="213">
        <v>2541.033702824161</v>
      </c>
      <c r="E29" s="213">
        <f t="shared" si="5"/>
        <v>49004.41565</v>
      </c>
      <c r="F29" s="215">
        <f t="shared" si="6"/>
        <v>51545.44936</v>
      </c>
      <c r="G29" s="216">
        <f t="shared" si="7"/>
        <v>0.3620353677</v>
      </c>
      <c r="H29" s="172"/>
      <c r="I29" s="159" t="s">
        <v>192</v>
      </c>
      <c r="J29" s="163">
        <f t="shared" ref="J29:O29" si="15">J12*$P12</f>
        <v>0</v>
      </c>
      <c r="K29" s="163">
        <f t="shared" si="15"/>
        <v>0</v>
      </c>
      <c r="L29" s="163">
        <f t="shared" si="15"/>
        <v>66</v>
      </c>
      <c r="M29" s="163">
        <f t="shared" si="15"/>
        <v>110</v>
      </c>
      <c r="N29" s="163">
        <f t="shared" si="15"/>
        <v>0</v>
      </c>
      <c r="O29" s="163">
        <f t="shared" si="15"/>
        <v>88</v>
      </c>
      <c r="P29" s="163">
        <f t="shared" si="11"/>
        <v>96</v>
      </c>
      <c r="Q29" s="147"/>
      <c r="R29" s="131"/>
      <c r="S29" s="131"/>
      <c r="T29" s="131"/>
      <c r="U29" s="7"/>
      <c r="V29" s="7"/>
      <c r="W29" s="7"/>
      <c r="X29" s="7"/>
      <c r="Y29" s="7"/>
      <c r="Z29" s="7"/>
    </row>
    <row r="30" ht="18.0" customHeight="1">
      <c r="A30" s="207">
        <v>1.6</v>
      </c>
      <c r="B30" s="210">
        <f t="shared" si="3"/>
        <v>292.87552</v>
      </c>
      <c r="C30" s="212">
        <f t="shared" si="4"/>
        <v>313.3768064</v>
      </c>
      <c r="D30" s="213">
        <v>2623.00253194752</v>
      </c>
      <c r="E30" s="213">
        <f t="shared" si="5"/>
        <v>50585.20326</v>
      </c>
      <c r="F30" s="215">
        <f t="shared" si="6"/>
        <v>53208.20579</v>
      </c>
      <c r="G30" s="216">
        <f t="shared" si="7"/>
        <v>0.3819717625</v>
      </c>
      <c r="H30" s="172"/>
      <c r="I30" s="159" t="s">
        <v>195</v>
      </c>
      <c r="J30" s="163">
        <f t="shared" ref="J30:O30" si="16">J13*$P13</f>
        <v>88</v>
      </c>
      <c r="K30" s="163">
        <f t="shared" si="16"/>
        <v>88</v>
      </c>
      <c r="L30" s="163">
        <f t="shared" si="16"/>
        <v>0</v>
      </c>
      <c r="M30" s="163">
        <f t="shared" si="16"/>
        <v>0</v>
      </c>
      <c r="N30" s="163">
        <f t="shared" si="16"/>
        <v>0</v>
      </c>
      <c r="O30" s="163">
        <f t="shared" si="16"/>
        <v>88</v>
      </c>
      <c r="P30" s="163">
        <f t="shared" si="11"/>
        <v>96</v>
      </c>
      <c r="Q30" s="147"/>
      <c r="R30" s="131"/>
      <c r="S30" s="131"/>
      <c r="T30" s="131"/>
      <c r="U30" s="7"/>
      <c r="V30" s="7"/>
      <c r="W30" s="7"/>
      <c r="X30" s="7"/>
      <c r="Y30" s="7"/>
      <c r="Z30" s="7"/>
    </row>
    <row r="31" ht="18.0" customHeight="1">
      <c r="A31" s="207">
        <v>1.65</v>
      </c>
      <c r="B31" s="210">
        <f t="shared" si="3"/>
        <v>302.02788</v>
      </c>
      <c r="C31" s="212">
        <f t="shared" si="4"/>
        <v>323.1698316</v>
      </c>
      <c r="D31" s="213">
        <v>2704.97136107088</v>
      </c>
      <c r="E31" s="213">
        <f t="shared" si="5"/>
        <v>52165.99086</v>
      </c>
      <c r="F31" s="215">
        <f t="shared" si="6"/>
        <v>54870.96222</v>
      </c>
      <c r="G31" s="216">
        <f t="shared" si="7"/>
        <v>0.4006998909</v>
      </c>
      <c r="H31" s="172"/>
      <c r="I31" s="159" t="s">
        <v>198</v>
      </c>
      <c r="J31" s="163">
        <f t="shared" ref="J31:O31" si="17">J14*$P14</f>
        <v>184</v>
      </c>
      <c r="K31" s="163">
        <f t="shared" si="17"/>
        <v>184</v>
      </c>
      <c r="L31" s="163">
        <f t="shared" si="17"/>
        <v>0</v>
      </c>
      <c r="M31" s="163">
        <f t="shared" si="17"/>
        <v>0</v>
      </c>
      <c r="N31" s="163">
        <f t="shared" si="17"/>
        <v>0</v>
      </c>
      <c r="O31" s="163">
        <f t="shared" si="17"/>
        <v>184</v>
      </c>
      <c r="P31" s="163">
        <f t="shared" si="11"/>
        <v>192</v>
      </c>
      <c r="Q31" s="147"/>
      <c r="R31" s="131"/>
      <c r="S31" s="131"/>
      <c r="T31" s="131"/>
      <c r="U31" s="7"/>
      <c r="V31" s="7"/>
      <c r="W31" s="7"/>
      <c r="X31" s="7"/>
      <c r="Y31" s="7"/>
      <c r="Z31" s="7"/>
    </row>
    <row r="32" ht="18.0" customHeight="1">
      <c r="A32" s="207">
        <v>1.7</v>
      </c>
      <c r="B32" s="210">
        <f t="shared" si="3"/>
        <v>311.18024</v>
      </c>
      <c r="C32" s="212">
        <f t="shared" si="4"/>
        <v>332.9628568</v>
      </c>
      <c r="D32" s="213">
        <v>2786.940190194241</v>
      </c>
      <c r="E32" s="213">
        <f t="shared" si="5"/>
        <v>53746.77846</v>
      </c>
      <c r="F32" s="215">
        <f t="shared" si="6"/>
        <v>56533.71865</v>
      </c>
      <c r="G32" s="216">
        <f t="shared" si="7"/>
        <v>0.4183263647</v>
      </c>
      <c r="H32" s="172"/>
      <c r="I32" s="159" t="s">
        <v>199</v>
      </c>
      <c r="J32" s="163">
        <f t="shared" ref="J32:O32" si="18">J15*$P15</f>
        <v>0</v>
      </c>
      <c r="K32" s="163">
        <f t="shared" si="18"/>
        <v>0</v>
      </c>
      <c r="L32" s="163">
        <f t="shared" si="18"/>
        <v>0</v>
      </c>
      <c r="M32" s="163">
        <f t="shared" si="18"/>
        <v>0</v>
      </c>
      <c r="N32" s="163">
        <f t="shared" si="18"/>
        <v>0</v>
      </c>
      <c r="O32" s="163">
        <f t="shared" si="18"/>
        <v>552</v>
      </c>
      <c r="P32" s="163">
        <f t="shared" si="11"/>
        <v>192</v>
      </c>
      <c r="Q32" s="147"/>
      <c r="R32" s="131"/>
      <c r="S32" s="131"/>
      <c r="T32" s="131"/>
      <c r="U32" s="7"/>
      <c r="V32" s="7"/>
      <c r="W32" s="7"/>
      <c r="X32" s="7"/>
      <c r="Y32" s="7"/>
      <c r="Z32" s="7"/>
    </row>
    <row r="33" ht="18.0" customHeight="1">
      <c r="A33" s="207">
        <v>1.75</v>
      </c>
      <c r="B33" s="210">
        <f t="shared" si="3"/>
        <v>320.3326</v>
      </c>
      <c r="C33" s="212">
        <f t="shared" si="4"/>
        <v>342.755882</v>
      </c>
      <c r="D33" s="213">
        <v>2868.909019317601</v>
      </c>
      <c r="E33" s="213">
        <f t="shared" si="5"/>
        <v>55327.56606</v>
      </c>
      <c r="F33" s="215">
        <f t="shared" si="6"/>
        <v>58196.47508</v>
      </c>
      <c r="G33" s="216">
        <f t="shared" si="7"/>
        <v>0.4349456114</v>
      </c>
      <c r="H33" s="172"/>
      <c r="I33" s="159" t="s">
        <v>200</v>
      </c>
      <c r="J33" s="163">
        <f t="shared" ref="J33:O33" si="19">J16*$P16</f>
        <v>0</v>
      </c>
      <c r="K33" s="163">
        <f t="shared" si="19"/>
        <v>0</v>
      </c>
      <c r="L33" s="163">
        <f t="shared" si="19"/>
        <v>132</v>
      </c>
      <c r="M33" s="163">
        <f t="shared" si="19"/>
        <v>220</v>
      </c>
      <c r="N33" s="163">
        <f t="shared" si="19"/>
        <v>0</v>
      </c>
      <c r="O33" s="163">
        <f t="shared" si="19"/>
        <v>176</v>
      </c>
      <c r="P33" s="163">
        <f t="shared" si="11"/>
        <v>192</v>
      </c>
      <c r="Q33" s="147"/>
      <c r="R33" s="131"/>
      <c r="S33" s="131"/>
      <c r="T33" s="131"/>
      <c r="U33" s="7"/>
      <c r="V33" s="7"/>
      <c r="W33" s="7"/>
      <c r="X33" s="7"/>
      <c r="Y33" s="7"/>
      <c r="Z33" s="7"/>
    </row>
    <row r="34" ht="18.0" customHeight="1">
      <c r="A34" s="207">
        <v>1.8</v>
      </c>
      <c r="B34" s="210">
        <f t="shared" si="3"/>
        <v>329.48496</v>
      </c>
      <c r="C34" s="212">
        <f t="shared" si="4"/>
        <v>352.5489072</v>
      </c>
      <c r="D34" s="213">
        <v>2950.87784844096</v>
      </c>
      <c r="E34" s="213">
        <f t="shared" si="5"/>
        <v>56908.35366</v>
      </c>
      <c r="F34" s="215">
        <f t="shared" si="6"/>
        <v>59859.23151</v>
      </c>
      <c r="G34" s="216">
        <f t="shared" si="7"/>
        <v>0.4506415666</v>
      </c>
      <c r="H34" s="172"/>
      <c r="I34" s="159" t="s">
        <v>212</v>
      </c>
      <c r="J34" s="163">
        <f t="shared" ref="J34:O34" si="20">J17*$P17</f>
        <v>0</v>
      </c>
      <c r="K34" s="163">
        <f t="shared" si="20"/>
        <v>0</v>
      </c>
      <c r="L34" s="163">
        <f t="shared" si="20"/>
        <v>138</v>
      </c>
      <c r="M34" s="163">
        <f t="shared" si="20"/>
        <v>230</v>
      </c>
      <c r="N34" s="163">
        <f t="shared" si="20"/>
        <v>0</v>
      </c>
      <c r="O34" s="163">
        <f t="shared" si="20"/>
        <v>184</v>
      </c>
      <c r="P34" s="163">
        <f t="shared" si="11"/>
        <v>192</v>
      </c>
      <c r="Q34" s="147"/>
      <c r="R34" s="131"/>
      <c r="S34" s="131"/>
      <c r="T34" s="131"/>
      <c r="U34" s="7"/>
      <c r="V34" s="7"/>
      <c r="W34" s="7"/>
      <c r="X34" s="7"/>
      <c r="Y34" s="7"/>
      <c r="Z34" s="7"/>
    </row>
    <row r="35" ht="18.0" customHeight="1">
      <c r="A35" s="207">
        <v>1.85</v>
      </c>
      <c r="B35" s="210">
        <f t="shared" si="3"/>
        <v>338.63732</v>
      </c>
      <c r="C35" s="212">
        <f t="shared" si="4"/>
        <v>362.3419324</v>
      </c>
      <c r="D35" s="213">
        <v>3032.846677564321</v>
      </c>
      <c r="E35" s="213">
        <f t="shared" si="5"/>
        <v>58489.14126</v>
      </c>
      <c r="F35" s="215">
        <f t="shared" si="6"/>
        <v>61521.98794</v>
      </c>
      <c r="G35" s="216">
        <f t="shared" si="7"/>
        <v>0.4654890918</v>
      </c>
      <c r="H35" s="172"/>
      <c r="I35" s="159" t="s">
        <v>219</v>
      </c>
      <c r="J35" s="163">
        <f t="shared" ref="J35:O35" si="21">J18*$P18</f>
        <v>0</v>
      </c>
      <c r="K35" s="163">
        <f t="shared" si="21"/>
        <v>0</v>
      </c>
      <c r="L35" s="163">
        <f t="shared" si="21"/>
        <v>132</v>
      </c>
      <c r="M35" s="163">
        <f t="shared" si="21"/>
        <v>220</v>
      </c>
      <c r="N35" s="163">
        <f t="shared" si="21"/>
        <v>0</v>
      </c>
      <c r="O35" s="163">
        <f t="shared" si="21"/>
        <v>176</v>
      </c>
      <c r="P35" s="163">
        <f t="shared" si="11"/>
        <v>192</v>
      </c>
      <c r="Q35" s="147"/>
      <c r="R35" s="131"/>
      <c r="S35" s="131"/>
      <c r="T35" s="131"/>
      <c r="U35" s="7"/>
      <c r="V35" s="7"/>
      <c r="W35" s="7"/>
      <c r="X35" s="7"/>
      <c r="Y35" s="7"/>
      <c r="Z35" s="7"/>
    </row>
    <row r="36" ht="18.0" customHeight="1">
      <c r="A36" s="207">
        <v>1.9</v>
      </c>
      <c r="B36" s="210">
        <f t="shared" si="3"/>
        <v>347.78968</v>
      </c>
      <c r="C36" s="212">
        <f t="shared" si="4"/>
        <v>372.1349576</v>
      </c>
      <c r="D36" s="213">
        <v>3114.81550668768</v>
      </c>
      <c r="E36" s="213">
        <f t="shared" si="5"/>
        <v>60069.92887</v>
      </c>
      <c r="F36" s="215">
        <f t="shared" si="6"/>
        <v>63184.74437</v>
      </c>
      <c r="G36" s="216">
        <f t="shared" si="7"/>
        <v>0.4795551684</v>
      </c>
      <c r="H36" s="172"/>
      <c r="I36" s="159" t="s">
        <v>224</v>
      </c>
      <c r="J36" s="163">
        <f t="shared" ref="J36:O36" si="22">J19*$P19</f>
        <v>138</v>
      </c>
      <c r="K36" s="163">
        <f t="shared" si="22"/>
        <v>230</v>
      </c>
      <c r="L36" s="163">
        <f t="shared" si="22"/>
        <v>0</v>
      </c>
      <c r="M36" s="163">
        <f t="shared" si="22"/>
        <v>0</v>
      </c>
      <c r="N36" s="163">
        <f t="shared" si="22"/>
        <v>0</v>
      </c>
      <c r="O36" s="163">
        <f t="shared" si="22"/>
        <v>184</v>
      </c>
      <c r="P36" s="163">
        <f t="shared" si="11"/>
        <v>168</v>
      </c>
      <c r="Q36" s="147"/>
      <c r="R36" s="131"/>
      <c r="S36" s="131"/>
      <c r="T36" s="131"/>
      <c r="U36" s="7"/>
      <c r="V36" s="7"/>
      <c r="W36" s="7"/>
      <c r="X36" s="7"/>
      <c r="Y36" s="7"/>
      <c r="Z36" s="7"/>
    </row>
    <row r="37" ht="18.75" customHeight="1">
      <c r="A37" s="207">
        <v>1.95</v>
      </c>
      <c r="B37" s="210">
        <f t="shared" si="3"/>
        <v>356.94204</v>
      </c>
      <c r="C37" s="212">
        <f t="shared" si="4"/>
        <v>381.9279828</v>
      </c>
      <c r="D37" s="213">
        <v>3196.784335811041</v>
      </c>
      <c r="E37" s="213">
        <f t="shared" si="5"/>
        <v>61650.71647</v>
      </c>
      <c r="F37" s="215">
        <f t="shared" si="6"/>
        <v>64847.5008</v>
      </c>
      <c r="G37" s="216">
        <f t="shared" si="7"/>
        <v>0.4928999077</v>
      </c>
      <c r="H37" s="172"/>
      <c r="I37" s="156"/>
      <c r="J37" s="156"/>
      <c r="K37" s="156"/>
      <c r="L37" s="156"/>
      <c r="M37" s="156"/>
      <c r="N37" s="156"/>
      <c r="O37" s="156"/>
      <c r="P37" s="156"/>
      <c r="Q37" s="147"/>
      <c r="R37" s="131"/>
      <c r="S37" s="131"/>
      <c r="T37" s="131"/>
      <c r="U37" s="7"/>
      <c r="V37" s="7"/>
      <c r="W37" s="7"/>
      <c r="X37" s="7"/>
      <c r="Y37" s="7"/>
      <c r="Z37" s="7"/>
    </row>
    <row r="38" ht="18.75" customHeight="1">
      <c r="A38" s="207">
        <v>2.0</v>
      </c>
      <c r="B38" s="210">
        <f t="shared" si="3"/>
        <v>366.0944</v>
      </c>
      <c r="C38" s="212">
        <f t="shared" si="4"/>
        <v>391.721008</v>
      </c>
      <c r="D38" s="213">
        <v>3278.753164934401</v>
      </c>
      <c r="E38" s="213">
        <f t="shared" si="5"/>
        <v>63231.50407</v>
      </c>
      <c r="F38" s="215">
        <f t="shared" si="6"/>
        <v>66510.25723</v>
      </c>
      <c r="G38" s="216">
        <f t="shared" si="7"/>
        <v>0.50557741</v>
      </c>
      <c r="H38" s="172"/>
      <c r="I38" s="159" t="s">
        <v>228</v>
      </c>
      <c r="J38" s="156">
        <f t="shared" ref="J38:P38" si="23">SUM(J24:J36)</f>
        <v>668</v>
      </c>
      <c r="K38" s="156">
        <f t="shared" si="23"/>
        <v>932</v>
      </c>
      <c r="L38" s="156">
        <f t="shared" si="23"/>
        <v>606</v>
      </c>
      <c r="M38" s="156">
        <f t="shared" si="23"/>
        <v>1010</v>
      </c>
      <c r="N38" s="156">
        <f t="shared" si="23"/>
        <v>720</v>
      </c>
      <c r="O38" s="156">
        <f t="shared" si="23"/>
        <v>2520</v>
      </c>
      <c r="P38" s="156">
        <f t="shared" si="23"/>
        <v>2280</v>
      </c>
      <c r="Q38" s="223">
        <f>SUM(J38:P38)</f>
        <v>8736</v>
      </c>
      <c r="R38" s="224"/>
      <c r="S38" s="131"/>
      <c r="T38" s="131"/>
      <c r="U38" s="7"/>
      <c r="V38" s="7"/>
      <c r="W38" s="7"/>
      <c r="X38" s="7"/>
      <c r="Y38" s="7"/>
      <c r="Z38" s="7"/>
    </row>
    <row r="39" ht="18.0" customHeight="1">
      <c r="A39" s="218"/>
      <c r="B39" s="218"/>
      <c r="C39" s="218"/>
      <c r="D39" s="218"/>
      <c r="E39" s="218"/>
      <c r="F39" s="218"/>
      <c r="G39" s="131"/>
      <c r="H39" s="131"/>
      <c r="I39" s="218"/>
      <c r="J39" s="218"/>
      <c r="K39" s="218"/>
      <c r="L39" s="218"/>
      <c r="M39" s="218"/>
      <c r="N39" s="218"/>
      <c r="O39" s="218"/>
      <c r="P39" s="218"/>
      <c r="Q39" s="131"/>
      <c r="R39" s="131"/>
      <c r="S39" s="131"/>
      <c r="T39" s="131"/>
      <c r="U39" s="7"/>
      <c r="V39" s="7"/>
      <c r="W39" s="7"/>
      <c r="X39" s="7"/>
      <c r="Y39" s="7"/>
      <c r="Z39" s="7"/>
    </row>
    <row r="40" ht="18.0" customHeigh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7"/>
      <c r="V40" s="7"/>
      <c r="W40" s="7"/>
      <c r="X40" s="7"/>
      <c r="Y40" s="7"/>
      <c r="Z40" s="7"/>
    </row>
    <row r="41" ht="18.0" customHeigh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7"/>
      <c r="V41" s="7"/>
      <c r="W41" s="7"/>
      <c r="X41" s="7"/>
      <c r="Y41" s="7"/>
      <c r="Z41" s="7"/>
    </row>
    <row r="42" ht="18.0" customHeight="1">
      <c r="A42" s="225"/>
      <c r="B42" s="226"/>
      <c r="C42" s="226"/>
      <c r="D42" s="226"/>
      <c r="E42" s="226"/>
      <c r="F42" s="22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7"/>
      <c r="V42" s="7"/>
      <c r="W42" s="7"/>
      <c r="X42" s="7"/>
      <c r="Y42" s="7"/>
      <c r="Z42" s="7"/>
    </row>
    <row r="43" ht="18.0" customHeight="1">
      <c r="A43" s="228"/>
      <c r="B43" s="229"/>
      <c r="C43" s="229"/>
      <c r="D43" s="230"/>
      <c r="E43" s="230"/>
      <c r="F43" s="2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7"/>
      <c r="V43" s="7"/>
      <c r="W43" s="7"/>
      <c r="X43" s="7"/>
      <c r="Y43" s="7"/>
      <c r="Z43" s="7"/>
    </row>
    <row r="44" ht="18.0" customHeight="1">
      <c r="A44" s="228"/>
      <c r="B44" s="229"/>
      <c r="C44" s="229"/>
      <c r="D44" s="230"/>
      <c r="E44" s="230"/>
      <c r="F44" s="2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7"/>
      <c r="V44" s="7"/>
      <c r="W44" s="7"/>
      <c r="X44" s="7"/>
      <c r="Y44" s="7"/>
      <c r="Z44" s="7"/>
    </row>
    <row r="45" ht="18.0" customHeight="1">
      <c r="A45" s="228"/>
      <c r="B45" s="229"/>
      <c r="C45" s="229"/>
      <c r="D45" s="230"/>
      <c r="E45" s="230"/>
      <c r="F45" s="2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7"/>
      <c r="V45" s="7"/>
      <c r="W45" s="7"/>
      <c r="X45" s="7"/>
      <c r="Y45" s="7"/>
      <c r="Z45" s="7"/>
    </row>
    <row r="46" ht="18.0" customHeight="1">
      <c r="A46" s="228"/>
      <c r="B46" s="229"/>
      <c r="C46" s="229"/>
      <c r="D46" s="230"/>
      <c r="E46" s="230"/>
      <c r="F46" s="2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7"/>
      <c r="V46" s="7"/>
      <c r="W46" s="7"/>
      <c r="X46" s="7"/>
      <c r="Y46" s="7"/>
      <c r="Z46" s="7"/>
    </row>
    <row r="47" ht="18.0" customHeight="1">
      <c r="A47" s="228"/>
      <c r="B47" s="229"/>
      <c r="C47" s="229"/>
      <c r="D47" s="230"/>
      <c r="E47" s="230"/>
      <c r="F47" s="2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7"/>
      <c r="V47" s="7"/>
      <c r="W47" s="7"/>
      <c r="X47" s="7"/>
      <c r="Y47" s="7"/>
      <c r="Z47" s="7"/>
    </row>
    <row r="48" ht="18.0" customHeight="1">
      <c r="A48" s="228"/>
      <c r="B48" s="229"/>
      <c r="C48" s="229"/>
      <c r="D48" s="230"/>
      <c r="E48" s="230"/>
      <c r="F48" s="2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B4:G4"/>
    <mergeCell ref="A2:G2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56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1"/>
      <c r="B1" s="1"/>
      <c r="C1" s="1"/>
      <c r="D1" s="69"/>
      <c r="E1" s="69"/>
      <c r="F1" s="69"/>
      <c r="G1" s="69"/>
      <c r="H1" s="1"/>
      <c r="I1" s="69"/>
      <c r="J1" s="69"/>
      <c r="K1" s="6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75" customHeight="1">
      <c r="A2" s="71" t="s">
        <v>101</v>
      </c>
      <c r="B2" s="72"/>
      <c r="C2" s="73"/>
      <c r="D2" s="75" t="s">
        <v>103</v>
      </c>
      <c r="E2" s="77"/>
      <c r="F2" s="77"/>
      <c r="G2" s="79"/>
      <c r="H2" s="81"/>
      <c r="I2" s="83" t="s">
        <v>105</v>
      </c>
      <c r="J2" s="77"/>
      <c r="K2" s="7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75" customHeight="1">
      <c r="A3" s="85" t="s">
        <v>106</v>
      </c>
      <c r="B3" s="87">
        <f>B4+B5+B6</f>
        <v>152</v>
      </c>
      <c r="C3" s="81"/>
      <c r="D3" s="75" t="s">
        <v>107</v>
      </c>
      <c r="E3" s="79"/>
      <c r="F3" s="75" t="s">
        <v>108</v>
      </c>
      <c r="G3" s="79"/>
      <c r="H3" s="81"/>
      <c r="I3" s="89" t="s">
        <v>109</v>
      </c>
      <c r="J3" s="89" t="s">
        <v>111</v>
      </c>
      <c r="K3" s="89" t="s">
        <v>112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75" customHeight="1">
      <c r="A4" s="91" t="s">
        <v>113</v>
      </c>
      <c r="B4" s="93">
        <f>'Cabina de discos'!M24</f>
        <v>16</v>
      </c>
      <c r="C4" s="81"/>
      <c r="D4" s="95" t="s">
        <v>114</v>
      </c>
      <c r="E4" s="97">
        <v>19.0</v>
      </c>
      <c r="F4" s="95" t="s">
        <v>115</v>
      </c>
      <c r="G4" s="99">
        <f>ROUND(B3/(E4*E5),0)+1</f>
        <v>1</v>
      </c>
      <c r="H4" s="81"/>
      <c r="I4" s="101">
        <v>1.0</v>
      </c>
      <c r="J4" s="103">
        <f>G9</f>
        <v>126865.2521</v>
      </c>
      <c r="K4" s="103">
        <f t="shared" ref="K4:K6" si="1">J4*5</f>
        <v>634326.2605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85" t="s">
        <v>118</v>
      </c>
      <c r="B5" s="93">
        <f>Resum!B3</f>
        <v>134</v>
      </c>
      <c r="C5" s="81"/>
      <c r="D5" s="95" t="s">
        <v>119</v>
      </c>
      <c r="E5" s="105">
        <f>Resum!B4</f>
        <v>42</v>
      </c>
      <c r="F5" s="95" t="s">
        <v>121</v>
      </c>
      <c r="G5" s="107">
        <f>G4*E6</f>
        <v>115000</v>
      </c>
      <c r="H5" s="81"/>
      <c r="I5" s="101">
        <v>2.0</v>
      </c>
      <c r="J5" s="103">
        <f>G21</f>
        <v>62658.66946</v>
      </c>
      <c r="K5" s="103">
        <f t="shared" si="1"/>
        <v>313293.3473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75" customHeight="1">
      <c r="A6" s="109" t="s">
        <v>123</v>
      </c>
      <c r="B6" s="93">
        <f>Backup!G29</f>
        <v>2</v>
      </c>
      <c r="C6" s="81"/>
      <c r="D6" s="95" t="s">
        <v>124</v>
      </c>
      <c r="E6" s="111">
        <v>115000.0</v>
      </c>
      <c r="F6" s="95" t="s">
        <v>125</v>
      </c>
      <c r="G6" s="107">
        <f>E7*G4*B8</f>
        <v>2000</v>
      </c>
      <c r="H6" s="81"/>
      <c r="I6" s="101">
        <v>3.0</v>
      </c>
      <c r="J6" s="103">
        <f>G30</f>
        <v>74932.62605</v>
      </c>
      <c r="K6" s="103">
        <f t="shared" si="1"/>
        <v>374663.1302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75" customHeight="1">
      <c r="A7" s="109" t="s">
        <v>127</v>
      </c>
      <c r="B7" s="114">
        <f>Electricitat!F18</f>
        <v>32884.17365</v>
      </c>
      <c r="C7" s="81"/>
      <c r="D7" s="95" t="s">
        <v>129</v>
      </c>
      <c r="E7" s="111">
        <v>2000.0</v>
      </c>
      <c r="F7" s="95" t="s">
        <v>130</v>
      </c>
      <c r="G7" s="107">
        <f>1500*12*B9</f>
        <v>0</v>
      </c>
      <c r="H7" s="116"/>
      <c r="I7" s="117"/>
      <c r="J7" s="117"/>
      <c r="K7" s="11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2.25" customHeight="1">
      <c r="A8" s="119" t="s">
        <v>132</v>
      </c>
      <c r="B8" s="121">
        <f>Resum!B22</f>
        <v>1</v>
      </c>
      <c r="C8" s="81"/>
      <c r="D8" s="97"/>
      <c r="E8" s="111"/>
      <c r="F8" s="123" t="s">
        <v>133</v>
      </c>
      <c r="G8" s="107">
        <f>B7*(E9-1)</f>
        <v>9865.252094</v>
      </c>
      <c r="H8" s="116"/>
      <c r="I8" s="1"/>
      <c r="J8" s="1"/>
      <c r="K8" s="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75" customHeight="1">
      <c r="A9" s="125" t="s">
        <v>134</v>
      </c>
      <c r="B9" s="121">
        <f>Resum!B21</f>
        <v>0</v>
      </c>
      <c r="C9" s="81"/>
      <c r="D9" s="95" t="s">
        <v>136</v>
      </c>
      <c r="E9" s="97">
        <v>1.3</v>
      </c>
      <c r="F9" s="95" t="s">
        <v>137</v>
      </c>
      <c r="G9" s="107">
        <f>SUM(G5:G8)</f>
        <v>126865.2521</v>
      </c>
      <c r="H9" s="116"/>
      <c r="I9" s="1"/>
      <c r="J9" s="1"/>
      <c r="K9" s="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75" customHeight="1">
      <c r="A10" s="1"/>
      <c r="B10" s="117"/>
      <c r="C10" s="73"/>
      <c r="D10" s="75" t="s">
        <v>138</v>
      </c>
      <c r="E10" s="79"/>
      <c r="F10" s="95" t="s">
        <v>139</v>
      </c>
      <c r="G10" s="128">
        <f>ROUND(B3/E5,0)+1</f>
        <v>5</v>
      </c>
      <c r="H10" s="116"/>
      <c r="I10" s="1"/>
      <c r="J10" s="1"/>
      <c r="K10" s="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75" customHeight="1">
      <c r="A11" s="1"/>
      <c r="B11" s="1"/>
      <c r="C11" s="1"/>
      <c r="D11" s="117"/>
      <c r="E11" s="117"/>
      <c r="F11" s="117"/>
      <c r="G11" s="117"/>
      <c r="H11" s="1"/>
      <c r="I11" s="1"/>
      <c r="J11" s="1"/>
      <c r="K11" s="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75" customHeight="1">
      <c r="A12" s="1"/>
      <c r="B12" s="1"/>
      <c r="C12" s="1"/>
      <c r="D12" s="130"/>
      <c r="E12" s="130"/>
      <c r="F12" s="1"/>
      <c r="G12" s="1"/>
      <c r="H12" s="1"/>
      <c r="I12" s="1"/>
      <c r="J12" s="1"/>
      <c r="K12" s="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75" customHeight="1">
      <c r="A13" s="1"/>
      <c r="B13" s="1"/>
      <c r="C13" s="1"/>
      <c r="D13" s="132"/>
      <c r="E13" s="132"/>
      <c r="F13" s="69"/>
      <c r="G13" s="69"/>
      <c r="H13" s="1"/>
      <c r="I13" s="1"/>
      <c r="J13" s="1"/>
      <c r="K13" s="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75" customHeight="1">
      <c r="A14" s="1"/>
      <c r="B14" s="1"/>
      <c r="C14" s="73"/>
      <c r="D14" s="75" t="s">
        <v>144</v>
      </c>
      <c r="E14" s="77"/>
      <c r="F14" s="77"/>
      <c r="G14" s="79"/>
      <c r="H14" s="116"/>
      <c r="I14" s="1"/>
      <c r="J14" s="1"/>
      <c r="K14" s="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75" customHeight="1">
      <c r="A15" s="1"/>
      <c r="B15" s="1"/>
      <c r="C15" s="73"/>
      <c r="D15" s="75" t="s">
        <v>107</v>
      </c>
      <c r="E15" s="79"/>
      <c r="F15" s="75" t="s">
        <v>108</v>
      </c>
      <c r="G15" s="79"/>
      <c r="H15" s="116"/>
      <c r="I15" s="1"/>
      <c r="J15" s="1"/>
      <c r="K15" s="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75" customHeight="1">
      <c r="A16" s="1"/>
      <c r="B16" s="1"/>
      <c r="C16" s="73"/>
      <c r="D16" s="95" t="s">
        <v>21</v>
      </c>
      <c r="E16" s="105">
        <f>Resum!B4</f>
        <v>42</v>
      </c>
      <c r="F16" s="95" t="s">
        <v>139</v>
      </c>
      <c r="G16" s="128">
        <f>ROUND(B3/E16,0)+1</f>
        <v>5</v>
      </c>
      <c r="H16" s="116"/>
      <c r="I16" s="1"/>
      <c r="J16" s="1"/>
      <c r="K16" s="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75" customHeight="1">
      <c r="A17" s="1"/>
      <c r="B17" s="1"/>
      <c r="C17" s="73"/>
      <c r="D17" s="95" t="s">
        <v>147</v>
      </c>
      <c r="E17" s="111">
        <v>9000.0</v>
      </c>
      <c r="F17" s="95" t="s">
        <v>148</v>
      </c>
      <c r="G17" s="107">
        <f>G16*E17</f>
        <v>45000</v>
      </c>
      <c r="H17" s="116"/>
      <c r="I17" s="1"/>
      <c r="J17" s="1"/>
      <c r="K17" s="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75" customHeight="1">
      <c r="A18" s="1"/>
      <c r="B18" s="1"/>
      <c r="C18" s="73"/>
      <c r="D18" s="95" t="s">
        <v>149</v>
      </c>
      <c r="E18" s="111">
        <v>900.0</v>
      </c>
      <c r="F18" s="95" t="s">
        <v>150</v>
      </c>
      <c r="G18" s="107">
        <f>B7*(E19-1)</f>
        <v>13153.66946</v>
      </c>
      <c r="H18" s="116"/>
      <c r="I18" s="1"/>
      <c r="J18" s="1"/>
      <c r="K18" s="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75" customHeight="1">
      <c r="A19" s="1"/>
      <c r="B19" s="1"/>
      <c r="C19" s="73"/>
      <c r="D19" s="95" t="s">
        <v>136</v>
      </c>
      <c r="E19" s="97">
        <v>1.4</v>
      </c>
      <c r="F19" s="95" t="s">
        <v>125</v>
      </c>
      <c r="G19" s="107">
        <f>B8*E18*G16</f>
        <v>4500</v>
      </c>
      <c r="H19" s="116"/>
      <c r="I19" s="1"/>
      <c r="J19" s="1"/>
      <c r="K19" s="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75" customHeight="1">
      <c r="A20" s="1"/>
      <c r="B20" s="1"/>
      <c r="C20" s="1"/>
      <c r="D20" s="140"/>
      <c r="E20" s="150"/>
      <c r="F20" s="95" t="s">
        <v>130</v>
      </c>
      <c r="G20" s="107">
        <f>B9*2000*12</f>
        <v>0</v>
      </c>
      <c r="H20" s="116"/>
      <c r="I20" s="1"/>
      <c r="J20" s="1"/>
      <c r="K20" s="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75" customHeight="1">
      <c r="A21" s="1"/>
      <c r="B21" s="1"/>
      <c r="C21" s="1"/>
      <c r="D21" s="153"/>
      <c r="E21" s="155"/>
      <c r="F21" s="95" t="s">
        <v>137</v>
      </c>
      <c r="G21" s="107">
        <f>SUM(G16:G20)</f>
        <v>62658.66946</v>
      </c>
      <c r="H21" s="116"/>
      <c r="I21" s="1"/>
      <c r="J21" s="1"/>
      <c r="K21" s="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75" customHeight="1">
      <c r="A22" s="1"/>
      <c r="B22" s="1"/>
      <c r="C22" s="1"/>
      <c r="D22" s="1"/>
      <c r="E22" s="1"/>
      <c r="F22" s="117"/>
      <c r="G22" s="117"/>
      <c r="H22" s="1"/>
      <c r="I22" s="1"/>
      <c r="J22" s="1"/>
      <c r="K22" s="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75" customHeight="1">
      <c r="A23" s="1"/>
      <c r="B23" s="1"/>
      <c r="C23" s="1"/>
      <c r="D23" s="69"/>
      <c r="E23" s="69"/>
      <c r="F23" s="69"/>
      <c r="G23" s="69"/>
      <c r="H23" s="1"/>
      <c r="I23" s="1"/>
      <c r="J23" s="1"/>
      <c r="K23" s="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75" customHeight="1">
      <c r="A24" s="1"/>
      <c r="B24" s="1"/>
      <c r="C24" s="73"/>
      <c r="D24" s="75" t="s">
        <v>157</v>
      </c>
      <c r="E24" s="77"/>
      <c r="F24" s="77"/>
      <c r="G24" s="79"/>
      <c r="H24" s="116"/>
      <c r="I24" s="1"/>
      <c r="J24" s="1"/>
      <c r="K24" s="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8.75" customHeight="1">
      <c r="A25" s="1"/>
      <c r="B25" s="1"/>
      <c r="C25" s="73"/>
      <c r="D25" s="75" t="s">
        <v>107</v>
      </c>
      <c r="E25" s="79"/>
      <c r="F25" s="75" t="s">
        <v>108</v>
      </c>
      <c r="G25" s="79"/>
      <c r="H25" s="116"/>
      <c r="I25" s="1"/>
      <c r="J25" s="1"/>
      <c r="K25" s="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75" customHeight="1">
      <c r="A26" s="1"/>
      <c r="B26" s="1"/>
      <c r="C26" s="73"/>
      <c r="D26" s="95" t="s">
        <v>21</v>
      </c>
      <c r="E26" s="105">
        <f>Resum!B4</f>
        <v>42</v>
      </c>
      <c r="F26" s="95" t="s">
        <v>139</v>
      </c>
      <c r="G26" s="128">
        <f>ROUND(B3/E26,0)+1</f>
        <v>5</v>
      </c>
      <c r="H26" s="116"/>
      <c r="I26" s="1"/>
      <c r="J26" s="1"/>
      <c r="K26" s="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75" customHeight="1">
      <c r="A27" s="1"/>
      <c r="B27" s="1"/>
      <c r="C27" s="73"/>
      <c r="D27" s="95" t="s">
        <v>147</v>
      </c>
      <c r="E27" s="111">
        <v>14000.0</v>
      </c>
      <c r="F27" s="95" t="s">
        <v>148</v>
      </c>
      <c r="G27" s="107">
        <f>G26*E27</f>
        <v>70000</v>
      </c>
      <c r="H27" s="116"/>
      <c r="I27" s="1"/>
      <c r="J27" s="1"/>
      <c r="K27" s="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75" customHeight="1">
      <c r="A28" s="1"/>
      <c r="B28" s="1"/>
      <c r="C28" s="73"/>
      <c r="D28" s="95" t="s">
        <v>136</v>
      </c>
      <c r="E28" s="97">
        <v>1.15</v>
      </c>
      <c r="F28" s="95" t="s">
        <v>165</v>
      </c>
      <c r="G28" s="107">
        <f>B7*(E28-1)</f>
        <v>4932.626047</v>
      </c>
      <c r="H28" s="116"/>
      <c r="I28" s="1"/>
      <c r="J28" s="1"/>
      <c r="K28" s="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8.75" customHeight="1">
      <c r="A29" s="1"/>
      <c r="B29" s="1"/>
      <c r="C29" s="1"/>
      <c r="D29" s="162"/>
      <c r="E29" s="150"/>
      <c r="F29" s="95" t="s">
        <v>130</v>
      </c>
      <c r="G29" s="107">
        <f>B9*3500*12</f>
        <v>0</v>
      </c>
      <c r="H29" s="116"/>
      <c r="I29" s="1"/>
      <c r="J29" s="1"/>
      <c r="K29" s="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8.75" customHeight="1">
      <c r="A30" s="1"/>
      <c r="B30" s="1"/>
      <c r="C30" s="1"/>
      <c r="D30" s="164"/>
      <c r="E30" s="155"/>
      <c r="F30" s="95" t="s">
        <v>137</v>
      </c>
      <c r="G30" s="107">
        <f>SUM(G27:G29)</f>
        <v>74932.62605</v>
      </c>
      <c r="H30" s="116"/>
      <c r="I30" s="1"/>
      <c r="J30" s="1"/>
      <c r="K30" s="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D2:G2"/>
    <mergeCell ref="F3:G3"/>
    <mergeCell ref="D3:E3"/>
    <mergeCell ref="D25:E25"/>
    <mergeCell ref="D24:G24"/>
    <mergeCell ref="A2:B2"/>
    <mergeCell ref="I2:K2"/>
    <mergeCell ref="D15:E15"/>
    <mergeCell ref="D14:G14"/>
    <mergeCell ref="F25:G25"/>
    <mergeCell ref="F15:G15"/>
    <mergeCell ref="D10:E10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56"/>
    <col customWidth="1" min="2" max="2" width="12.33"/>
    <col customWidth="1" min="3" max="3" width="4.22"/>
    <col customWidth="1" min="4" max="4" width="25.89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22"/>
    <col customWidth="1" min="12" max="12" width="12.56"/>
    <col customWidth="1" min="13" max="13" width="20.56"/>
    <col customWidth="1" min="14" max="26" width="12.67"/>
  </cols>
  <sheetData>
    <row r="1" ht="18.75" customHeight="1">
      <c r="A1" s="70"/>
      <c r="B1" s="70"/>
      <c r="C1" s="1"/>
      <c r="D1" s="70"/>
      <c r="E1" s="70"/>
      <c r="F1" s="70"/>
      <c r="G1" s="70"/>
      <c r="H1" s="70"/>
      <c r="I1" s="1"/>
      <c r="J1" s="1"/>
      <c r="K1" s="1"/>
      <c r="L1" s="1"/>
      <c r="M1" s="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75" customHeight="1">
      <c r="A2" s="74" t="s">
        <v>102</v>
      </c>
      <c r="B2" s="76"/>
      <c r="C2" s="78"/>
      <c r="D2" s="80" t="s">
        <v>104</v>
      </c>
      <c r="E2" s="82"/>
      <c r="F2" s="82"/>
      <c r="G2" s="82"/>
      <c r="H2" s="76"/>
      <c r="I2" s="84"/>
      <c r="J2" s="1"/>
      <c r="K2" s="1"/>
      <c r="L2" s="1"/>
      <c r="M2" s="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6" t="s">
        <v>70</v>
      </c>
      <c r="B3" s="88">
        <f>180*1024</f>
        <v>184320</v>
      </c>
      <c r="C3" s="78"/>
      <c r="D3" s="80" t="s">
        <v>107</v>
      </c>
      <c r="E3" s="76"/>
      <c r="F3" s="90" t="s">
        <v>110</v>
      </c>
      <c r="G3" s="80" t="s">
        <v>108</v>
      </c>
      <c r="H3" s="76"/>
      <c r="I3" s="84"/>
      <c r="J3" s="92"/>
      <c r="K3" s="94"/>
      <c r="L3" s="70"/>
      <c r="M3" s="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75" customHeight="1">
      <c r="A4" s="96" t="s">
        <v>72</v>
      </c>
      <c r="B4" s="98">
        <f>1</f>
        <v>1</v>
      </c>
      <c r="C4" s="78"/>
      <c r="D4" s="100" t="s">
        <v>116</v>
      </c>
      <c r="E4" s="102">
        <v>0.09</v>
      </c>
      <c r="F4" s="104">
        <f>IF($B$3&gt;1024,1024,MAX($B$3,0))</f>
        <v>1024</v>
      </c>
      <c r="G4" s="100" t="s">
        <v>117</v>
      </c>
      <c r="H4" s="104">
        <f>F4*E4+F5*E5+F6*E6+F7*E7+F8*E8</f>
        <v>12508.16</v>
      </c>
      <c r="I4" s="78"/>
      <c r="J4" s="106" t="s">
        <v>120</v>
      </c>
      <c r="K4" s="82"/>
      <c r="L4" s="76"/>
      <c r="M4" s="8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86" t="s">
        <v>74</v>
      </c>
      <c r="B5" s="98">
        <f>2</f>
        <v>2</v>
      </c>
      <c r="C5" s="78"/>
      <c r="D5" s="100" t="s">
        <v>122</v>
      </c>
      <c r="E5" s="102">
        <v>0.075</v>
      </c>
      <c r="F5" s="104">
        <f>IF($B$3&gt;50*1024,50*1024-F4,MAX($B$3-F4,0))</f>
        <v>50176</v>
      </c>
      <c r="G5" s="108"/>
      <c r="H5" s="110"/>
      <c r="I5" s="112"/>
      <c r="J5" s="113" t="s">
        <v>126</v>
      </c>
      <c r="K5" s="113" t="s">
        <v>109</v>
      </c>
      <c r="L5" s="113" t="s">
        <v>111</v>
      </c>
      <c r="M5" s="8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75" customHeight="1">
      <c r="A6" s="86" t="s">
        <v>128</v>
      </c>
      <c r="B6" s="115">
        <f>15*1024</f>
        <v>15360</v>
      </c>
      <c r="C6" s="78"/>
      <c r="D6" s="100" t="s">
        <v>131</v>
      </c>
      <c r="E6" s="102">
        <v>0.065</v>
      </c>
      <c r="F6" s="104">
        <f>IF($B$3&gt;500*1024,500*1024-F5-F4,MAX($B$3-F5-F4,0))</f>
        <v>133120</v>
      </c>
      <c r="G6" s="118"/>
      <c r="H6" s="120"/>
      <c r="I6" s="122" t="str">
        <f>IF(Resum!B16=1,"X","")</f>
        <v/>
      </c>
      <c r="J6" s="124">
        <v>1.0</v>
      </c>
      <c r="K6" s="126" t="s">
        <v>135</v>
      </c>
      <c r="L6" s="127">
        <f>H4*12</f>
        <v>150097.92</v>
      </c>
      <c r="M6" s="84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75" customHeight="1">
      <c r="A7" s="96" t="s">
        <v>78</v>
      </c>
      <c r="B7" s="129">
        <v>1.0</v>
      </c>
      <c r="C7" s="78"/>
      <c r="D7" s="100" t="s">
        <v>140</v>
      </c>
      <c r="E7" s="102">
        <v>0.055</v>
      </c>
      <c r="F7" s="104">
        <f>IF($B$3&gt;5000*1024,5000*1024-F6-F5-F4,MAX($B$3-F6-F5-F4,0))</f>
        <v>0</v>
      </c>
      <c r="G7" s="118"/>
      <c r="H7" s="120"/>
      <c r="I7" s="122" t="str">
        <f>IF(Resum!B16=2,"X","")</f>
        <v>X</v>
      </c>
      <c r="J7" s="124">
        <v>2.0</v>
      </c>
      <c r="K7" s="126" t="s">
        <v>141</v>
      </c>
      <c r="L7" s="127">
        <f>H12*12</f>
        <v>159952.896</v>
      </c>
      <c r="M7" s="8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75" customHeight="1">
      <c r="A8" s="134" t="s">
        <v>143</v>
      </c>
      <c r="B8" s="76"/>
      <c r="C8" s="78"/>
      <c r="D8" s="100" t="s">
        <v>145</v>
      </c>
      <c r="E8" s="102">
        <v>0.05</v>
      </c>
      <c r="F8" s="104">
        <f>IF($B$3&gt;5000*1024,$B$3-F7-F6-F5-F4,0)</f>
        <v>0</v>
      </c>
      <c r="G8" s="84"/>
      <c r="H8" s="138"/>
      <c r="I8" s="122" t="str">
        <f>IF(Resum!B16=3,"X","")</f>
        <v/>
      </c>
      <c r="J8" s="124">
        <v>3.0</v>
      </c>
      <c r="K8" s="126" t="s">
        <v>151</v>
      </c>
      <c r="L8" s="124">
        <v>0.0</v>
      </c>
      <c r="M8" s="84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75" customHeight="1">
      <c r="A9" s="142" t="str">
        <f>IF(Resum!B16=1,"Microworks Azure M-A",IF(Resum!B16=2,"MonsoonS3 MS3",IF(Resum!B16=3,"Take the tapes and run","error")))</f>
        <v>MonsoonS3 MS3</v>
      </c>
      <c r="B9" s="76"/>
      <c r="C9" s="78"/>
      <c r="D9" s="144"/>
      <c r="E9" s="146"/>
      <c r="F9" s="146"/>
      <c r="G9" s="148"/>
      <c r="H9" s="148"/>
      <c r="I9" s="1"/>
      <c r="J9" s="149"/>
      <c r="K9" s="149"/>
      <c r="L9" s="149"/>
      <c r="M9" s="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75" customHeight="1">
      <c r="A10" s="151" t="s">
        <v>153</v>
      </c>
      <c r="B10" s="154">
        <f>Resum!B17</f>
        <v>1</v>
      </c>
      <c r="C10" s="78"/>
      <c r="D10" s="80" t="s">
        <v>154</v>
      </c>
      <c r="E10" s="82"/>
      <c r="F10" s="82"/>
      <c r="G10" s="82"/>
      <c r="H10" s="76"/>
      <c r="I10" s="84"/>
      <c r="J10" s="1"/>
      <c r="K10" s="1"/>
      <c r="L10" s="1"/>
      <c r="M10" s="1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75" customHeight="1">
      <c r="A11" s="151" t="s">
        <v>155</v>
      </c>
      <c r="B11" s="154">
        <f>Resum!B18</f>
        <v>0</v>
      </c>
      <c r="C11" s="78"/>
      <c r="D11" s="80" t="s">
        <v>107</v>
      </c>
      <c r="E11" s="76"/>
      <c r="F11" s="90" t="s">
        <v>110</v>
      </c>
      <c r="G11" s="80" t="s">
        <v>108</v>
      </c>
      <c r="H11" s="76"/>
      <c r="I11" s="84"/>
      <c r="J11" s="1"/>
      <c r="K11" s="1"/>
      <c r="L11" s="1"/>
      <c r="M11" s="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75" customHeight="1">
      <c r="A12" s="149"/>
      <c r="B12" s="149"/>
      <c r="C12" s="112"/>
      <c r="D12" s="100" t="s">
        <v>116</v>
      </c>
      <c r="E12" s="102">
        <v>0.095</v>
      </c>
      <c r="F12" s="104">
        <f>IF($B$3&gt;1024,1024,MAX($B$3,0))</f>
        <v>1024</v>
      </c>
      <c r="G12" s="100" t="s">
        <v>117</v>
      </c>
      <c r="H12" s="104">
        <f>F12*E12+F13*E13+F14*E14+F15*E15+F16*E16</f>
        <v>13329.408</v>
      </c>
      <c r="I12" s="84"/>
      <c r="J12" s="1"/>
      <c r="K12" s="1"/>
      <c r="L12" s="1"/>
      <c r="M12" s="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75" customHeight="1">
      <c r="A13" s="1"/>
      <c r="B13" s="1"/>
      <c r="C13" s="112"/>
      <c r="D13" s="100" t="s">
        <v>122</v>
      </c>
      <c r="E13" s="102">
        <v>0.078</v>
      </c>
      <c r="F13" s="104">
        <f>IF($B$3&gt;50*1024,50*1024-F12,MAX($B$3-F12,0))</f>
        <v>50176</v>
      </c>
      <c r="G13" s="108"/>
      <c r="H13" s="110"/>
      <c r="I13" s="1"/>
      <c r="J13" s="1"/>
      <c r="K13" s="1"/>
      <c r="L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75" customHeight="1">
      <c r="A14" s="1"/>
      <c r="B14" s="1"/>
      <c r="C14" s="112"/>
      <c r="D14" s="100" t="s">
        <v>131</v>
      </c>
      <c r="E14" s="102">
        <v>0.07</v>
      </c>
      <c r="F14" s="104">
        <f>IF($B$3&gt;500*1024,500*1024-F13-F12,MAX($B$3-F13-F12,0))</f>
        <v>133120</v>
      </c>
      <c r="G14" s="118"/>
      <c r="H14" s="120"/>
      <c r="I14" s="1"/>
      <c r="J14" s="1"/>
      <c r="K14" s="1"/>
      <c r="L14" s="1"/>
      <c r="M14" s="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75" customHeight="1">
      <c r="A15" s="1"/>
      <c r="B15" s="1"/>
      <c r="C15" s="112"/>
      <c r="D15" s="100" t="s">
        <v>140</v>
      </c>
      <c r="E15" s="102">
        <v>0.065</v>
      </c>
      <c r="F15" s="104">
        <f>IF($B$3&gt;5000*1024,5000*1024-F14-F13-F12,MAX($B$3-F14-F13-F12,0))</f>
        <v>0</v>
      </c>
      <c r="G15" s="118"/>
      <c r="H15" s="120"/>
      <c r="I15" s="1"/>
      <c r="J15" s="1"/>
      <c r="K15" s="1"/>
      <c r="L15" s="1"/>
      <c r="M15" s="1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75" customHeight="1">
      <c r="A16" s="1"/>
      <c r="B16" s="1"/>
      <c r="C16" s="112"/>
      <c r="D16" s="100" t="s">
        <v>145</v>
      </c>
      <c r="E16" s="102">
        <v>0.055</v>
      </c>
      <c r="F16" s="104">
        <f>IF($B$3&gt;5000*1024,$B$3-F15-F14-F13-F12,0)</f>
        <v>0</v>
      </c>
      <c r="G16" s="118"/>
      <c r="H16" s="138"/>
      <c r="I16" s="1"/>
      <c r="J16" s="1"/>
      <c r="K16" s="1"/>
      <c r="L16" s="1"/>
      <c r="M16" s="1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75" customHeight="1">
      <c r="A17" s="1"/>
      <c r="B17" s="1"/>
      <c r="C17" s="112"/>
      <c r="D17" s="144"/>
      <c r="E17" s="146"/>
      <c r="F17" s="146"/>
      <c r="G17" s="148"/>
      <c r="H17" s="166"/>
      <c r="I17" s="1"/>
      <c r="J17" s="1"/>
      <c r="K17" s="1"/>
      <c r="L17" s="1"/>
      <c r="M17" s="1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75" customHeight="1">
      <c r="A18" s="1"/>
      <c r="B18" s="1"/>
      <c r="C18" s="112"/>
      <c r="D18" s="168" t="s">
        <v>172</v>
      </c>
      <c r="E18" s="171"/>
      <c r="F18" s="171"/>
      <c r="G18" s="171"/>
      <c r="H18" s="173"/>
      <c r="I18" s="174"/>
      <c r="J18" s="1"/>
      <c r="K18" s="70"/>
      <c r="L18" s="70"/>
      <c r="M18" s="1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75" customHeight="1">
      <c r="A19" s="1"/>
      <c r="B19" s="1"/>
      <c r="C19" s="112"/>
      <c r="D19" s="90" t="s">
        <v>172</v>
      </c>
      <c r="E19" s="90" t="s">
        <v>175</v>
      </c>
      <c r="F19" s="90" t="s">
        <v>176</v>
      </c>
      <c r="G19" s="90" t="s">
        <v>177</v>
      </c>
      <c r="H19" s="176" t="s">
        <v>178</v>
      </c>
      <c r="I19" s="90" t="s">
        <v>1</v>
      </c>
      <c r="J19" s="78"/>
      <c r="K19" s="106" t="s">
        <v>179</v>
      </c>
      <c r="L19" s="76"/>
      <c r="M19" s="8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75" customHeight="1">
      <c r="A20" s="1"/>
      <c r="B20" s="1"/>
      <c r="C20" s="112"/>
      <c r="D20" s="100" t="s">
        <v>180</v>
      </c>
      <c r="E20" s="102">
        <v>0.011</v>
      </c>
      <c r="F20" s="104">
        <f t="shared" ref="F20:F23" si="1">365/$B$4</f>
        <v>365</v>
      </c>
      <c r="G20" s="104">
        <f t="shared" ref="G20:G23" si="2">$B$3*E20*F20</f>
        <v>740044.8</v>
      </c>
      <c r="H20" s="104">
        <f t="shared" ref="H20:H21" si="3">100*$B$5*12</f>
        <v>2400</v>
      </c>
      <c r="I20" s="104">
        <f t="shared" ref="I20:I23" si="4">H20+G20</f>
        <v>742444.8</v>
      </c>
      <c r="J20" s="78"/>
      <c r="K20" s="180" t="s">
        <v>109</v>
      </c>
      <c r="L20" s="113" t="s">
        <v>111</v>
      </c>
      <c r="M20" s="181" t="s">
        <v>184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75" customHeight="1">
      <c r="A21" s="1"/>
      <c r="B21" s="1"/>
      <c r="C21" s="112"/>
      <c r="D21" s="100" t="s">
        <v>185</v>
      </c>
      <c r="E21" s="102">
        <v>0.02</v>
      </c>
      <c r="F21" s="104">
        <f t="shared" si="1"/>
        <v>365</v>
      </c>
      <c r="G21" s="104">
        <f t="shared" si="2"/>
        <v>1345536</v>
      </c>
      <c r="H21" s="104">
        <f t="shared" si="3"/>
        <v>2400</v>
      </c>
      <c r="I21" s="104">
        <f t="shared" si="4"/>
        <v>1347936</v>
      </c>
      <c r="J21" s="78"/>
      <c r="K21" s="126" t="s">
        <v>188</v>
      </c>
      <c r="L21" s="127">
        <f t="shared" ref="L21:L24" si="5">I20</f>
        <v>742444.8</v>
      </c>
      <c r="M21" s="84">
        <f>IF(AND(Resum!B16=1,Resum!B17=1),L21,0)</f>
        <v>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75" customHeight="1">
      <c r="A22" s="1"/>
      <c r="B22" s="1"/>
      <c r="C22" s="112"/>
      <c r="D22" s="100" t="s">
        <v>191</v>
      </c>
      <c r="E22" s="102">
        <v>0.009</v>
      </c>
      <c r="F22" s="104">
        <f t="shared" si="1"/>
        <v>365</v>
      </c>
      <c r="G22" s="104">
        <f t="shared" si="2"/>
        <v>605491.2</v>
      </c>
      <c r="H22" s="104">
        <f t="shared" ref="H22:H23" si="6">90*$B$5*12</f>
        <v>2160</v>
      </c>
      <c r="I22" s="104">
        <f t="shared" si="4"/>
        <v>607651.2</v>
      </c>
      <c r="J22" s="78"/>
      <c r="K22" s="126" t="s">
        <v>193</v>
      </c>
      <c r="L22" s="127">
        <f t="shared" si="5"/>
        <v>1347936</v>
      </c>
      <c r="M22" s="84">
        <f>IF(AND(Resum!B16=1,Resum!B17=0),L22,0)</f>
        <v>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75" customHeight="1">
      <c r="A23" s="1"/>
      <c r="B23" s="1"/>
      <c r="C23" s="112"/>
      <c r="D23" s="100" t="s">
        <v>194</v>
      </c>
      <c r="E23" s="102">
        <v>0.019</v>
      </c>
      <c r="F23" s="104">
        <f t="shared" si="1"/>
        <v>365</v>
      </c>
      <c r="G23" s="104">
        <f t="shared" si="2"/>
        <v>1278259.2</v>
      </c>
      <c r="H23" s="104">
        <f t="shared" si="6"/>
        <v>2160</v>
      </c>
      <c r="I23" s="104">
        <f t="shared" si="4"/>
        <v>1280419.2</v>
      </c>
      <c r="J23" s="78"/>
      <c r="K23" s="126" t="s">
        <v>196</v>
      </c>
      <c r="L23" s="127">
        <f t="shared" si="5"/>
        <v>607651.2</v>
      </c>
      <c r="M23" s="188">
        <f>IF(AND(Resum!B16=2,Resum!B17=1),L23,0)</f>
        <v>607651.2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75" customHeight="1">
      <c r="A24" s="1"/>
      <c r="B24" s="1"/>
      <c r="C24" s="112"/>
      <c r="D24" s="190"/>
      <c r="E24" s="191" t="s">
        <v>201</v>
      </c>
      <c r="F24" s="191" t="s">
        <v>202</v>
      </c>
      <c r="G24" s="191" t="s">
        <v>203</v>
      </c>
      <c r="H24" s="191" t="s">
        <v>204</v>
      </c>
      <c r="I24" s="191" t="s">
        <v>1</v>
      </c>
      <c r="J24" s="195"/>
      <c r="K24" s="126" t="s">
        <v>210</v>
      </c>
      <c r="L24" s="127">
        <f t="shared" si="5"/>
        <v>1280419.2</v>
      </c>
      <c r="M24" s="84">
        <f>IF(AND(Resum!B16=2,Resum!B17=0),L24,0)</f>
        <v>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8.75" customHeight="1">
      <c r="A25" s="1"/>
      <c r="B25" s="1"/>
      <c r="C25" s="112"/>
      <c r="D25" s="100" t="s">
        <v>213</v>
      </c>
      <c r="E25" s="104">
        <f>ROUNDUP($B$3/$B$6,0)</f>
        <v>12</v>
      </c>
      <c r="F25" s="104">
        <f>365/$B$4</f>
        <v>365</v>
      </c>
      <c r="G25" s="104">
        <f>120*F25*2</f>
        <v>87600</v>
      </c>
      <c r="H25" s="104">
        <f>ROUNDUP(E25*$B$5/20,0)*100</f>
        <v>200</v>
      </c>
      <c r="I25" s="104">
        <f>G25+H25</f>
        <v>87800</v>
      </c>
      <c r="J25" s="78"/>
      <c r="K25" s="126" t="s">
        <v>214</v>
      </c>
      <c r="L25" s="127">
        <f>I25</f>
        <v>87800</v>
      </c>
      <c r="M25" s="84">
        <f>IF(Resum!B16=3,L25,0)</f>
        <v>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75" customHeight="1">
      <c r="A26" s="1"/>
      <c r="B26" s="1"/>
      <c r="C26" s="1"/>
      <c r="D26" s="201" t="s">
        <v>215</v>
      </c>
      <c r="E26" s="201" t="s">
        <v>216</v>
      </c>
      <c r="F26" s="201" t="s">
        <v>217</v>
      </c>
      <c r="G26" s="201" t="s">
        <v>218</v>
      </c>
      <c r="H26" s="203"/>
      <c r="I26" s="201" t="s">
        <v>1</v>
      </c>
      <c r="J26" s="1"/>
      <c r="K26" s="149"/>
      <c r="L26" s="149"/>
      <c r="M26" s="1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75" customHeight="1">
      <c r="A27" s="1"/>
      <c r="B27" s="1"/>
      <c r="C27" s="1"/>
      <c r="D27" s="204"/>
      <c r="E27" s="204">
        <f>E25*B5</f>
        <v>24</v>
      </c>
      <c r="F27" s="204">
        <f>IF($E$25&lt;24,2500,IF($E$25&lt;48,3800,IF($E$25&lt;96,12000,70000)))</f>
        <v>2500</v>
      </c>
      <c r="G27" s="204">
        <f>E27*100</f>
        <v>2400</v>
      </c>
      <c r="H27" s="204"/>
      <c r="I27" s="204">
        <f>(F27+G27)*B11</f>
        <v>0</v>
      </c>
      <c r="J27" s="1"/>
      <c r="K27" s="1"/>
      <c r="L27" s="1"/>
      <c r="M27" s="21">
        <f>SUM(M21:M26)</f>
        <v>607651.2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75" customHeight="1">
      <c r="A28" s="1"/>
      <c r="B28" s="1"/>
      <c r="C28" s="1"/>
      <c r="D28" s="208" t="s">
        <v>220</v>
      </c>
      <c r="E28" s="209"/>
      <c r="F28" s="208" t="s">
        <v>221</v>
      </c>
      <c r="G28" s="211" t="s">
        <v>222</v>
      </c>
      <c r="H28" s="211" t="s">
        <v>223</v>
      </c>
      <c r="I28" s="204"/>
      <c r="J28" s="1"/>
      <c r="K28" s="1"/>
      <c r="L28" s="1"/>
      <c r="M28" s="21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8.75" customHeight="1">
      <c r="A29" s="1"/>
      <c r="B29" s="1"/>
      <c r="C29" s="1"/>
      <c r="D29" s="214">
        <f>IF($E$25&lt;24,168,IF($E$25&lt;48,312,IF($E$25&lt;96,560,1500)))/1000</f>
        <v>0.168</v>
      </c>
      <c r="E29" s="204"/>
      <c r="F29" s="217">
        <f>IF($E$25&lt;24,2,IF($E$25&lt;48,4,IF($E$25&lt;96,8,40)))</f>
        <v>2</v>
      </c>
      <c r="G29" s="219">
        <f>F29*B7</f>
        <v>2</v>
      </c>
      <c r="H29" s="221">
        <f>D29*B7</f>
        <v>0.168</v>
      </c>
      <c r="I29" s="204"/>
      <c r="J29" s="1"/>
      <c r="K29" s="211" t="s">
        <v>225</v>
      </c>
      <c r="L29" s="222">
        <f>$I$27</f>
        <v>0</v>
      </c>
      <c r="M29" s="21">
        <f>L29*B10</f>
        <v>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3">
    <mergeCell ref="G11:H11"/>
    <mergeCell ref="K19:L19"/>
    <mergeCell ref="D18:H18"/>
    <mergeCell ref="J4:L4"/>
    <mergeCell ref="J3:K3"/>
    <mergeCell ref="A9:B9"/>
    <mergeCell ref="A2:B2"/>
    <mergeCell ref="A8:B8"/>
    <mergeCell ref="D3:E3"/>
    <mergeCell ref="D2:H2"/>
    <mergeCell ref="G3:H3"/>
    <mergeCell ref="D11:E11"/>
    <mergeCell ref="D10:H10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2" t="s">
        <v>229</v>
      </c>
      <c r="B1" s="232" t="s">
        <v>230</v>
      </c>
      <c r="C1" s="232" t="s">
        <v>231</v>
      </c>
      <c r="D1" s="232" t="s">
        <v>232</v>
      </c>
      <c r="E1" s="232" t="s">
        <v>233</v>
      </c>
      <c r="F1" s="232" t="s">
        <v>234</v>
      </c>
      <c r="G1" s="233" t="s">
        <v>235</v>
      </c>
      <c r="H1" s="1"/>
      <c r="I1" s="1"/>
      <c r="J1" s="1"/>
      <c r="K1" s="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165">
        <v>1.0</v>
      </c>
      <c r="B2" s="234">
        <v>10.0</v>
      </c>
      <c r="C2" s="235" t="s">
        <v>236</v>
      </c>
      <c r="D2" s="236">
        <v>0.63</v>
      </c>
      <c r="E2" s="154">
        <f>IF(Resum!$B$24=1,Resum!B25,0)</f>
        <v>0</v>
      </c>
      <c r="F2" s="237">
        <f t="shared" ref="F2:F6" si="1">D2*E2*12</f>
        <v>0</v>
      </c>
      <c r="G2" s="237">
        <f t="shared" ref="G2:G6" si="2">F2*0.4</f>
        <v>0</v>
      </c>
      <c r="H2" s="238"/>
      <c r="I2" s="130"/>
      <c r="J2" s="130"/>
      <c r="K2" s="13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9.5" customHeight="1">
      <c r="A3" s="165">
        <v>2.0</v>
      </c>
      <c r="B3" s="234">
        <v>100.0</v>
      </c>
      <c r="C3" s="235" t="s">
        <v>236</v>
      </c>
      <c r="D3" s="236">
        <v>6.3</v>
      </c>
      <c r="E3" s="154">
        <f>IF(Resum!$B$24=2,Resum!B25,0)</f>
        <v>0</v>
      </c>
      <c r="F3" s="237">
        <f t="shared" si="1"/>
        <v>0</v>
      </c>
      <c r="G3" s="237">
        <f t="shared" si="2"/>
        <v>0</v>
      </c>
      <c r="H3" s="118"/>
      <c r="I3" s="120"/>
      <c r="J3" s="120"/>
      <c r="K3" s="12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9.5" customHeight="1">
      <c r="A4" s="165">
        <v>3.0</v>
      </c>
      <c r="B4" s="234">
        <v>1000.0</v>
      </c>
      <c r="C4" s="235" t="s">
        <v>236</v>
      </c>
      <c r="D4" s="236">
        <v>63.0</v>
      </c>
      <c r="E4" s="154">
        <f>IF(Resum!$B$24=3,Resum!B25,0)</f>
        <v>1</v>
      </c>
      <c r="F4" s="237">
        <f t="shared" si="1"/>
        <v>756</v>
      </c>
      <c r="G4" s="237">
        <f t="shared" si="2"/>
        <v>302.4</v>
      </c>
      <c r="H4" s="118"/>
      <c r="I4" s="120"/>
      <c r="J4" s="120"/>
      <c r="K4" s="12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165">
        <v>4.0</v>
      </c>
      <c r="B5" s="234">
        <v>10000.0</v>
      </c>
      <c r="C5" s="235" t="s">
        <v>237</v>
      </c>
      <c r="D5" s="236">
        <v>630.0</v>
      </c>
      <c r="E5" s="154">
        <f>IF(Resum!$B$24=4,Resum!B25,0)</f>
        <v>0</v>
      </c>
      <c r="F5" s="237">
        <f t="shared" si="1"/>
        <v>0</v>
      </c>
      <c r="G5" s="237">
        <f t="shared" si="2"/>
        <v>0</v>
      </c>
      <c r="H5" s="118"/>
      <c r="I5" s="120"/>
      <c r="J5" s="120"/>
      <c r="K5" s="12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1.5" customHeight="1">
      <c r="A6" s="165">
        <v>5.0</v>
      </c>
      <c r="B6" s="234">
        <v>100000.0</v>
      </c>
      <c r="C6" s="235" t="s">
        <v>238</v>
      </c>
      <c r="D6" s="236">
        <v>6300.0</v>
      </c>
      <c r="E6" s="154">
        <f>IF(Resum!$B$24=5,Resum!B25,0)</f>
        <v>0</v>
      </c>
      <c r="F6" s="237">
        <f t="shared" si="1"/>
        <v>0</v>
      </c>
      <c r="G6" s="237">
        <f t="shared" si="2"/>
        <v>0</v>
      </c>
      <c r="H6" s="118"/>
      <c r="I6" s="120"/>
      <c r="J6" s="120"/>
      <c r="K6" s="12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6.5" customHeight="1">
      <c r="A7" s="239"/>
      <c r="B7" s="110"/>
      <c r="C7" s="110"/>
      <c r="D7" s="110"/>
      <c r="E7" s="240" t="s">
        <v>42</v>
      </c>
      <c r="F7" s="241">
        <f>SUM(F2:F6)</f>
        <v>756</v>
      </c>
      <c r="G7" s="241">
        <f>IF(Resum!B20=3,SUM(G2:G6),0)</f>
        <v>302.4</v>
      </c>
      <c r="H7" s="120"/>
      <c r="I7" s="120"/>
      <c r="J7" s="120"/>
      <c r="K7" s="12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6.5" customHeight="1">
      <c r="A8" s="120"/>
      <c r="B8" s="120"/>
      <c r="C8" s="120"/>
      <c r="D8" s="120"/>
      <c r="E8" s="120"/>
      <c r="F8" s="148"/>
      <c r="G8" s="120"/>
      <c r="H8" s="120"/>
      <c r="I8" s="120"/>
      <c r="J8" s="120"/>
      <c r="K8" s="120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6.5" customHeight="1">
      <c r="A9" s="120"/>
      <c r="B9" s="120"/>
      <c r="C9" s="120"/>
      <c r="D9" s="120"/>
      <c r="E9" s="120"/>
      <c r="F9" s="241">
        <f>IF(Resum!B26=0,F7,F7+G7)</f>
        <v>1058.4</v>
      </c>
      <c r="G9" s="120"/>
      <c r="H9" s="120"/>
      <c r="I9" s="120"/>
      <c r="J9" s="120"/>
      <c r="K9" s="120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75" customHeight="1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75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7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75" customHeight="1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