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https://stateofwa-my.sharepoint.com/personal/tyler_garber_dfw_wa_gov/Documents/Mark/alt_manage/data/"/>
    </mc:Choice>
  </mc:AlternateContent>
  <xr:revisionPtr revIDLastSave="60" documentId="8_{44E1C234-1464-4DDA-B025-DF0EB64B1159}" xr6:coauthVersionLast="47" xr6:coauthVersionMax="47" xr10:uidLastSave="{073E5A29-EB5B-4908-BAED-4E0924E25E80}"/>
  <bookViews>
    <workbookView minimized="1" xWindow="33615" yWindow="3195" windowWidth="21600" windowHeight="11040" tabRatio="733" firstSheet="6" activeTab="14" xr2:uid="{B4188369-F25D-4C42-A831-F1E8A4B0C747}"/>
  </bookViews>
  <sheets>
    <sheet name="Chinook_All_Areas_Ests-vs-FRAM" sheetId="7" r:id="rId1"/>
    <sheet name="Coho_All_Areas_Ests_vs_FRAM" sheetId="12" r:id="rId2"/>
    <sheet name="EstArea 5 2023" sheetId="3" r:id="rId3"/>
    <sheet name="Area 5 Test Fishing" sheetId="4" r:id="rId4"/>
    <sheet name="EstArea 6 2023" sheetId="13" r:id="rId5"/>
    <sheet name="Area 6 STR" sheetId="14" r:id="rId6"/>
    <sheet name="EstArea 7 2023" sheetId="9" r:id="rId7"/>
    <sheet name="Area7 test fishing" sheetId="10" r:id="rId8"/>
    <sheet name="EstArea 81 2023" sheetId="19" r:id="rId9"/>
    <sheet name="EstArea 82 2023" sheetId="15" r:id="rId10"/>
    <sheet name="EstAreas9&amp;10 2023" sheetId="8" r:id="rId11"/>
    <sheet name="Area9&amp;10 test fishing" sheetId="6" r:id="rId12"/>
    <sheet name="Est Elliott Bay 2023" sheetId="17" r:id="rId13"/>
    <sheet name="ElliotBay VTR" sheetId="18" r:id="rId14"/>
    <sheet name="EstArea 11 2023" sheetId="1" r:id="rId15"/>
    <sheet name="Area 11 Encounters" sheetId="2" r:id="rId16"/>
  </sheets>
  <definedNames>
    <definedName name="_xlnm._FilterDatabase" localSheetId="10" hidden="1">'EstAreas9&amp;10 2023'!$A$59:$V$158</definedName>
    <definedName name="_xlnm.Print_Area" localSheetId="15">'Area 11 Encounters'!$A$1:$I$15</definedName>
    <definedName name="_xlnm.Print_Area" localSheetId="3">'Area 5 Test Fishing'!$A$1:$I$33</definedName>
    <definedName name="_xlnm.Print_Area" localSheetId="5">'Area 6 STR'!$A$1:$I$18</definedName>
    <definedName name="_xlnm.Print_Area" localSheetId="7">'Area7 test fishing'!$A$1:$I$10</definedName>
    <definedName name="_xlnm.Print_Area" localSheetId="11">'Area9&amp;10 test fishing'!$A$1:$R$42</definedName>
    <definedName name="_xlnm.Print_Area" localSheetId="0">'Chinook_All_Areas_Ests-vs-FRAM'!$A$1:$T$35</definedName>
    <definedName name="_xlnm.Print_Area" localSheetId="1">Coho_All_Areas_Ests_vs_FRAM!$A$1:$M$150</definedName>
    <definedName name="_xlnm.Print_Area" localSheetId="13">'ElliotBay VTR'!$A$1:$S$15</definedName>
    <definedName name="_xlnm.Print_Area" localSheetId="12">'Est Elliott Bay 2023'!$A$1:$L$12</definedName>
    <definedName name="_xlnm.Print_Area" localSheetId="14">'EstArea 11 2023'!$A$1:$R$72</definedName>
    <definedName name="_xlnm.Print_Area" localSheetId="2">'EstArea 5 2023'!$A$1:$Q$3</definedName>
    <definedName name="_xlnm.Print_Area" localSheetId="4">'EstArea 6 2023'!$A$1:$R$31</definedName>
    <definedName name="_xlnm.Print_Area" localSheetId="6">'EstArea 7 2023'!$A$1:$R$66</definedName>
    <definedName name="_xlnm.Print_Area" localSheetId="8">'EstArea 81 2023'!$A$1:$M$21</definedName>
    <definedName name="_xlnm.Print_Area" localSheetId="9">'EstArea 82 2023'!$A$1:$M$21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19" i="1"/>
  <c r="V150" i="8"/>
  <c r="V149" i="8"/>
  <c r="V148" i="8"/>
  <c r="V147" i="8"/>
  <c r="V146" i="8"/>
  <c r="F154" i="8"/>
  <c r="F157" i="8" s="1"/>
  <c r="E154" i="8"/>
  <c r="E155" i="8" s="1"/>
  <c r="E156" i="8" s="1"/>
  <c r="E157" i="8"/>
  <c r="F155" i="8" l="1"/>
  <c r="F156" i="8" s="1"/>
  <c r="M63" i="1"/>
  <c r="N63" i="1"/>
  <c r="V145" i="8"/>
  <c r="V144" i="8"/>
  <c r="V143" i="8"/>
  <c r="V142" i="8"/>
  <c r="L106" i="12"/>
  <c r="N112" i="12"/>
  <c r="N82" i="12"/>
  <c r="N88" i="12"/>
  <c r="M46" i="12"/>
  <c r="N108" i="13"/>
  <c r="N106" i="13"/>
  <c r="N107" i="13" s="1"/>
  <c r="N105" i="13"/>
  <c r="R103" i="13"/>
  <c r="M103" i="13"/>
  <c r="M103" i="3"/>
  <c r="V141" i="8"/>
  <c r="V140" i="8"/>
  <c r="V139" i="8"/>
  <c r="V138" i="8"/>
  <c r="V137" i="8"/>
  <c r="V136" i="8"/>
  <c r="V135" i="8"/>
  <c r="V134" i="8"/>
  <c r="V133" i="8"/>
  <c r="R102" i="13"/>
  <c r="R101" i="13"/>
  <c r="M105" i="13"/>
  <c r="M101" i="13"/>
  <c r="M102" i="13"/>
  <c r="R102" i="3"/>
  <c r="R101" i="3"/>
  <c r="M101" i="3"/>
  <c r="M102" i="3"/>
  <c r="M105" i="3"/>
  <c r="Q106" i="3"/>
  <c r="P106" i="3"/>
  <c r="O106" i="3"/>
  <c r="N106" i="3"/>
  <c r="I106" i="3"/>
  <c r="O104" i="13"/>
  <c r="V132" i="8"/>
  <c r="V131" i="8"/>
  <c r="V130" i="8"/>
  <c r="V49" i="8"/>
  <c r="V48" i="8"/>
  <c r="V47" i="8"/>
  <c r="R100" i="13"/>
  <c r="R99" i="13"/>
  <c r="R98" i="13"/>
  <c r="R100" i="3"/>
  <c r="R99" i="3"/>
  <c r="R98" i="3"/>
  <c r="R15" i="19"/>
  <c r="M106" i="3" l="1"/>
  <c r="J112" i="12"/>
  <c r="I112" i="12"/>
  <c r="H112" i="12"/>
  <c r="E112" i="12"/>
  <c r="D112" i="12"/>
  <c r="I106" i="12"/>
  <c r="H106" i="12"/>
  <c r="G106" i="12"/>
  <c r="E106" i="12"/>
  <c r="D106" i="12"/>
  <c r="V129" i="8"/>
  <c r="V128" i="8"/>
  <c r="V127" i="8"/>
  <c r="V126" i="8"/>
  <c r="L153" i="8"/>
  <c r="M153" i="8"/>
  <c r="E16" i="15"/>
  <c r="F16" i="15"/>
  <c r="G16" i="15"/>
  <c r="H16" i="15"/>
  <c r="I16" i="15"/>
  <c r="L16" i="15"/>
  <c r="K16" i="15"/>
  <c r="J16" i="15"/>
  <c r="M104" i="13"/>
  <c r="Q152" i="8" l="1"/>
  <c r="Q51" i="8"/>
  <c r="M15" i="15"/>
  <c r="V43" i="8" l="1"/>
  <c r="V44" i="8"/>
  <c r="V45" i="8"/>
  <c r="V46" i="8"/>
  <c r="R7" i="19"/>
  <c r="R8" i="19"/>
  <c r="R9" i="19"/>
  <c r="R10" i="19"/>
  <c r="R11" i="19"/>
  <c r="R12" i="19"/>
  <c r="R13" i="19"/>
  <c r="R14" i="19"/>
  <c r="R17" i="19"/>
  <c r="M17" i="19"/>
  <c r="R94" i="13"/>
  <c r="R95" i="13"/>
  <c r="R96" i="13"/>
  <c r="R97" i="13"/>
  <c r="R94" i="3"/>
  <c r="R95" i="3"/>
  <c r="R96" i="3"/>
  <c r="R97" i="3"/>
  <c r="J136" i="12" l="1"/>
  <c r="I136" i="12"/>
  <c r="H136" i="12"/>
  <c r="E136" i="12"/>
  <c r="D136" i="12"/>
  <c r="R93" i="3"/>
  <c r="R92" i="3"/>
  <c r="R91" i="3"/>
  <c r="R90" i="3"/>
  <c r="R93" i="13"/>
  <c r="R92" i="13"/>
  <c r="R91" i="13"/>
  <c r="R90" i="13"/>
  <c r="V42" i="8"/>
  <c r="V41" i="8"/>
  <c r="V40" i="8"/>
  <c r="Q50" i="8" l="1"/>
  <c r="Q151" i="8"/>
  <c r="Q153" i="8" l="1"/>
  <c r="V125" i="8"/>
  <c r="V124" i="8"/>
  <c r="V123" i="8"/>
  <c r="I130" i="12"/>
  <c r="J130" i="12"/>
  <c r="H130" i="12"/>
  <c r="E130" i="12"/>
  <c r="D130" i="12"/>
  <c r="D124" i="12"/>
  <c r="I124" i="12"/>
  <c r="J124" i="12"/>
  <c r="H124" i="12"/>
  <c r="E124" i="12"/>
  <c r="D118" i="12"/>
  <c r="H100" i="12"/>
  <c r="I100" i="12"/>
  <c r="G100" i="12"/>
  <c r="E100" i="12"/>
  <c r="D100" i="12"/>
  <c r="I94" i="12"/>
  <c r="H94" i="12"/>
  <c r="G94" i="12"/>
  <c r="E94" i="12"/>
  <c r="D94" i="12"/>
  <c r="G34" i="12"/>
  <c r="H34" i="12"/>
  <c r="I34" i="12"/>
  <c r="E34" i="12"/>
  <c r="F34" i="12"/>
  <c r="D34" i="12"/>
  <c r="I28" i="12"/>
  <c r="H28" i="12"/>
  <c r="G28" i="12"/>
  <c r="F28" i="12"/>
  <c r="E28" i="12"/>
  <c r="D28" i="12"/>
  <c r="E10" i="12"/>
  <c r="F10" i="12"/>
  <c r="G10" i="12"/>
  <c r="H10" i="12"/>
  <c r="I10" i="12"/>
  <c r="G4" i="12"/>
  <c r="H4" i="12"/>
  <c r="I4" i="12"/>
  <c r="E4" i="12"/>
  <c r="F4" i="12"/>
  <c r="D10" i="12"/>
  <c r="D4" i="12"/>
  <c r="J70" i="12"/>
  <c r="S63" i="9"/>
  <c r="W58" i="9"/>
  <c r="W59" i="9" s="1"/>
  <c r="J88" i="12"/>
  <c r="J76" i="12"/>
  <c r="I88" i="12"/>
  <c r="I76" i="12"/>
  <c r="H88" i="12"/>
  <c r="H76" i="12"/>
  <c r="E82" i="12"/>
  <c r="E70" i="12"/>
  <c r="D82" i="12"/>
  <c r="D70" i="12"/>
  <c r="J82" i="12"/>
  <c r="H82" i="12"/>
  <c r="I82" i="12"/>
  <c r="I70" i="12"/>
  <c r="H70" i="12"/>
  <c r="E76" i="12"/>
  <c r="D76" i="12"/>
  <c r="H16" i="19"/>
  <c r="G16" i="19"/>
  <c r="M12" i="19"/>
  <c r="M11" i="19"/>
  <c r="M10" i="19"/>
  <c r="E16" i="19"/>
  <c r="T47" i="13"/>
  <c r="V122" i="8"/>
  <c r="V120" i="8"/>
  <c r="V121" i="8"/>
  <c r="V119" i="8"/>
  <c r="V36" i="8"/>
  <c r="V37" i="8"/>
  <c r="V38" i="8"/>
  <c r="V39" i="8"/>
  <c r="R88" i="13"/>
  <c r="R89" i="13"/>
  <c r="R87" i="13"/>
  <c r="R86" i="13"/>
  <c r="R88" i="3"/>
  <c r="R89" i="3"/>
  <c r="R87" i="3"/>
  <c r="R86" i="3"/>
  <c r="C31" i="6"/>
  <c r="D88" i="12"/>
  <c r="V35" i="8"/>
  <c r="J172" i="12"/>
  <c r="I172" i="12"/>
  <c r="H172" i="12"/>
  <c r="E172" i="12"/>
  <c r="D172" i="12"/>
  <c r="J166" i="12"/>
  <c r="I166" i="12"/>
  <c r="H166" i="12"/>
  <c r="E166" i="12"/>
  <c r="D166" i="12"/>
  <c r="J142" i="12"/>
  <c r="I142" i="12"/>
  <c r="H142" i="12"/>
  <c r="E142" i="12"/>
  <c r="D142" i="12"/>
  <c r="J118" i="12"/>
  <c r="I118" i="12"/>
  <c r="H118" i="12"/>
  <c r="E118" i="12"/>
  <c r="J46" i="12"/>
  <c r="I46" i="12"/>
  <c r="H46" i="12"/>
  <c r="F46" i="12"/>
  <c r="E46" i="12"/>
  <c r="D46" i="12"/>
  <c r="I40" i="12"/>
  <c r="H40" i="12"/>
  <c r="G40" i="12"/>
  <c r="F40" i="12"/>
  <c r="E40" i="12"/>
  <c r="D40" i="12"/>
  <c r="W56" i="9"/>
  <c r="W55" i="9"/>
  <c r="W54" i="9"/>
  <c r="W53" i="9"/>
  <c r="W52" i="9"/>
  <c r="W51" i="9"/>
  <c r="W50" i="9"/>
  <c r="W49" i="9"/>
  <c r="W48" i="9"/>
  <c r="W47" i="9"/>
  <c r="W46" i="9"/>
  <c r="W45" i="9"/>
  <c r="W44" i="9"/>
  <c r="W43" i="9"/>
  <c r="W42" i="9"/>
  <c r="W41" i="9"/>
  <c r="W40" i="9"/>
  <c r="W39" i="9"/>
  <c r="V63" i="9"/>
  <c r="U63" i="9"/>
  <c r="T63" i="9"/>
  <c r="R63" i="9"/>
  <c r="Q63" i="9"/>
  <c r="P63" i="9"/>
  <c r="O63" i="9"/>
  <c r="N63" i="9"/>
  <c r="M63" i="9"/>
  <c r="L63" i="9"/>
  <c r="K63" i="9"/>
  <c r="K64" i="9" s="1"/>
  <c r="J63" i="9"/>
  <c r="J64" i="9" s="1"/>
  <c r="I63" i="9"/>
  <c r="I64" i="9" s="1"/>
  <c r="H63" i="9"/>
  <c r="H64" i="9" s="1"/>
  <c r="G63" i="9"/>
  <c r="G64" i="9" s="1"/>
  <c r="F63" i="9"/>
  <c r="E63" i="9"/>
  <c r="W33" i="9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V118" i="8"/>
  <c r="V117" i="8"/>
  <c r="V116" i="8"/>
  <c r="V115" i="8"/>
  <c r="V34" i="8"/>
  <c r="V33" i="8"/>
  <c r="V32" i="8"/>
  <c r="G46" i="12" l="1"/>
  <c r="W63" i="9"/>
  <c r="R85" i="13"/>
  <c r="R84" i="13"/>
  <c r="R83" i="13"/>
  <c r="R82" i="13"/>
  <c r="J22" i="12"/>
  <c r="I22" i="12"/>
  <c r="H22" i="12"/>
  <c r="F22" i="12"/>
  <c r="E22" i="12"/>
  <c r="E24" i="12" s="1"/>
  <c r="D22" i="12"/>
  <c r="D24" i="12" s="1"/>
  <c r="I16" i="12"/>
  <c r="H16" i="12"/>
  <c r="G16" i="12"/>
  <c r="F16" i="12"/>
  <c r="E16" i="12"/>
  <c r="D16" i="12"/>
  <c r="R85" i="3"/>
  <c r="R84" i="3"/>
  <c r="R83" i="3"/>
  <c r="R82" i="3"/>
  <c r="W57" i="9"/>
  <c r="W60" i="9" s="1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L149" i="12"/>
  <c r="J17" i="12"/>
  <c r="J11" i="12"/>
  <c r="J5" i="12"/>
  <c r="J41" i="12"/>
  <c r="J35" i="12"/>
  <c r="J29" i="12"/>
  <c r="K23" i="12"/>
  <c r="L23" i="12" s="1"/>
  <c r="K47" i="12"/>
  <c r="L47" i="12" s="1"/>
  <c r="G59" i="12"/>
  <c r="H59" i="12"/>
  <c r="J59" i="12"/>
  <c r="J53" i="12"/>
  <c r="H53" i="12"/>
  <c r="J101" i="12"/>
  <c r="J107" i="12"/>
  <c r="H107" i="12"/>
  <c r="G107" i="12"/>
  <c r="K173" i="12"/>
  <c r="L173" i="12" s="1"/>
  <c r="K167" i="12"/>
  <c r="L167" i="12" s="1"/>
  <c r="K161" i="12"/>
  <c r="L161" i="12" s="1"/>
  <c r="K143" i="12"/>
  <c r="L143" i="12" s="1"/>
  <c r="K131" i="12"/>
  <c r="L131" i="12" s="1"/>
  <c r="K137" i="12"/>
  <c r="L137" i="12" s="1"/>
  <c r="D115" i="12"/>
  <c r="E115" i="12"/>
  <c r="D114" i="12"/>
  <c r="E114" i="12"/>
  <c r="O149" i="12"/>
  <c r="K119" i="12"/>
  <c r="L119" i="12" s="1"/>
  <c r="J95" i="12"/>
  <c r="K65" i="12"/>
  <c r="L65" i="12" s="1"/>
  <c r="K71" i="12"/>
  <c r="L71" i="12" s="1"/>
  <c r="K77" i="12"/>
  <c r="L77" i="12" s="1"/>
  <c r="K83" i="12"/>
  <c r="L83" i="12" s="1"/>
  <c r="K89" i="12"/>
  <c r="L89" i="12" s="1"/>
  <c r="K113" i="12"/>
  <c r="L113" i="12" s="1"/>
  <c r="H101" i="12"/>
  <c r="G101" i="12"/>
  <c r="E144" i="12"/>
  <c r="D144" i="12"/>
  <c r="D138" i="12"/>
  <c r="E138" i="12"/>
  <c r="E145" i="12"/>
  <c r="D145" i="12"/>
  <c r="D139" i="12"/>
  <c r="E139" i="12"/>
  <c r="D90" i="12"/>
  <c r="D25" i="12"/>
  <c r="E49" i="12"/>
  <c r="D49" i="12"/>
  <c r="D48" i="12"/>
  <c r="E48" i="12"/>
  <c r="E127" i="12"/>
  <c r="F70" i="12"/>
  <c r="G70" i="12" s="1"/>
  <c r="N70" i="12" s="1"/>
  <c r="J64" i="12"/>
  <c r="I64" i="12"/>
  <c r="H64" i="12"/>
  <c r="F64" i="12"/>
  <c r="E64" i="12"/>
  <c r="D64" i="12"/>
  <c r="D66" i="12" s="1"/>
  <c r="D52" i="12"/>
  <c r="D54" i="12" s="1"/>
  <c r="E52" i="12"/>
  <c r="E54" i="12" s="1"/>
  <c r="F52" i="12"/>
  <c r="G52" i="12"/>
  <c r="H52" i="12"/>
  <c r="H54" i="12" s="1"/>
  <c r="I52" i="12"/>
  <c r="F58" i="12"/>
  <c r="E58" i="12"/>
  <c r="E60" i="12" s="1"/>
  <c r="I58" i="12"/>
  <c r="G58" i="12"/>
  <c r="G60" i="12" s="1"/>
  <c r="D58" i="12"/>
  <c r="D60" i="12" s="1"/>
  <c r="H58" i="12"/>
  <c r="H60" i="12" s="1"/>
  <c r="F16" i="19"/>
  <c r="E73" i="12" l="1"/>
  <c r="E72" i="12"/>
  <c r="G73" i="12"/>
  <c r="G72" i="12"/>
  <c r="D73" i="12"/>
  <c r="D72" i="12"/>
  <c r="L70" i="12"/>
  <c r="W61" i="9"/>
  <c r="D67" i="12"/>
  <c r="G64" i="12"/>
  <c r="G67" i="12" s="1"/>
  <c r="L64" i="12"/>
  <c r="E66" i="12"/>
  <c r="J58" i="12"/>
  <c r="E67" i="12"/>
  <c r="E126" i="12"/>
  <c r="J94" i="12"/>
  <c r="J97" i="12" s="1"/>
  <c r="E25" i="12"/>
  <c r="R17" i="15"/>
  <c r="M17" i="15"/>
  <c r="G153" i="8"/>
  <c r="K158" i="8" s="1"/>
  <c r="V114" i="8"/>
  <c r="V113" i="8"/>
  <c r="V112" i="8"/>
  <c r="V111" i="8"/>
  <c r="E104" i="13"/>
  <c r="V31" i="8"/>
  <c r="V30" i="8"/>
  <c r="V29" i="8"/>
  <c r="V28" i="8"/>
  <c r="G66" i="12" l="1"/>
  <c r="J96" i="12"/>
  <c r="R74" i="13"/>
  <c r="W32" i="9"/>
  <c r="W31" i="9"/>
  <c r="W30" i="9"/>
  <c r="W29" i="9"/>
  <c r="R105" i="13"/>
  <c r="R106" i="13" s="1"/>
  <c r="R78" i="3" l="1"/>
  <c r="R79" i="3"/>
  <c r="R80" i="3"/>
  <c r="R81" i="3"/>
  <c r="E12" i="17"/>
  <c r="F12" i="17"/>
  <c r="G12" i="17"/>
  <c r="H12" i="17"/>
  <c r="I12" i="17"/>
  <c r="J12" i="17"/>
  <c r="K12" i="17"/>
  <c r="L12" i="17"/>
  <c r="V27" i="8"/>
  <c r="V26" i="8"/>
  <c r="V25" i="8"/>
  <c r="V24" i="8"/>
  <c r="W28" i="9"/>
  <c r="W27" i="9"/>
  <c r="W26" i="9"/>
  <c r="W25" i="9"/>
  <c r="W24" i="9"/>
  <c r="W23" i="9"/>
  <c r="W22" i="9"/>
  <c r="W21" i="9"/>
  <c r="M104" i="3" l="1"/>
  <c r="M108" i="3" l="1"/>
  <c r="M107" i="3"/>
  <c r="R69" i="3"/>
  <c r="R70" i="3"/>
  <c r="R71" i="3"/>
  <c r="R72" i="3"/>
  <c r="R73" i="3"/>
  <c r="R74" i="3"/>
  <c r="R75" i="3"/>
  <c r="R76" i="3"/>
  <c r="R77" i="3"/>
  <c r="V103" i="8" l="1"/>
  <c r="V104" i="8"/>
  <c r="V105" i="8"/>
  <c r="V106" i="8"/>
  <c r="V107" i="8"/>
  <c r="V108" i="8"/>
  <c r="V109" i="8"/>
  <c r="V110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153" i="8"/>
  <c r="D31" i="6"/>
  <c r="E31" i="6"/>
  <c r="F31" i="6"/>
  <c r="T8" i="15" l="1"/>
  <c r="T7" i="15"/>
  <c r="V21" i="8" l="1"/>
  <c r="V22" i="8"/>
  <c r="V23" i="8"/>
  <c r="V20" i="8"/>
  <c r="T48" i="13"/>
  <c r="R8" i="15"/>
  <c r="R9" i="15"/>
  <c r="R10" i="15"/>
  <c r="R11" i="15"/>
  <c r="R12" i="15"/>
  <c r="R13" i="15"/>
  <c r="R14" i="15"/>
  <c r="R7" i="15"/>
  <c r="M8" i="15"/>
  <c r="U8" i="15" s="1"/>
  <c r="M9" i="15"/>
  <c r="M10" i="15"/>
  <c r="M11" i="15"/>
  <c r="M12" i="15"/>
  <c r="M13" i="15"/>
  <c r="M14" i="15"/>
  <c r="M7" i="15"/>
  <c r="U7" i="15" s="1"/>
  <c r="M8" i="19"/>
  <c r="M9" i="19"/>
  <c r="M13" i="19"/>
  <c r="M14" i="19"/>
  <c r="M15" i="19"/>
  <c r="M7" i="19"/>
  <c r="M16" i="15" l="1"/>
  <c r="M16" i="19"/>
  <c r="H23" i="6"/>
  <c r="R65" i="3"/>
  <c r="R66" i="3"/>
  <c r="R67" i="3"/>
  <c r="R68" i="3"/>
  <c r="W36" i="9" l="1"/>
  <c r="W18" i="9"/>
  <c r="W19" i="9"/>
  <c r="W20" i="9"/>
  <c r="W17" i="9"/>
  <c r="V99" i="8"/>
  <c r="V100" i="8"/>
  <c r="V101" i="8"/>
  <c r="V102" i="8"/>
  <c r="V17" i="8"/>
  <c r="V18" i="8"/>
  <c r="V19" i="8"/>
  <c r="V16" i="8"/>
  <c r="E153" i="8"/>
  <c r="W34" i="9" l="1"/>
  <c r="R62" i="13" l="1"/>
  <c r="R63" i="13"/>
  <c r="R64" i="13"/>
  <c r="R65" i="13"/>
  <c r="R66" i="13"/>
  <c r="R67" i="13"/>
  <c r="R68" i="13"/>
  <c r="R69" i="13"/>
  <c r="R70" i="13"/>
  <c r="R71" i="13"/>
  <c r="R72" i="13"/>
  <c r="R73" i="13"/>
  <c r="R75" i="13"/>
  <c r="R76" i="13"/>
  <c r="R77" i="13"/>
  <c r="R78" i="13"/>
  <c r="R79" i="13"/>
  <c r="R80" i="13"/>
  <c r="R81" i="13"/>
  <c r="R61" i="13"/>
  <c r="V62" i="8" l="1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R61" i="3"/>
  <c r="R62" i="3"/>
  <c r="R63" i="3"/>
  <c r="R64" i="3"/>
  <c r="V95" i="8" l="1"/>
  <c r="V96" i="8"/>
  <c r="V97" i="8"/>
  <c r="V98" i="8"/>
  <c r="I153" i="8"/>
  <c r="V13" i="8" l="1"/>
  <c r="V14" i="8"/>
  <c r="V15" i="8"/>
  <c r="V12" i="8"/>
  <c r="W10" i="9"/>
  <c r="W11" i="9"/>
  <c r="S12" i="9"/>
  <c r="S62" i="9" s="1"/>
  <c r="T12" i="9"/>
  <c r="U12" i="9"/>
  <c r="V12" i="9"/>
  <c r="L12" i="9"/>
  <c r="M12" i="9"/>
  <c r="N12" i="9"/>
  <c r="O12" i="9"/>
  <c r="P12" i="9"/>
  <c r="Q12" i="9"/>
  <c r="R12" i="9"/>
  <c r="J12" i="9"/>
  <c r="F12" i="9"/>
  <c r="G12" i="9"/>
  <c r="H12" i="9"/>
  <c r="I12" i="9"/>
  <c r="K12" i="9"/>
  <c r="E12" i="9"/>
  <c r="H6" i="6" l="1"/>
  <c r="G104" i="13" l="1"/>
  <c r="K52" i="8"/>
  <c r="X6" i="6"/>
  <c r="Y6" i="6"/>
  <c r="Z6" i="6"/>
  <c r="W6" i="6"/>
  <c r="T50" i="13"/>
  <c r="T51" i="13"/>
  <c r="T52" i="13"/>
  <c r="T53" i="13"/>
  <c r="T54" i="13"/>
  <c r="T55" i="13"/>
  <c r="T56" i="13"/>
  <c r="T57" i="13"/>
  <c r="T58" i="13"/>
  <c r="T59" i="13"/>
  <c r="T60" i="13"/>
  <c r="R57" i="13"/>
  <c r="R58" i="13"/>
  <c r="R59" i="13"/>
  <c r="R60" i="13"/>
  <c r="V9" i="8"/>
  <c r="V10" i="8"/>
  <c r="V11" i="8"/>
  <c r="V8" i="8"/>
  <c r="K34" i="13"/>
  <c r="V91" i="8"/>
  <c r="V92" i="8"/>
  <c r="V93" i="8"/>
  <c r="V94" i="8"/>
  <c r="F153" i="8"/>
  <c r="H153" i="8"/>
  <c r="J153" i="8"/>
  <c r="T61" i="13" l="1"/>
  <c r="K22" i="7"/>
  <c r="R57" i="3"/>
  <c r="R58" i="3"/>
  <c r="R59" i="3"/>
  <c r="R60" i="3"/>
  <c r="W9" i="9"/>
  <c r="V53" i="8" l="1"/>
  <c r="V54" i="8" s="1"/>
  <c r="V6" i="8"/>
  <c r="V7" i="8"/>
  <c r="U54" i="8"/>
  <c r="T54" i="8"/>
  <c r="V81" i="8"/>
  <c r="V82" i="8"/>
  <c r="V83" i="8"/>
  <c r="V84" i="8"/>
  <c r="V85" i="8"/>
  <c r="V86" i="8"/>
  <c r="V87" i="8"/>
  <c r="V88" i="8"/>
  <c r="V89" i="8"/>
  <c r="V90" i="8"/>
  <c r="V154" i="8"/>
  <c r="V155" i="8" s="1"/>
  <c r="R47" i="13"/>
  <c r="R48" i="13"/>
  <c r="R49" i="13"/>
  <c r="R50" i="13"/>
  <c r="R51" i="13"/>
  <c r="R52" i="13"/>
  <c r="R53" i="13"/>
  <c r="R54" i="13"/>
  <c r="R55" i="13"/>
  <c r="R56" i="13"/>
  <c r="R105" i="3"/>
  <c r="R47" i="3"/>
  <c r="R48" i="3"/>
  <c r="R49" i="3"/>
  <c r="R50" i="3"/>
  <c r="R51" i="3"/>
  <c r="R52" i="3"/>
  <c r="R53" i="3"/>
  <c r="R54" i="3"/>
  <c r="R55" i="3"/>
  <c r="R56" i="3"/>
  <c r="W64" i="1"/>
  <c r="W19" i="1"/>
  <c r="W20" i="1"/>
  <c r="W21" i="1"/>
  <c r="W22" i="1"/>
  <c r="W23" i="1"/>
  <c r="W24" i="1"/>
  <c r="W25" i="1"/>
  <c r="W26" i="1"/>
  <c r="W6" i="9"/>
  <c r="W7" i="9"/>
  <c r="W8" i="9"/>
  <c r="W14" i="9"/>
  <c r="R104" i="3" l="1"/>
  <c r="V153" i="8"/>
  <c r="W12" i="9"/>
  <c r="W65" i="1"/>
  <c r="V65" i="1"/>
  <c r="U65" i="1"/>
  <c r="W16" i="1"/>
  <c r="V16" i="1"/>
  <c r="U16" i="1"/>
  <c r="T16" i="1"/>
  <c r="S16" i="1"/>
  <c r="R18" i="15"/>
  <c r="Q18" i="15"/>
  <c r="M18" i="15"/>
  <c r="R18" i="19"/>
  <c r="Q18" i="19"/>
  <c r="P18" i="19"/>
  <c r="M18" i="19"/>
  <c r="R106" i="3"/>
  <c r="W64" i="9"/>
  <c r="V64" i="9"/>
  <c r="U64" i="9"/>
  <c r="T64" i="9"/>
  <c r="S64" i="9"/>
  <c r="R64" i="9"/>
  <c r="Q64" i="9"/>
  <c r="P64" i="9"/>
  <c r="O64" i="9"/>
  <c r="N64" i="9"/>
  <c r="M64" i="9"/>
  <c r="L64" i="9"/>
  <c r="F64" i="9"/>
  <c r="E64" i="9"/>
  <c r="W69" i="1" l="1"/>
  <c r="W70" i="1" s="1"/>
  <c r="W63" i="1"/>
  <c r="V69" i="1"/>
  <c r="V70" i="1" s="1"/>
  <c r="U69" i="1"/>
  <c r="U70" i="1" s="1"/>
  <c r="V63" i="1"/>
  <c r="V67" i="1" s="1"/>
  <c r="U63" i="1"/>
  <c r="U66" i="1" s="1"/>
  <c r="T69" i="1"/>
  <c r="T70" i="1" s="1"/>
  <c r="S69" i="1"/>
  <c r="S70" i="1" s="1"/>
  <c r="T63" i="1"/>
  <c r="S63" i="1"/>
  <c r="W14" i="1"/>
  <c r="W18" i="1" s="1"/>
  <c r="V14" i="1"/>
  <c r="V18" i="1" s="1"/>
  <c r="U14" i="1"/>
  <c r="U18" i="1" s="1"/>
  <c r="T14" i="1"/>
  <c r="T18" i="1" s="1"/>
  <c r="S14" i="1"/>
  <c r="S18" i="1" s="1"/>
  <c r="V157" i="8"/>
  <c r="U153" i="8"/>
  <c r="T153" i="8"/>
  <c r="S153" i="8"/>
  <c r="R153" i="8"/>
  <c r="V52" i="8"/>
  <c r="U52" i="8"/>
  <c r="T52" i="8"/>
  <c r="S52" i="8"/>
  <c r="R52" i="8"/>
  <c r="R16" i="15"/>
  <c r="R20" i="15" s="1"/>
  <c r="Q16" i="15"/>
  <c r="Q20" i="15" s="1"/>
  <c r="P16" i="15"/>
  <c r="O16" i="15"/>
  <c r="N16" i="15"/>
  <c r="R16" i="19"/>
  <c r="Q16" i="19"/>
  <c r="P16" i="19"/>
  <c r="P20" i="19" s="1"/>
  <c r="O16" i="19"/>
  <c r="N16" i="19"/>
  <c r="R104" i="13"/>
  <c r="Q104" i="13"/>
  <c r="P104" i="13"/>
  <c r="N104" i="13"/>
  <c r="R108" i="3"/>
  <c r="Q104" i="3"/>
  <c r="P104" i="3"/>
  <c r="O104" i="3"/>
  <c r="N104" i="3"/>
  <c r="M33" i="7"/>
  <c r="N108" i="3" l="1"/>
  <c r="N107" i="3"/>
  <c r="O108" i="3"/>
  <c r="O107" i="3"/>
  <c r="P108" i="3"/>
  <c r="P107" i="3"/>
  <c r="Q107" i="3"/>
  <c r="Q108" i="3"/>
  <c r="R108" i="13"/>
  <c r="R107" i="13"/>
  <c r="R19" i="15"/>
  <c r="Q19" i="15"/>
  <c r="R20" i="19"/>
  <c r="R19" i="19"/>
  <c r="Q19" i="19"/>
  <c r="Q20" i="19"/>
  <c r="P19" i="19"/>
  <c r="V56" i="8"/>
  <c r="V55" i="8"/>
  <c r="T56" i="8"/>
  <c r="T55" i="8"/>
  <c r="U56" i="8"/>
  <c r="U55" i="8"/>
  <c r="V156" i="8"/>
  <c r="R107" i="3"/>
  <c r="V68" i="1"/>
  <c r="V71" i="1" s="1"/>
  <c r="W17" i="1"/>
  <c r="S68" i="1"/>
  <c r="S71" i="1" s="1"/>
  <c r="V17" i="1"/>
  <c r="T68" i="1"/>
  <c r="T72" i="1" s="1"/>
  <c r="U17" i="1"/>
  <c r="W68" i="1"/>
  <c r="W71" i="1" s="1"/>
  <c r="W67" i="1"/>
  <c r="W66" i="1"/>
  <c r="T17" i="1"/>
  <c r="S17" i="1"/>
  <c r="U68" i="1"/>
  <c r="U72" i="1" s="1"/>
  <c r="U67" i="1"/>
  <c r="V66" i="1"/>
  <c r="W16" i="9"/>
  <c r="W15" i="9"/>
  <c r="V72" i="1"/>
  <c r="E34" i="13"/>
  <c r="F34" i="13"/>
  <c r="G34" i="13"/>
  <c r="H34" i="13"/>
  <c r="I34" i="13"/>
  <c r="J34" i="13"/>
  <c r="K155" i="12"/>
  <c r="L155" i="12" s="1"/>
  <c r="K125" i="12"/>
  <c r="L125" i="12" s="1"/>
  <c r="G5" i="12"/>
  <c r="H5" i="12"/>
  <c r="R63" i="1"/>
  <c r="R7" i="14"/>
  <c r="Q7" i="14"/>
  <c r="S7" i="14" s="1"/>
  <c r="I33" i="7"/>
  <c r="H33" i="7"/>
  <c r="G33" i="7"/>
  <c r="I28" i="7"/>
  <c r="H28" i="7"/>
  <c r="G28" i="7"/>
  <c r="I23" i="7"/>
  <c r="H23" i="7"/>
  <c r="G23" i="7"/>
  <c r="I18" i="7"/>
  <c r="H18" i="7"/>
  <c r="G18" i="7"/>
  <c r="I13" i="7"/>
  <c r="H13" i="7"/>
  <c r="G13" i="7"/>
  <c r="I8" i="7"/>
  <c r="H8" i="7"/>
  <c r="G8" i="7"/>
  <c r="F88" i="12"/>
  <c r="F82" i="12"/>
  <c r="F76" i="12"/>
  <c r="J34" i="12"/>
  <c r="W72" i="1" l="1"/>
  <c r="S72" i="1"/>
  <c r="D163" i="12"/>
  <c r="D162" i="12"/>
  <c r="E163" i="12"/>
  <c r="E162" i="12"/>
  <c r="D175" i="12"/>
  <c r="D174" i="12"/>
  <c r="E174" i="12"/>
  <c r="E175" i="12"/>
  <c r="D169" i="12"/>
  <c r="D168" i="12"/>
  <c r="E169" i="12"/>
  <c r="E168" i="12"/>
  <c r="D121" i="12"/>
  <c r="D120" i="12"/>
  <c r="D126" i="12"/>
  <c r="L124" i="12"/>
  <c r="D127" i="12"/>
  <c r="E121" i="12"/>
  <c r="E120" i="12"/>
  <c r="E133" i="12"/>
  <c r="E132" i="12"/>
  <c r="D132" i="12"/>
  <c r="D133" i="12"/>
  <c r="U71" i="1"/>
  <c r="T71" i="1"/>
  <c r="M8" i="14"/>
  <c r="Q8" i="14"/>
  <c r="P8" i="14"/>
  <c r="F7" i="7" s="1"/>
  <c r="O8" i="14"/>
  <c r="E7" i="7" s="1"/>
  <c r="N8" i="14"/>
  <c r="D7" i="7" s="1"/>
  <c r="C7" i="7" l="1"/>
  <c r="H7" i="7" s="1"/>
  <c r="K7" i="7" s="1"/>
  <c r="K41" i="13"/>
  <c r="H95" i="12"/>
  <c r="G95" i="12"/>
  <c r="H41" i="12" l="1"/>
  <c r="H35" i="12"/>
  <c r="H29" i="12"/>
  <c r="G41" i="12"/>
  <c r="G35" i="12"/>
  <c r="G29" i="12"/>
  <c r="H17" i="12"/>
  <c r="G17" i="12"/>
  <c r="H11" i="12"/>
  <c r="G11" i="12"/>
  <c r="J154" i="12" l="1"/>
  <c r="I154" i="12"/>
  <c r="H154" i="12"/>
  <c r="E154" i="12"/>
  <c r="D154" i="12"/>
  <c r="L104" i="3"/>
  <c r="K104" i="3"/>
  <c r="J104" i="3"/>
  <c r="I104" i="3"/>
  <c r="H104" i="3"/>
  <c r="G104" i="3"/>
  <c r="F104" i="3"/>
  <c r="E104" i="3"/>
  <c r="K34" i="3"/>
  <c r="J34" i="3"/>
  <c r="I34" i="3"/>
  <c r="H34" i="3"/>
  <c r="G34" i="3"/>
  <c r="K41" i="3" s="1"/>
  <c r="F34" i="3"/>
  <c r="E34" i="3"/>
  <c r="G23" i="6"/>
  <c r="G6" i="6"/>
  <c r="I6" i="6" s="1"/>
  <c r="I108" i="3" l="1"/>
  <c r="I107" i="3"/>
  <c r="E78" i="12"/>
  <c r="E79" i="12"/>
  <c r="D78" i="12"/>
  <c r="D79" i="12"/>
  <c r="D156" i="12"/>
  <c r="D157" i="12"/>
  <c r="E156" i="12"/>
  <c r="E157" i="12"/>
  <c r="I23" i="6"/>
  <c r="F24" i="6"/>
  <c r="F22" i="7" s="1"/>
  <c r="D24" i="6"/>
  <c r="D22" i="7" s="1"/>
  <c r="C24" i="6"/>
  <c r="G112" i="12"/>
  <c r="G115" i="12" s="1"/>
  <c r="L112" i="12"/>
  <c r="L115" i="12" s="1"/>
  <c r="L46" i="12"/>
  <c r="G22" i="12"/>
  <c r="L22" i="12"/>
  <c r="E7" i="6"/>
  <c r="F7" i="6"/>
  <c r="E24" i="6"/>
  <c r="E22" i="7" s="1"/>
  <c r="M22" i="7" s="1"/>
  <c r="C7" i="6"/>
  <c r="D7" i="6"/>
  <c r="L48" i="12" l="1"/>
  <c r="L49" i="12"/>
  <c r="G48" i="12"/>
  <c r="G49" i="12"/>
  <c r="L24" i="12"/>
  <c r="L25" i="12"/>
  <c r="G24" i="12"/>
  <c r="G25" i="12"/>
  <c r="C22" i="7"/>
  <c r="G114" i="12"/>
  <c r="L114" i="12"/>
  <c r="L16" i="19"/>
  <c r="M20" i="15" l="1"/>
  <c r="M19" i="15" l="1"/>
  <c r="E84" i="12" l="1"/>
  <c r="D84" i="12"/>
  <c r="E88" i="12"/>
  <c r="E90" i="12" s="1"/>
  <c r="O63" i="1"/>
  <c r="E63" i="1"/>
  <c r="M69" i="1"/>
  <c r="M70" i="1" s="1"/>
  <c r="F52" i="8"/>
  <c r="E52" i="8"/>
  <c r="I16" i="19"/>
  <c r="J16" i="19"/>
  <c r="K16" i="19"/>
  <c r="G82" i="12" l="1"/>
  <c r="M20" i="19"/>
  <c r="M19" i="19"/>
  <c r="G88" i="12"/>
  <c r="L82" i="12"/>
  <c r="L88" i="12"/>
  <c r="L85" i="12" l="1"/>
  <c r="L84" i="12"/>
  <c r="G85" i="12"/>
  <c r="G84" i="12"/>
  <c r="G90" i="12"/>
  <c r="G91" i="12"/>
  <c r="F63" i="1"/>
  <c r="H63" i="1"/>
  <c r="I63" i="1"/>
  <c r="K32" i="7" l="1"/>
  <c r="R69" i="1"/>
  <c r="R70" i="1" s="1"/>
  <c r="Q69" i="1"/>
  <c r="Q70" i="1" s="1"/>
  <c r="P69" i="1"/>
  <c r="P70" i="1" s="1"/>
  <c r="O69" i="1"/>
  <c r="O70" i="1" s="1"/>
  <c r="N69" i="1"/>
  <c r="N70" i="1" s="1"/>
  <c r="L69" i="1"/>
  <c r="L70" i="1" s="1"/>
  <c r="K69" i="1"/>
  <c r="K70" i="1" s="1"/>
  <c r="J69" i="1"/>
  <c r="J70" i="1" s="1"/>
  <c r="I69" i="1"/>
  <c r="I70" i="1" s="1"/>
  <c r="H69" i="1"/>
  <c r="H70" i="1" s="1"/>
  <c r="F69" i="1"/>
  <c r="F70" i="1" s="1"/>
  <c r="E69" i="1"/>
  <c r="E70" i="1" s="1"/>
  <c r="Q63" i="1" l="1"/>
  <c r="P63" i="1"/>
  <c r="F104" i="13" l="1"/>
  <c r="H23" i="4" l="1"/>
  <c r="G23" i="4"/>
  <c r="H26" i="2"/>
  <c r="G26" i="2"/>
  <c r="I26" i="2" s="1"/>
  <c r="L14" i="1"/>
  <c r="C27" i="7" s="1"/>
  <c r="C27" i="2" l="1"/>
  <c r="I23" i="4"/>
  <c r="F24" i="4"/>
  <c r="F2" i="7" s="1"/>
  <c r="E24" i="4"/>
  <c r="E2" i="7" s="1"/>
  <c r="D24" i="4"/>
  <c r="D2" i="7" s="1"/>
  <c r="C24" i="4"/>
  <c r="E27" i="2"/>
  <c r="F27" i="2"/>
  <c r="G27" i="2"/>
  <c r="D27" i="2"/>
  <c r="P153" i="8"/>
  <c r="O153" i="8"/>
  <c r="N153" i="8"/>
  <c r="R14" i="1"/>
  <c r="Q14" i="1"/>
  <c r="P14" i="1"/>
  <c r="O14" i="1"/>
  <c r="N14" i="1"/>
  <c r="N68" i="1" s="1"/>
  <c r="M14" i="1"/>
  <c r="M68" i="1" s="1"/>
  <c r="K14" i="1"/>
  <c r="J14" i="1"/>
  <c r="I14" i="1"/>
  <c r="H14" i="1"/>
  <c r="K27" i="7" s="1"/>
  <c r="F14" i="1"/>
  <c r="E14" i="1"/>
  <c r="J148" i="12"/>
  <c r="I148" i="12"/>
  <c r="H148" i="12"/>
  <c r="E148" i="12"/>
  <c r="D148" i="12"/>
  <c r="E151" i="12" l="1"/>
  <c r="E150" i="12"/>
  <c r="D151" i="12"/>
  <c r="D150" i="12"/>
  <c r="L73" i="12"/>
  <c r="L72" i="12"/>
  <c r="C2" i="7"/>
  <c r="H2" i="7" s="1"/>
  <c r="K2" i="7" s="1"/>
  <c r="K42" i="3"/>
  <c r="L74" i="1"/>
  <c r="L63" i="1" s="1"/>
  <c r="L76" i="12"/>
  <c r="G76" i="12"/>
  <c r="N76" i="12" s="1"/>
  <c r="C28" i="2"/>
  <c r="G24" i="4"/>
  <c r="J28" i="12"/>
  <c r="J16" i="12"/>
  <c r="L172" i="12"/>
  <c r="L175" i="12" s="1"/>
  <c r="G172" i="12"/>
  <c r="G174" i="12" s="1"/>
  <c r="G142" i="12"/>
  <c r="G145" i="12" s="1"/>
  <c r="L142" i="12"/>
  <c r="L145" i="12" s="1"/>
  <c r="G79" i="12" l="1"/>
  <c r="G78" i="12"/>
  <c r="L79" i="12"/>
  <c r="L78" i="12"/>
  <c r="G175" i="12"/>
  <c r="L174" i="12"/>
  <c r="G144" i="12"/>
  <c r="L144" i="12"/>
  <c r="J63" i="1" l="1"/>
  <c r="K63" i="1"/>
  <c r="L68" i="1"/>
  <c r="E32" i="7"/>
  <c r="F32" i="7"/>
  <c r="C32" i="7"/>
  <c r="D32" i="7"/>
  <c r="L104" i="13"/>
  <c r="K104" i="13"/>
  <c r="J104" i="13"/>
  <c r="I104" i="13"/>
  <c r="H104" i="13"/>
  <c r="M32" i="7" l="1"/>
  <c r="M34" i="7" s="1"/>
  <c r="L71" i="1"/>
  <c r="L72" i="1"/>
  <c r="P52" i="8" l="1"/>
  <c r="O52" i="8"/>
  <c r="N52" i="8"/>
  <c r="M52" i="8"/>
  <c r="L52" i="8"/>
  <c r="Q52" i="8" l="1"/>
  <c r="H9" i="18"/>
  <c r="G9" i="18"/>
  <c r="G10" i="18" s="1"/>
  <c r="P8" i="18"/>
  <c r="O8" i="18"/>
  <c r="N8" i="18"/>
  <c r="M8" i="18"/>
  <c r="Q7" i="18"/>
  <c r="Q6" i="18"/>
  <c r="Q8" i="18" l="1"/>
  <c r="Q9" i="18" s="1"/>
  <c r="C10" i="18"/>
  <c r="D10" i="18"/>
  <c r="I9" i="18"/>
  <c r="E10" i="18"/>
  <c r="F10" i="18"/>
  <c r="M9" i="18" l="1"/>
  <c r="N9" i="18"/>
  <c r="P9" i="18"/>
  <c r="O9" i="18"/>
  <c r="D103" i="12" l="1"/>
  <c r="E103" i="12"/>
  <c r="E102" i="12" l="1"/>
  <c r="D102" i="12"/>
  <c r="C17" i="7" l="1"/>
  <c r="J52" i="8"/>
  <c r="I52" i="8"/>
  <c r="H52" i="8"/>
  <c r="G52" i="8"/>
  <c r="O24" i="6"/>
  <c r="P24" i="6"/>
  <c r="K17" i="7" l="1"/>
  <c r="E17" i="7"/>
  <c r="F17" i="7"/>
  <c r="R7" i="6"/>
  <c r="M8" i="6" l="1"/>
  <c r="N24" i="6"/>
  <c r="M24" i="6"/>
  <c r="R23" i="6"/>
  <c r="Q23" i="6"/>
  <c r="S23" i="6" s="1"/>
  <c r="R22" i="6"/>
  <c r="Q22" i="6"/>
  <c r="P8" i="6"/>
  <c r="O8" i="6"/>
  <c r="N8" i="6"/>
  <c r="Q7" i="6"/>
  <c r="S7" i="6" s="1"/>
  <c r="R6" i="6"/>
  <c r="Q6" i="6"/>
  <c r="Q24" i="6" l="1"/>
  <c r="O25" i="6" s="1"/>
  <c r="O26" i="6" s="1"/>
  <c r="R24" i="6"/>
  <c r="R8" i="6"/>
  <c r="Q8" i="6"/>
  <c r="S8" i="6" s="1"/>
  <c r="S22" i="6"/>
  <c r="S6" i="6"/>
  <c r="P25" i="6" l="1"/>
  <c r="S24" i="6"/>
  <c r="N9" i="6"/>
  <c r="N10" i="6" s="1"/>
  <c r="O9" i="6"/>
  <c r="O10" i="6" s="1"/>
  <c r="M9" i="6"/>
  <c r="M10" i="6" s="1"/>
  <c r="P9" i="6"/>
  <c r="M25" i="6"/>
  <c r="M26" i="6" s="1"/>
  <c r="N25" i="6"/>
  <c r="N26" i="6" s="1"/>
  <c r="P26" i="6" l="1"/>
  <c r="Q9" i="6"/>
  <c r="P10" i="6"/>
  <c r="Q25" i="6"/>
  <c r="Q26" i="6" l="1"/>
  <c r="Q10" i="6"/>
  <c r="F26" i="14" l="1"/>
  <c r="E26" i="14"/>
  <c r="D26" i="14"/>
  <c r="C26" i="14"/>
  <c r="H25" i="14"/>
  <c r="G25" i="14"/>
  <c r="I25" i="14" s="1"/>
  <c r="H24" i="14"/>
  <c r="G24" i="14"/>
  <c r="F35" i="4"/>
  <c r="E35" i="4"/>
  <c r="D35" i="4"/>
  <c r="C35" i="4"/>
  <c r="H34" i="4"/>
  <c r="G34" i="4"/>
  <c r="I34" i="4" s="1"/>
  <c r="H33" i="4"/>
  <c r="G33" i="4"/>
  <c r="G26" i="14" l="1"/>
  <c r="H26" i="14"/>
  <c r="I24" i="14"/>
  <c r="H35" i="4"/>
  <c r="G35" i="4"/>
  <c r="I35" i="4" s="1"/>
  <c r="I33" i="4"/>
  <c r="I26" i="14" l="1"/>
  <c r="C27" i="14"/>
  <c r="C28" i="14" s="1"/>
  <c r="D27" i="14"/>
  <c r="E27" i="14"/>
  <c r="F27" i="14"/>
  <c r="E36" i="4"/>
  <c r="E37" i="4" s="1"/>
  <c r="F36" i="4"/>
  <c r="C36" i="4"/>
  <c r="C37" i="4" s="1"/>
  <c r="D36" i="4"/>
  <c r="D37" i="4" s="1"/>
  <c r="F28" i="14" l="1"/>
  <c r="F37" i="4"/>
  <c r="D28" i="14"/>
  <c r="E28" i="14"/>
  <c r="G27" i="14"/>
  <c r="G36" i="4"/>
  <c r="G37" i="4" l="1"/>
  <c r="K9" i="7"/>
  <c r="G7" i="7"/>
  <c r="G28" i="14"/>
  <c r="K69" i="9" l="1"/>
  <c r="H18" i="10" l="1"/>
  <c r="H17" i="10"/>
  <c r="F19" i="10"/>
  <c r="E19" i="10"/>
  <c r="D19" i="10"/>
  <c r="C19" i="10"/>
  <c r="G18" i="10"/>
  <c r="I18" i="10" s="1"/>
  <c r="G17" i="10"/>
  <c r="H19" i="10" l="1"/>
  <c r="G19" i="10"/>
  <c r="I17" i="10"/>
  <c r="H103" i="12" l="1"/>
  <c r="H102" i="12"/>
  <c r="G102" i="12"/>
  <c r="G103" i="12"/>
  <c r="G154" i="12"/>
  <c r="E20" i="10"/>
  <c r="E21" i="10" s="1"/>
  <c r="D20" i="10"/>
  <c r="D21" i="10" s="1"/>
  <c r="I19" i="10"/>
  <c r="F20" i="10"/>
  <c r="C20" i="10"/>
  <c r="C21" i="10" s="1"/>
  <c r="K71" i="9"/>
  <c r="F21" i="10" l="1"/>
  <c r="G20" i="10"/>
  <c r="G21" i="10" l="1"/>
  <c r="G38" i="2" l="1"/>
  <c r="H38" i="2"/>
  <c r="I38" i="2" l="1"/>
  <c r="D39" i="2"/>
  <c r="E39" i="2"/>
  <c r="E40" i="2" s="1"/>
  <c r="F39" i="2"/>
  <c r="C39" i="2"/>
  <c r="H23" i="2"/>
  <c r="G23" i="2"/>
  <c r="F40" i="2" l="1"/>
  <c r="D24" i="2"/>
  <c r="D27" i="7" s="1"/>
  <c r="E24" i="2"/>
  <c r="E27" i="7" s="1"/>
  <c r="F24" i="2"/>
  <c r="F27" i="7" s="1"/>
  <c r="G24" i="2"/>
  <c r="C24" i="2"/>
  <c r="D40" i="2"/>
  <c r="I23" i="2"/>
  <c r="O27" i="7" l="1"/>
  <c r="M27" i="7"/>
  <c r="M29" i="7" s="1"/>
  <c r="L73" i="1"/>
  <c r="C25" i="2"/>
  <c r="C40" i="2"/>
  <c r="G39" i="2"/>
  <c r="G40" i="2" l="1"/>
  <c r="E91" i="12"/>
  <c r="L148" i="12"/>
  <c r="D91" i="12" l="1"/>
  <c r="G109" i="12"/>
  <c r="G108" i="12"/>
  <c r="H108" i="12"/>
  <c r="H109" i="12"/>
  <c r="D109" i="12"/>
  <c r="D108" i="12"/>
  <c r="E108" i="12"/>
  <c r="E109" i="12"/>
  <c r="E97" i="12"/>
  <c r="E96" i="12"/>
  <c r="G97" i="12"/>
  <c r="G96" i="12"/>
  <c r="H97" i="12"/>
  <c r="H96" i="12"/>
  <c r="D96" i="12"/>
  <c r="D97" i="12"/>
  <c r="L151" i="12"/>
  <c r="L150" i="12"/>
  <c r="L166" i="12"/>
  <c r="L136" i="12"/>
  <c r="J100" i="12"/>
  <c r="J103" i="12" s="1"/>
  <c r="L160" i="12"/>
  <c r="L118" i="12"/>
  <c r="J106" i="12"/>
  <c r="L130" i="12"/>
  <c r="L154" i="12"/>
  <c r="G118" i="12"/>
  <c r="G160" i="12"/>
  <c r="G166" i="12"/>
  <c r="G148" i="12"/>
  <c r="G136" i="12"/>
  <c r="G130" i="12"/>
  <c r="G124" i="12"/>
  <c r="G151" i="12" l="1"/>
  <c r="G150" i="12"/>
  <c r="G121" i="12"/>
  <c r="G120" i="12"/>
  <c r="G127" i="12"/>
  <c r="G126" i="12"/>
  <c r="G133" i="12"/>
  <c r="G132" i="12"/>
  <c r="G138" i="12"/>
  <c r="G139" i="12"/>
  <c r="G163" i="12"/>
  <c r="G162" i="12"/>
  <c r="G156" i="12"/>
  <c r="G157" i="12"/>
  <c r="G168" i="12"/>
  <c r="G169" i="12"/>
  <c r="L121" i="12" l="1"/>
  <c r="L120" i="12"/>
  <c r="L127" i="12"/>
  <c r="L126" i="12"/>
  <c r="L133" i="12"/>
  <c r="L132" i="12"/>
  <c r="L139" i="12"/>
  <c r="L138" i="12"/>
  <c r="L163" i="12"/>
  <c r="L162" i="12"/>
  <c r="L157" i="12"/>
  <c r="L156" i="12"/>
  <c r="L169" i="12"/>
  <c r="L168" i="12"/>
  <c r="E85" i="12" l="1"/>
  <c r="H55" i="12"/>
  <c r="E55" i="12"/>
  <c r="D55" i="12"/>
  <c r="E43" i="12"/>
  <c r="D42" i="12"/>
  <c r="E36" i="12"/>
  <c r="D37" i="12"/>
  <c r="E30" i="12"/>
  <c r="D30" i="12"/>
  <c r="H9" i="14"/>
  <c r="G9" i="14"/>
  <c r="G10" i="14" s="1"/>
  <c r="H6" i="12"/>
  <c r="G7" i="12"/>
  <c r="E19" i="12"/>
  <c r="D18" i="12"/>
  <c r="E12" i="12"/>
  <c r="D12" i="12"/>
  <c r="E7" i="12"/>
  <c r="D85" i="12" l="1"/>
  <c r="I9" i="14"/>
  <c r="C10" i="14"/>
  <c r="D10" i="14"/>
  <c r="F10" i="14"/>
  <c r="J52" i="12"/>
  <c r="E18" i="12"/>
  <c r="L91" i="12"/>
  <c r="J109" i="12"/>
  <c r="H31" i="12"/>
  <c r="G43" i="12"/>
  <c r="E13" i="12"/>
  <c r="G31" i="12"/>
  <c r="D19" i="12"/>
  <c r="H43" i="12"/>
  <c r="G37" i="12"/>
  <c r="H37" i="12"/>
  <c r="H36" i="12"/>
  <c r="E31" i="12"/>
  <c r="J108" i="12"/>
  <c r="E6" i="12"/>
  <c r="E10" i="14"/>
  <c r="G19" i="12"/>
  <c r="E37" i="12"/>
  <c r="J19" i="12"/>
  <c r="J10" i="12"/>
  <c r="J12" i="12" s="1"/>
  <c r="E42" i="12"/>
  <c r="G42" i="12"/>
  <c r="G30" i="12"/>
  <c r="G36" i="12"/>
  <c r="H30" i="12"/>
  <c r="H42" i="12"/>
  <c r="J31" i="12"/>
  <c r="D36" i="12"/>
  <c r="J40" i="12"/>
  <c r="J43" i="12" s="1"/>
  <c r="D31" i="12"/>
  <c r="D43" i="12"/>
  <c r="J37" i="12"/>
  <c r="H13" i="12"/>
  <c r="H18" i="12"/>
  <c r="G12" i="12"/>
  <c r="D13" i="12"/>
  <c r="J4" i="12"/>
  <c r="D6" i="12"/>
  <c r="D7" i="12"/>
  <c r="G6" i="12"/>
  <c r="G18" i="12"/>
  <c r="G13" i="12"/>
  <c r="J102" i="12"/>
  <c r="H12" i="12"/>
  <c r="H7" i="12"/>
  <c r="H19" i="12"/>
  <c r="J55" i="12" l="1"/>
  <c r="J54" i="12"/>
  <c r="L90" i="12"/>
  <c r="J18" i="12"/>
  <c r="J13" i="12"/>
  <c r="J42" i="12"/>
  <c r="J36" i="12"/>
  <c r="J30" i="12"/>
  <c r="J7" i="12"/>
  <c r="J6" i="12"/>
  <c r="G8" i="2" l="1"/>
  <c r="C9" i="2" s="1"/>
  <c r="C10" i="2" l="1"/>
  <c r="F10" i="7" l="1"/>
  <c r="F9" i="7"/>
  <c r="C10" i="7"/>
  <c r="C9" i="7"/>
  <c r="I7" i="7"/>
  <c r="D9" i="7"/>
  <c r="D10" i="7"/>
  <c r="E9" i="7"/>
  <c r="E10" i="7"/>
  <c r="G10" i="7" l="1"/>
  <c r="G9" i="7"/>
  <c r="I10" i="7"/>
  <c r="I9" i="7"/>
  <c r="H10" i="7"/>
  <c r="H9" i="7"/>
  <c r="K24" i="7"/>
  <c r="K19" i="7" l="1"/>
  <c r="K34" i="7" l="1"/>
  <c r="H8" i="10" l="1"/>
  <c r="G8" i="10"/>
  <c r="F9" i="10" l="1"/>
  <c r="F12" i="7" s="1"/>
  <c r="D9" i="10"/>
  <c r="D12" i="7" s="1"/>
  <c r="M12" i="7" s="1"/>
  <c r="E9" i="10"/>
  <c r="E12" i="7" s="1"/>
  <c r="O12" i="7" s="1"/>
  <c r="I8" i="10"/>
  <c r="C9" i="10"/>
  <c r="C12" i="7" s="1"/>
  <c r="M14" i="7" l="1"/>
  <c r="L69" i="9"/>
  <c r="L71" i="9"/>
  <c r="G9" i="10"/>
  <c r="G9" i="4" l="1"/>
  <c r="M24" i="7" l="1"/>
  <c r="D24" i="7"/>
  <c r="D25" i="7"/>
  <c r="I9" i="4"/>
  <c r="H9" i="4"/>
  <c r="G10" i="4"/>
  <c r="F10" i="4"/>
  <c r="G2" i="7" s="1"/>
  <c r="E10" i="4"/>
  <c r="D10" i="4"/>
  <c r="C10" i="4"/>
  <c r="K4" i="7" l="1"/>
  <c r="F24" i="7"/>
  <c r="F25" i="7"/>
  <c r="I22" i="7"/>
  <c r="I24" i="7" s="1"/>
  <c r="G22" i="7"/>
  <c r="G24" i="7" s="1"/>
  <c r="H22" i="7"/>
  <c r="H24" i="7" s="1"/>
  <c r="C24" i="7"/>
  <c r="C25" i="7"/>
  <c r="E24" i="7"/>
  <c r="E25" i="7"/>
  <c r="H8" i="2"/>
  <c r="I25" i="7" l="1"/>
  <c r="G25" i="7"/>
  <c r="H25" i="7"/>
  <c r="D9" i="2"/>
  <c r="E9" i="2"/>
  <c r="F9" i="2"/>
  <c r="G9" i="2"/>
  <c r="I8" i="2"/>
  <c r="F35" i="7" l="1"/>
  <c r="F5" i="7"/>
  <c r="F4" i="7"/>
  <c r="E4" i="7"/>
  <c r="E5" i="7"/>
  <c r="D4" i="7"/>
  <c r="I2" i="7"/>
  <c r="D5" i="7"/>
  <c r="C4" i="7"/>
  <c r="C5" i="7"/>
  <c r="F34" i="7" l="1"/>
  <c r="C35" i="7"/>
  <c r="D34" i="7"/>
  <c r="G5" i="7"/>
  <c r="G4" i="7"/>
  <c r="H4" i="7"/>
  <c r="H5" i="7"/>
  <c r="I4" i="7"/>
  <c r="I5" i="7"/>
  <c r="E34" i="7" l="1"/>
  <c r="E35" i="7"/>
  <c r="G32" i="7"/>
  <c r="G35" i="7" s="1"/>
  <c r="D35" i="7"/>
  <c r="I32" i="7"/>
  <c r="I35" i="7" s="1"/>
  <c r="H32" i="7"/>
  <c r="C34" i="7"/>
  <c r="G34" i="7" l="1"/>
  <c r="I34" i="7"/>
  <c r="H34" i="7"/>
  <c r="H35" i="7"/>
  <c r="E15" i="7" l="1"/>
  <c r="C14" i="7"/>
  <c r="C15" i="7"/>
  <c r="F15" i="7"/>
  <c r="I12" i="7" l="1"/>
  <c r="I15" i="7" s="1"/>
  <c r="F14" i="7"/>
  <c r="D15" i="7"/>
  <c r="G12" i="7"/>
  <c r="G15" i="7" s="1"/>
  <c r="D14" i="7"/>
  <c r="O14" i="7"/>
  <c r="H12" i="7"/>
  <c r="E14" i="7"/>
  <c r="I14" i="7" l="1"/>
  <c r="G14" i="7"/>
  <c r="H14" i="7"/>
  <c r="H15" i="7"/>
  <c r="E68" i="1" l="1"/>
  <c r="K29" i="7"/>
  <c r="K68" i="1"/>
  <c r="K72" i="1" s="1"/>
  <c r="P68" i="1"/>
  <c r="H68" i="1"/>
  <c r="Q68" i="1"/>
  <c r="J68" i="1"/>
  <c r="J71" i="1" s="1"/>
  <c r="F30" i="7"/>
  <c r="F68" i="1"/>
  <c r="O68" i="1"/>
  <c r="C29" i="7"/>
  <c r="R68" i="1"/>
  <c r="I68" i="1"/>
  <c r="N71" i="1" l="1"/>
  <c r="N72" i="1"/>
  <c r="M71" i="1"/>
  <c r="M72" i="1"/>
  <c r="O72" i="1"/>
  <c r="O71" i="1"/>
  <c r="Q72" i="1"/>
  <c r="Q71" i="1"/>
  <c r="R72" i="1"/>
  <c r="R71" i="1"/>
  <c r="P72" i="1"/>
  <c r="P71" i="1"/>
  <c r="I72" i="1"/>
  <c r="I71" i="1"/>
  <c r="F72" i="1"/>
  <c r="F71" i="1"/>
  <c r="E71" i="1"/>
  <c r="E72" i="1"/>
  <c r="J72" i="1"/>
  <c r="H72" i="1"/>
  <c r="H71" i="1"/>
  <c r="K71" i="1"/>
  <c r="O29" i="7"/>
  <c r="G27" i="7"/>
  <c r="D30" i="7"/>
  <c r="D29" i="7"/>
  <c r="F29" i="7"/>
  <c r="C30" i="7"/>
  <c r="E29" i="7"/>
  <c r="H27" i="7"/>
  <c r="E30" i="7"/>
  <c r="I27" i="7"/>
  <c r="H30" i="7" l="1"/>
  <c r="H29" i="7"/>
  <c r="I29" i="7"/>
  <c r="I30" i="7"/>
  <c r="G29" i="7"/>
  <c r="G30" i="7"/>
  <c r="G7" i="6"/>
  <c r="K57" i="8"/>
  <c r="F20" i="7" l="1"/>
  <c r="F19" i="7"/>
  <c r="C19" i="7"/>
  <c r="C20" i="7"/>
  <c r="D17" i="7"/>
  <c r="E20" i="7"/>
  <c r="D19" i="7" l="1"/>
  <c r="G17" i="7"/>
  <c r="I17" i="7"/>
  <c r="H17" i="7"/>
  <c r="E19" i="7"/>
  <c r="D20" i="7"/>
  <c r="G19" i="7" l="1"/>
  <c r="G20" i="7"/>
  <c r="H20" i="7"/>
  <c r="H19" i="7"/>
  <c r="I19" i="7"/>
  <c r="I20" i="7"/>
  <c r="G24" i="6"/>
  <c r="L62" i="9"/>
  <c r="L65" i="9" s="1"/>
  <c r="L66" i="9" l="1"/>
  <c r="D61" i="12"/>
  <c r="O62" i="9"/>
  <c r="O66" i="9" s="1"/>
  <c r="G61" i="12"/>
  <c r="O65" i="9" l="1"/>
  <c r="M62" i="9"/>
  <c r="M66" i="9" s="1"/>
  <c r="E61" i="12"/>
  <c r="M65" i="9" l="1"/>
  <c r="N62" i="9"/>
  <c r="N65" i="9" s="1"/>
  <c r="P62" i="9"/>
  <c r="P65" i="9" s="1"/>
  <c r="N66" i="9" l="1"/>
  <c r="P66" i="9"/>
  <c r="H61" i="12"/>
  <c r="Q62" i="9"/>
  <c r="Q66" i="9" s="1"/>
  <c r="J61" i="12" l="1"/>
  <c r="J60" i="12"/>
  <c r="Q65" i="9"/>
  <c r="L67" i="12"/>
  <c r="R62" i="9"/>
  <c r="R65" i="9" s="1"/>
  <c r="R66" i="9" l="1"/>
  <c r="L66" i="12"/>
  <c r="S66" i="9"/>
  <c r="S65" i="9" l="1"/>
  <c r="T62" i="9"/>
  <c r="T65" i="9" s="1"/>
  <c r="T66" i="9" l="1"/>
  <c r="U62" i="9"/>
  <c r="U65" i="9" s="1"/>
  <c r="U66" i="9" l="1"/>
  <c r="V62" i="9"/>
  <c r="V65" i="9" s="1"/>
  <c r="W38" i="9"/>
  <c r="W37" i="9"/>
  <c r="W62" i="9"/>
  <c r="W65" i="9" s="1"/>
  <c r="F62" i="9"/>
  <c r="F66" i="9" s="1"/>
  <c r="W66" i="9" l="1"/>
  <c r="V66" i="9"/>
  <c r="F65" i="9"/>
  <c r="E62" i="9"/>
  <c r="E66" i="9" s="1"/>
  <c r="E65" i="9" l="1"/>
  <c r="G62" i="9"/>
  <c r="K62" i="9"/>
  <c r="K70" i="9"/>
  <c r="I62" i="9"/>
  <c r="L70" i="9"/>
  <c r="H62" i="9"/>
  <c r="J62" i="9"/>
  <c r="K66" i="9" l="1"/>
  <c r="K65" i="9"/>
  <c r="J66" i="9"/>
  <c r="J65" i="9"/>
  <c r="K12" i="7"/>
  <c r="K14" i="7" s="1"/>
  <c r="H66" i="9"/>
  <c r="H65" i="9"/>
  <c r="G66" i="9"/>
  <c r="G65" i="9"/>
  <c r="I66" i="9"/>
  <c r="I6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tc={08E3B4CC-D1B4-4F6C-AE1E-77A744E1FBC8}</author>
  </authors>
  <commentList>
    <comment ref="J1" authorId="0" shapeId="0" xr:uid="{08E3B4CC-D1B4-4F6C-AE1E-77A744E1FBC8}">
      <text>
        <t>[Threaded comment]
Your version of Excel allows you to read this threaded comment; however, any edits to it will get removed if the file is opened in a newer version of Excel. Learn more: https://go.microsoft.com/fwlink/?linkid=870924
Comment:
    Will change encounter method from TF/VTR to dockside... Valid variables (TF, VTR/STR, DS)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Marlene Bellman</author>
    <author>Kloempken, Karen A (DFW)</author>
  </authors>
  <commentList>
    <comment ref="D5" authorId="0" shapeId="0" xr:uid="{4A6B3C5C-4ED6-4D38-A23B-CFEBE8B32965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July, Total row for "Markd Catch"</t>
        </r>
      </text>
    </comment>
    <comment ref="E5" authorId="0" shapeId="0" xr:uid="{E186B5DD-0D3B-43C2-BA23-682946CE266E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July, Total row for "UnMrk Catch"</t>
        </r>
      </text>
    </comment>
    <comment ref="G5" authorId="0" shapeId="0" xr:uid="{EF2B7D5F-D14F-4DAF-A012-6DBA5579E04F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July, =(Total row for "Markd NonRet"/Release mort rate 0.07)
 </t>
        </r>
      </text>
    </comment>
    <comment ref="H5" authorId="0" shapeId="0" xr:uid="{163655DB-5FFE-4430-A293-EECDEECF3E2E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July, =(Total row for "UnMrk NonRet"/Release mort rate 0.07)</t>
        </r>
      </text>
    </comment>
    <comment ref="J5" authorId="0" shapeId="0" xr:uid="{FF83341E-7032-4A61-A801-5CE8E7C415F8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July, Total row for "UnMrk Handled"+"Markd Handled".  Note: this is NOT a sum of the previous values.</t>
        </r>
      </text>
    </comment>
    <comment ref="D11" authorId="0" shapeId="0" xr:uid="{9F4E64B9-A6B1-4556-A315-5AF3623F1C4B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August, Total row for "Markd Catch"</t>
        </r>
      </text>
    </comment>
    <comment ref="E11" authorId="0" shapeId="0" xr:uid="{E4AD3015-235A-4C0F-AB10-67032C0B9787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August, Total row for "UnMrk Catch"</t>
        </r>
      </text>
    </comment>
    <comment ref="G11" authorId="0" shapeId="0" xr:uid="{271C481A-227E-4108-9087-4155068498B1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August, =(Total row for "Markd NonRet"/Release mort rate 0.07)</t>
        </r>
      </text>
    </comment>
    <comment ref="H11" authorId="0" shapeId="0" xr:uid="{D7C6D5F9-0803-4E12-9F87-5825B194D9F9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August, =(Total row for "UnMrk NonRet"/Release mort rate 0.07)</t>
        </r>
      </text>
    </comment>
    <comment ref="J11" authorId="0" shapeId="0" xr:uid="{47A7CE4F-4BE5-4480-93AF-15D9CCEDB773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August, Total row for "UnMrk Handled"+"Markd Handled".  Note: this is NOT a sum of the previous values.</t>
        </r>
      </text>
    </comment>
    <comment ref="C16" authorId="0" shapeId="0" xr:uid="{39B16176-10AE-48A7-9A5A-D86F02691B31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Excludes Stat week 35 since majority of days in August.  Not aligned with Sept section in sheet "EstArea 5 2019".</t>
        </r>
      </text>
    </comment>
    <comment ref="D17" authorId="0" shapeId="0" xr:uid="{4C13AE7C-EF85-4EC2-A247-B4241E6ACDC5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Sept, Total row for "Markd Catch"</t>
        </r>
      </text>
    </comment>
    <comment ref="E17" authorId="0" shapeId="0" xr:uid="{A8493979-CCEB-490B-B0C6-B7BC7B799D32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Sept, Total row for "UnMrk Catch"</t>
        </r>
      </text>
    </comment>
    <comment ref="G17" authorId="0" shapeId="0" xr:uid="{080344E4-47BD-4A16-A12C-54DA193D69E2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Sept, =(Total row for "Markd NonRet"/Release mort rate 0.07)</t>
        </r>
      </text>
    </comment>
    <comment ref="H17" authorId="0" shapeId="0" xr:uid="{8C819691-5BB4-488C-8706-13361E746EAE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Sept, =(Total row for "UnMrk NonRet"/Release mort rate 0.07)</t>
        </r>
      </text>
    </comment>
    <comment ref="J17" authorId="0" shapeId="0" xr:uid="{FC8DA9FE-E053-40F6-9BEE-DD8F18C36E92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Sept, Total row for "UnMrk Handled"+"Markd Handled".  Note: this is NOT a sum of the previous values.</t>
        </r>
      </text>
    </comment>
    <comment ref="G23" authorId="1" shapeId="0" xr:uid="{14E61459-04A4-4424-BB03-0C2A3484FE16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5 Spt in Oct-Dec</t>
        </r>
      </text>
    </comment>
    <comment ref="K23" authorId="1" shapeId="0" xr:uid="{350F6499-F8E3-479C-90A4-969877BEBAEF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5 Spt in Oct-Dec and divide by DropOff mortality rate 0.05.
There was 0 NonRetention modeled.</t>
        </r>
      </text>
    </comment>
    <comment ref="D29" authorId="0" shapeId="0" xr:uid="{ABF4EF85-9996-4E88-AE96-0D5CABD791D1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July, Total row for "Markd Catch"</t>
        </r>
      </text>
    </comment>
    <comment ref="E29" authorId="0" shapeId="0" xr:uid="{A3380642-4332-4757-BDC5-61BB2B0FFCF4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July, Total row for "UnMrk Catch"</t>
        </r>
      </text>
    </comment>
    <comment ref="G29" authorId="0" shapeId="0" xr:uid="{F430C40C-F0C1-439D-9A38-F1B616B7C04A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July, =(Total row for "Markd NonRet"/Release mort rate 0.07
 </t>
        </r>
      </text>
    </comment>
    <comment ref="H29" authorId="0" shapeId="0" xr:uid="{1397FCF9-9529-4A00-A7CF-164F9E9819FB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July, =(Total row for "UnMrk NonRet"/Release mort rate 0.07)</t>
        </r>
      </text>
    </comment>
    <comment ref="J29" authorId="0" shapeId="0" xr:uid="{8A04E7F5-AB1B-48EC-B753-AE8CC517CBFC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July, Total row for "UnMrk Handled"+"Markd Handled".  Note: this is NOT a sum of the previous values.</t>
        </r>
      </text>
    </comment>
    <comment ref="D35" authorId="0" shapeId="0" xr:uid="{AC89330A-D2B6-4877-A122-F0FF1B078CDF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Aug, Total row for "Markd Catch"</t>
        </r>
      </text>
    </comment>
    <comment ref="E35" authorId="0" shapeId="0" xr:uid="{74158372-1262-416D-9328-470FAE8D0060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Aug, Total row for "UnMrk Catch"</t>
        </r>
      </text>
    </comment>
    <comment ref="G35" authorId="0" shapeId="0" xr:uid="{6644CD75-B2D3-4B68-B946-7AC71CA182DB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Aug, =(Total row for "Markd NonRet"/Release mort rate 0.07)</t>
        </r>
      </text>
    </comment>
    <comment ref="H35" authorId="0" shapeId="0" xr:uid="{28EB1D68-53BE-460F-B1BE-6388686DEF87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Aug, =(Total row for "UnMrk NonRet"/Release mort rate 0.07)</t>
        </r>
      </text>
    </comment>
    <comment ref="J35" authorId="0" shapeId="0" xr:uid="{7C5CBAEE-F33C-4751-B412-4B0D569BA97D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Aug, Total row for "UnMrk Handled"+"Markd Handled".  Note: this is NOT a sum of the previous values.</t>
        </r>
      </text>
    </comment>
    <comment ref="D41" authorId="0" shapeId="0" xr:uid="{ECA3137B-9A8C-4125-AB08-0C3BCD4E94E8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Sept, Total row for "Markd Catch"</t>
        </r>
      </text>
    </comment>
    <comment ref="E41" authorId="0" shapeId="0" xr:uid="{49B51357-20AE-4EE4-8B08-440F93EC8B0D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Sept, Total row for "UnMrk Catch"</t>
        </r>
      </text>
    </comment>
    <comment ref="G41" authorId="0" shapeId="0" xr:uid="{009CE0B3-1C65-457F-B956-33AFF054C444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Sept, =(Total row for "Markd NonRet"/Release mort rate 0.07)</t>
        </r>
      </text>
    </comment>
    <comment ref="H41" authorId="0" shapeId="0" xr:uid="{5458FD53-F4B1-4585-91AD-1F596E855AC1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Sept, =(Total row for "UnMrk NonRet"/Release mort rate 0.07)</t>
        </r>
      </text>
    </comment>
    <comment ref="J41" authorId="0" shapeId="0" xr:uid="{D09B3F22-6CC9-4742-8971-1975A9664112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Sept, Total row for "UnMrk Handled"+"Markd Handled".  Note: this is NOT a sum of the previous values.</t>
        </r>
      </text>
    </comment>
    <comment ref="G47" authorId="1" shapeId="0" xr:uid="{AE6AB04A-E787-42C4-8631-9CA010E140F9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6 Spt in Oct-Dec</t>
        </r>
      </text>
    </comment>
    <comment ref="K47" authorId="1" shapeId="0" xr:uid="{8D413697-487C-4542-A1E6-69AAB53FDF24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6 Spt in Oct-Dec and divide by DropOff mortality rate 0.05.
There was 0 NonRetention modeled.</t>
        </r>
      </text>
    </comment>
    <comment ref="D53" authorId="1" shapeId="0" xr:uid="{C63C9837-0EF8-498C-81CE-47BE587EB750}">
      <text>
        <r>
          <rPr>
            <b/>
            <sz val="10"/>
            <color indexed="81"/>
            <rFont val="Tahoma"/>
            <family val="2"/>
          </rPr>
          <t>Marlene Bellman:</t>
        </r>
        <r>
          <rPr>
            <sz val="10"/>
            <color indexed="81"/>
            <rFont val="Tahoma"/>
            <family val="2"/>
          </rPr>
          <t xml:space="preserve">
From FRAM Screen Reports - MSF report - Select Area 7 Spt - July, Total row for "Markd Catch"</t>
        </r>
      </text>
    </comment>
    <comment ref="E53" authorId="1" shapeId="0" xr:uid="{4D8C4B37-34F3-4556-9153-A0EDA6C6E373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7 Spt - July, Total row for "UnMrk Catch"</t>
        </r>
      </text>
    </comment>
    <comment ref="G53" authorId="1" shapeId="0" xr:uid="{A68AF615-999F-49C5-98E9-A2B36A2795CF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7 Spt - July, =(Total row for "Markd NonRet"/Release mort rate 0.07)</t>
        </r>
      </text>
    </comment>
    <comment ref="H53" authorId="1" shapeId="0" xr:uid="{8718FC8B-6BD7-401D-BDC9-4A6268E42FAD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7 Spt - July, =(Total row for "UnMrk NonRet"/Release mort rate 0.07)</t>
        </r>
      </text>
    </comment>
    <comment ref="J53" authorId="1" shapeId="0" xr:uid="{1C0D50EE-E582-4D0E-B1CC-EB0A36879F1E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7 Spt - July, Total row for "UnMrk Handled"+"Markd Handled".  Note: this is NOT a sum of the previous values.</t>
        </r>
      </text>
    </comment>
    <comment ref="D59" authorId="1" shapeId="0" xr:uid="{BCA7F16F-2FC4-4A0A-8FCF-8B213EAFFE73}">
      <text>
        <r>
          <rPr>
            <b/>
            <sz val="10"/>
            <color indexed="81"/>
            <rFont val="Tahoma"/>
            <family val="2"/>
          </rPr>
          <t>Marlene Bellman:</t>
        </r>
        <r>
          <rPr>
            <sz val="10"/>
            <color indexed="81"/>
            <rFont val="Tahoma"/>
            <family val="2"/>
          </rPr>
          <t xml:space="preserve">
From FRAM Screen Reports - MSF report - Select Area 7 Spt - Aug, Total row for "Markd Catch"</t>
        </r>
      </text>
    </comment>
    <comment ref="E59" authorId="1" shapeId="0" xr:uid="{8C394958-7C4A-49EE-9C22-669959CB1E34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7 Spt - Aug, Total row for "UnMrk Catch"</t>
        </r>
      </text>
    </comment>
    <comment ref="G59" authorId="1" shapeId="0" xr:uid="{2BBE2D25-C31F-4E96-B7D9-A217AD70C30A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7 Spt - Aug, =(Total row for "Markd NonRet"/Release mort rate 0.07</t>
        </r>
      </text>
    </comment>
    <comment ref="H59" authorId="1" shapeId="0" xr:uid="{407B303B-C33F-4C9D-8154-0F8583AF60BB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7 Spt - Aug, =(Total row for "UnMrk NonRet"/Release mort rate 0.07)</t>
        </r>
      </text>
    </comment>
    <comment ref="J59" authorId="1" shapeId="0" xr:uid="{4B401FEC-C535-4F54-B17B-A6C350759F42}">
      <text>
        <r>
          <rPr>
            <b/>
            <sz val="11"/>
            <color indexed="81"/>
            <rFont val="Tahoma"/>
            <family val="2"/>
          </rPr>
          <t>Kloempken, Karen A (DFW):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G65" authorId="0" shapeId="0" xr:uid="{167A93C5-987A-4C20-B9C9-7B0CBC887F86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7 Spt in Sept.</t>
        </r>
      </text>
    </comment>
    <comment ref="K65" authorId="1" shapeId="0" xr:uid="{90713783-9093-4046-9079-FDA943593551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7 Spt in Sept, and divide by DropOff mortality rate 0.05.
There was 0 NonRetention modeled.</t>
        </r>
      </text>
    </comment>
    <comment ref="G71" authorId="1" shapeId="0" xr:uid="{116194F5-4E55-4965-8C7B-E55374AD4F94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81 Spt in Aug.</t>
        </r>
      </text>
    </comment>
    <comment ref="K71" authorId="1" shapeId="0" xr:uid="{AAC71282-F1E7-4F27-9A88-784152C07979}">
      <text>
        <r>
          <rPr>
            <sz val="9"/>
            <color indexed="81"/>
            <rFont val="Tahoma"/>
            <family val="2"/>
          </rPr>
          <t>Marlene Bellman:
From FRAM Screen Reports - Fishery Mortality Report, Select "DropOff" for Area 81 Spt in August and divide by DropOff mortality rate 0.05.
There was 0 NonRetention modeled.</t>
        </r>
      </text>
    </comment>
    <comment ref="G77" authorId="1" shapeId="0" xr:uid="{E31E79E1-445C-4A70-A547-6BDB3044F821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81 Spt in Sept.</t>
        </r>
      </text>
    </comment>
    <comment ref="K77" authorId="1" shapeId="0" xr:uid="{F01E4A55-E9C9-42C8-B808-692D2DFCC2CF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81 Spt in September and divide by DropOff mortality rate 0.05.
There was 0 NonRetention modeled.</t>
        </r>
      </text>
    </comment>
    <comment ref="G83" authorId="1" shapeId="0" xr:uid="{2CB856D8-3DE0-45B6-92BD-F599121B5ACA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82 Spt in Aug.</t>
        </r>
      </text>
    </comment>
    <comment ref="K83" authorId="1" shapeId="0" xr:uid="{BABE2CDF-83D7-4FE6-8DC9-8D633F780A12}">
      <text>
        <r>
          <rPr>
            <sz val="9"/>
            <color indexed="81"/>
            <rFont val="Tahoma"/>
            <family val="2"/>
          </rPr>
          <t>Marlene Bellman:
From FRAM Screen Reports - Fishery Mortality Report, Select "DropOff" for Area 82 Spt in August and divide by DropOff mortality rate 0.05.
There was 0 NonRetention modeled.</t>
        </r>
      </text>
    </comment>
    <comment ref="G89" authorId="1" shapeId="0" xr:uid="{9E6640F6-6532-49FB-A333-41A0E387DEF4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82 Spt in Sept.</t>
        </r>
      </text>
    </comment>
    <comment ref="K89" authorId="1" shapeId="0" xr:uid="{6F722FB0-FC40-4931-9C47-150A75273EED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82 Spt in Sept and divide by DropOff mortality rate 0.05.
There was 0 NonRetention modeled.</t>
        </r>
      </text>
    </comment>
    <comment ref="D95" authorId="0" shapeId="0" xr:uid="{5C4E0CCB-4B6E-49A2-8EDF-98DFE6A3F1E8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9 Spt - July, Total row for "Markd Catch"</t>
        </r>
      </text>
    </comment>
    <comment ref="E95" authorId="0" shapeId="0" xr:uid="{2F197630-1A58-4220-8E66-E10F0D6DEC94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9 Spt - July, Total row for "UnMrk Catch"</t>
        </r>
      </text>
    </comment>
    <comment ref="G95" authorId="0" shapeId="0" xr:uid="{99CC92E1-4116-4BC0-8B5E-904E6A9BF20D}">
      <text>
        <r>
          <rPr>
            <sz val="10"/>
            <rFont val="Times New Roman"/>
            <family val="1"/>
          </rPr>
          <t>Marlene Bellman:
From FRAM Screen Reports - MSF report - Select Area 9 Spt - July, Total row for "Markd NonRet"/Release mort rate 0.07</t>
        </r>
      </text>
    </comment>
    <comment ref="H95" authorId="0" shapeId="0" xr:uid="{3E784ECC-05EF-4FCD-9FB0-2AC3897B4CBC}">
      <text>
        <r>
          <rPr>
            <sz val="10"/>
            <rFont val="Times New Roman"/>
            <family val="1"/>
          </rPr>
          <t>Marlene Bellman:
From FRAM Screen Reports - MSF report - Select Area 9 Spt - July, Total row for "UnMrk NonRet"/Release mort rate 0.07</t>
        </r>
      </text>
    </comment>
    <comment ref="J95" authorId="0" shapeId="0" xr:uid="{BC9C1C13-72B3-4C8F-8F20-F3B701B0660E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9 Spt - July, Total row for "UnMrk Handled"+"Markd Handled". Note: this is NOT a sum of the previous values.</t>
        </r>
      </text>
    </comment>
    <comment ref="D101" authorId="0" shapeId="0" xr:uid="{6A7CD44D-D60E-4F81-A918-A0AD6F7CB297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9 Spt - Aug, Total row for "Markd Catch"</t>
        </r>
      </text>
    </comment>
    <comment ref="E101" authorId="0" shapeId="0" xr:uid="{B47711B2-9BD0-490A-BA38-08FE33554B71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9 Spt - Aug, Total row for "UnMrk Catch"</t>
        </r>
      </text>
    </comment>
    <comment ref="G101" authorId="0" shapeId="0" xr:uid="{DC910089-6AA1-48FD-BDF6-B36FB1CEDA9B}">
      <text>
        <r>
          <rPr>
            <sz val="10"/>
            <rFont val="Times New Roman"/>
            <family val="1"/>
          </rPr>
          <t>Marlene Bellman:
From FRAM Screen Reports - MSF report - Select Area 9 Spt - Aug, Total row for "Markd NonRet"/Release mort rate 0.07</t>
        </r>
      </text>
    </comment>
    <comment ref="H101" authorId="0" shapeId="0" xr:uid="{6AA5F405-9CBA-4087-B00D-1AFDC453E5C8}">
      <text>
        <r>
          <rPr>
            <sz val="10"/>
            <rFont val="Times New Roman"/>
            <family val="1"/>
          </rPr>
          <t>Marlene Bellman:
From FRAM Screen Reports - MSF report - Select Area 9 Spt - Aug, Total row for "UnMrk NonRet"/Release mort rate 0.07</t>
        </r>
      </text>
    </comment>
    <comment ref="J101" authorId="0" shapeId="0" xr:uid="{AA262044-DBEF-4A2F-B1AC-CA4C622BAEC0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9 Spt - Aug, Total row for "UnMrk Handled"+"Markd Handled". Note: this is NOT a sum of the previous values.</t>
        </r>
      </text>
    </comment>
    <comment ref="D107" authorId="0" shapeId="0" xr:uid="{CAA8E383-5C38-437E-A757-EC00F55CBDFA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9 Spt - Aug, Total row for "Markd Catch"</t>
        </r>
      </text>
    </comment>
    <comment ref="E107" authorId="0" shapeId="0" xr:uid="{85FCD0D5-4515-4BFA-AA85-BCEB04990916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9 Spt - Aug, Total row for "UnMrk Catch"</t>
        </r>
      </text>
    </comment>
    <comment ref="G107" authorId="0" shapeId="0" xr:uid="{1F5FA966-55AB-47C2-AA23-2CB3A74E24EB}">
      <text>
        <r>
          <rPr>
            <sz val="10"/>
            <rFont val="Times New Roman"/>
            <family val="1"/>
          </rPr>
          <t>Marlene Bellman:
From FRAM Screen Reports - MSF report - Select Area 9 Spt - Aug, Total row for "Markd NonRet"/Release mort rate 0.07</t>
        </r>
      </text>
    </comment>
    <comment ref="H107" authorId="0" shapeId="0" xr:uid="{2A0C0C03-9E21-4BB7-8A77-11B4E4F36FE8}">
      <text>
        <r>
          <rPr>
            <sz val="10"/>
            <rFont val="Times New Roman"/>
            <family val="1"/>
          </rPr>
          <t>Marlene Bellman:
From FRAM Screen Reports - MSF report - Select Area 9 Spt - Aug, Total row for "UnMrk NonRet"/Release mort rate 0.07</t>
        </r>
      </text>
    </comment>
    <comment ref="J107" authorId="0" shapeId="0" xr:uid="{A55A0003-9105-4D3F-9B42-CF7CECBEDEC8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9 Spt - Aug, Total row for "UnMrk Handled"+"Markd Handled". Note: this is NOT a sum of the previous values.</t>
        </r>
      </text>
    </comment>
    <comment ref="G113" authorId="0" shapeId="0" xr:uid="{2F1149DE-8D47-4E5C-9C2E-4F92D4B84682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9 Spt in Sept. 18-30.</t>
        </r>
      </text>
    </comment>
    <comment ref="K113" authorId="0" shapeId="0" xr:uid="{3AE52819-44E8-44D7-9971-5B1D75F8573A}">
      <text>
        <r>
          <rPr>
            <b/>
            <sz val="9"/>
            <color indexed="81"/>
            <rFont val="Tahoma"/>
            <family val="2"/>
          </rPr>
          <t xml:space="preserve">Marlene Bellman:
</t>
        </r>
        <r>
          <rPr>
            <sz val="9"/>
            <color indexed="81"/>
            <rFont val="Tahoma"/>
            <family val="2"/>
          </rPr>
          <t>From FRAM Screen Reports - Fishery Mortality Report, Select "DropOff" for Area 9 Spt in Sept 18-30 and divide by DropOff mortality rate 0.05.
There was 0 NonRetention modeled.</t>
        </r>
      </text>
    </comment>
    <comment ref="G119" authorId="0" shapeId="0" xr:uid="{55624B17-D2BA-434B-9E32-CDDB23907E32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10 Spt in Jan-June.
</t>
        </r>
      </text>
    </comment>
    <comment ref="K119" authorId="0" shapeId="0" xr:uid="{392C608B-0FFE-4912-B4C5-0417BBD2A8B7}">
      <text>
        <r>
          <rPr>
            <b/>
            <sz val="9"/>
            <color indexed="81"/>
            <rFont val="Tahoma"/>
            <family val="2"/>
          </rPr>
          <t xml:space="preserve">Marlene Bellman:
</t>
        </r>
        <r>
          <rPr>
            <sz val="9"/>
            <color indexed="81"/>
            <rFont val="Tahoma"/>
            <family val="2"/>
          </rPr>
          <t>From FRAM Screen Reports - Fishery Mortality Report, Select "DropOff" for Area 10 Spt in Jan-June and divide by DropOff mortality rate 0.05.
There was 0 NonRetention modeled.</t>
        </r>
      </text>
    </comment>
    <comment ref="G125" authorId="0" shapeId="0" xr:uid="{9327693E-0253-4F98-8804-52C0FF61C3E1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10 Spt in July
</t>
        </r>
      </text>
    </comment>
    <comment ref="K125" authorId="0" shapeId="0" xr:uid="{645F7387-08A7-4135-981B-43F5942690CE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10 Spt in July and divide by DropOff mortality rate 0.05.
There was 0 NonRetention modeled.</t>
        </r>
      </text>
    </comment>
    <comment ref="G131" authorId="0" shapeId="0" xr:uid="{CB1BCB06-3504-4B90-BBCE-8D3756B23E0D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10 Spt in August
</t>
        </r>
      </text>
    </comment>
    <comment ref="K131" authorId="0" shapeId="0" xr:uid="{92A14DA4-8BA1-4305-9A89-9532779E0A63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10 Spt in August and divide by DropOff mortality rate 0.05.
There was 0 NonRetention modeled.</t>
        </r>
      </text>
    </comment>
    <comment ref="G137" authorId="0" shapeId="0" xr:uid="{850B8910-94B2-4FAF-8049-F267F8728453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10 Spt in Sept.
</t>
        </r>
      </text>
    </comment>
    <comment ref="K137" authorId="0" shapeId="0" xr:uid="{EBBD9BBF-5A65-4784-BABF-86CC238FB167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10 Spt in Sept and divide by DropOff mortality rate 0.05.
There was 0 NonRetention modeled.</t>
        </r>
      </text>
    </comment>
    <comment ref="G143" authorId="0" shapeId="0" xr:uid="{D26300FB-9BFB-44BB-8B24-67AF30D5A6BD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10 Spt in Oct-Dec
</t>
        </r>
      </text>
    </comment>
    <comment ref="K143" authorId="0" shapeId="0" xr:uid="{60118F2A-920C-4381-9DB2-58F6BE6DFC47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10 Spt in Oct-Dec and divide by DropOff mortality rate 0.05.
There was 0 NonRetention modeled.</t>
        </r>
      </text>
    </comment>
    <comment ref="G149" authorId="0" shapeId="0" xr:uid="{35D1CEBE-5FEE-411E-8595-2DD8A7F1BD21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11 Spt in Jan-June</t>
        </r>
      </text>
    </comment>
    <comment ref="K149" authorId="0" shapeId="0" xr:uid="{8A97DD90-82F9-43EA-A425-C119BA25F76E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11 Spt in Jan-June and divide by DropOff mortality rate 0.05.
There was 0 NonRetention modeled.
</t>
        </r>
      </text>
    </comment>
    <comment ref="G155" authorId="0" shapeId="0" xr:uid="{5A6949F1-67C0-4F01-BF9F-82C9EBD4F5D4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11 Spt in July
</t>
        </r>
      </text>
    </comment>
    <comment ref="K155" authorId="0" shapeId="0" xr:uid="{8E907C7A-4D63-495F-B7D6-25E90A18C907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11 Spt in July and divide by DropOff mortality rate 0.05.
There was 0 NonRetention modeled.
</t>
        </r>
      </text>
    </comment>
    <comment ref="G161" authorId="0" shapeId="0" xr:uid="{AFDA63CD-1D1D-4AEA-9D3A-88EF92D38427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11 Spt in August
</t>
        </r>
      </text>
    </comment>
    <comment ref="K161" authorId="0" shapeId="0" xr:uid="{7F899A65-3C58-41E9-ACE8-1A539D4DE250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11 Spt in August and divide by DropOff mortality rate 0.05.
There was 0 NonRetention modeled.
</t>
        </r>
      </text>
    </comment>
    <comment ref="G167" authorId="0" shapeId="0" xr:uid="{F1FB852F-282B-4F88-9DCD-DE32434DC20E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11 Spt in Sept
</t>
        </r>
      </text>
    </comment>
    <comment ref="K167" authorId="0" shapeId="0" xr:uid="{4999AA0B-F9B4-476A-BED9-5D7F9B9C7A46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11 Spt in Sept and divide by DropOff mortality rate 0.05.
There was 0 NonRetention modeled.
</t>
        </r>
      </text>
    </comment>
    <comment ref="G173" authorId="0" shapeId="0" xr:uid="{BED0B0E9-E834-45C4-AF51-AD9D39369DC9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11 Spt in Oct-Dec
</t>
        </r>
      </text>
    </comment>
    <comment ref="K173" authorId="0" shapeId="0" xr:uid="{F2CAA004-1CC0-478B-8610-57B4B34DFC98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11 Spt in Oct-Dec and divide by DropOff mortality rate 0.05.
There was 4 NonRetention modeled.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tc={6E2E2428-3D49-41BC-8E41-82789EC04B7B}</author>
  </authors>
  <commentList>
    <comment ref="D33" authorId="0" shapeId="0" xr:uid="{6E2E2428-3D49-41BC-8E41-82789EC04B7B}">
      <text>
        <t>[Threaded comment]
Your version of Excel allows you to read this threaded comment; however, any edits to it will get removed if the file is opened in a newer version of Excel. Learn more: https://go.microsoft.com/fwlink/?linkid=870924
Comment:
    Chinook closes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Richardson, Sarah (DFW)</author>
    <author>tc={7DC26C89-EEF7-4B45-AD35-6FE9E016360B}</author>
    <author>tc={0BCFE76D-72F0-41E3-B406-65CBDF211B4C}</author>
    <author>tc={094A6646-206C-4EB4-822E-E6AB20D9FF23}</author>
    <author>tc={0D426571-868F-463F-B665-77AE07620C62}</author>
    <author>tc={CF84B9D5-4AC3-43E3-B34C-DE2BDFDD5169}</author>
    <author>tc={0E5BD639-5989-405B-A690-CD630DFF1F76}</author>
  </authors>
  <commentList>
    <comment ref="G62" authorId="0" shapeId="0" xr:uid="{29294967-085D-45F5-AF44-48856DA3A1BC}">
      <text>
        <r>
          <rPr>
            <b/>
            <sz val="9"/>
            <color indexed="81"/>
            <rFont val="Tahoma"/>
            <family val="2"/>
          </rPr>
          <t>Richardson, Sarah (DFW):</t>
        </r>
        <r>
          <rPr>
            <sz val="9"/>
            <color indexed="81"/>
            <rFont val="Tahoma"/>
            <family val="2"/>
          </rPr>
          <t xml:space="preserve">
During chinook non-retention periods, chinook estimates are M1</t>
        </r>
      </text>
    </comment>
    <comment ref="D87" authorId="1" shapeId="0" xr:uid="{7DC26C89-EEF7-4B45-AD35-6FE9E016360B}">
      <text>
        <t>[Threaded comment]
Your version of Excel allows you to read this threaded comment; however, any edits to it will get removed if the file is opened in a newer version of Excel. Learn more: https://go.microsoft.com/fwlink/?linkid=870924
Comment:
    Chinook retention opens July 13th.</t>
      </text>
    </comment>
    <comment ref="D99" authorId="2" shapeId="0" xr:uid="{0BCFE76D-72F0-41E3-B406-65CBDF211B4C}">
      <text>
        <t>[Threaded comment]
Your version of Excel allows you to read this threaded comment; however, any edits to it will get removed if the file is opened in a newer version of Excel. Learn more: https://go.microsoft.com/fwlink/?linkid=870924
Comment:
    Chinook closed Aug 3 @11:59 pm.</t>
      </text>
    </comment>
    <comment ref="D104" authorId="3" shapeId="0" xr:uid="{094A6646-206C-4EB4-822E-E6AB20D9FF23}">
      <text>
        <t>[Threaded comment]
Your version of Excel allows you to read this threaded comment; however, any edits to it will get removed if the file is opened in a newer version of Excel. Learn more: https://go.microsoft.com/fwlink/?linkid=870924
Comment:
    Opens for Chinook on 11th</t>
      </text>
    </comment>
    <comment ref="D106" authorId="4" shapeId="0" xr:uid="{0D426571-868F-463F-B665-77AE07620C62}">
      <text>
        <t>[Threaded comment]
Your version of Excel allows you to read this threaded comment; however, any edits to it will get removed if the file is opened in a newer version of Excel. Learn more: https://go.microsoft.com/fwlink/?linkid=870924
Comment:
    Closed for chinook at 11:59pm on 13th</t>
      </text>
    </comment>
    <comment ref="D108" authorId="5" shapeId="0" xr:uid="{CF84B9D5-4AC3-43E3-B34C-DE2BDFDD5169}">
      <text>
        <t>[Threaded comment]
Your version of Excel allows you to read this threaded comment; however, any edits to it will get removed if the file is opened in a newer version of Excel. Learn more: https://go.microsoft.com/fwlink/?linkid=870924
Comment:
    Opens for chinook on the 18th</t>
      </text>
    </comment>
    <comment ref="D110" authorId="6" shapeId="0" xr:uid="{0E5BD639-5989-405B-A690-CD630DFF1F76}">
      <text>
        <t>[Threaded comment]
Your version of Excel allows you to read this threaded comment; however, any edits to it will get removed if the file is opened in a newer version of Excel. Learn more: https://go.microsoft.com/fwlink/?linkid=870924
Comment:
    Closed for Chinook on 11:59 on the 20th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tc={A17CCF4E-33A3-4A46-AE7A-A89D1900B5DF}</author>
    <author>tc={DFBABC1A-9895-4530-AE9A-721826C847F4}</author>
  </authors>
  <commentList>
    <comment ref="D13" authorId="0" shapeId="0" xr:uid="{A17CCF4E-33A3-4A46-AE7A-A89D1900B5DF}">
      <text>
        <t>[Threaded comment]
Your version of Excel allows you to read this threaded comment; however, any edits to it will get removed if the file is opened in a newer version of Excel. Learn more: https://go.microsoft.com/fwlink/?linkid=870924
Comment:
    Fishery closed.</t>
      </text>
    </comment>
    <comment ref="D26" authorId="1" shapeId="0" xr:uid="{DFBABC1A-9895-4530-AE9A-721826C847F4}">
      <text>
        <t>[Threaded comment]
Your version of Excel allows you to read this threaded comment; however, any edits to it will get removed if the file is opened in a newer version of Excel. Learn more: https://go.microsoft.com/fwlink/?linkid=870924
Comment:
    Fishery closed on 7/15/2023.</t>
      </text>
    </comment>
  </commentList>
</comments>
</file>

<file path=xl/sharedStrings.xml><?xml version="1.0" encoding="utf-8"?>
<sst xmlns="http://schemas.openxmlformats.org/spreadsheetml/2006/main" count="1471" uniqueCount="340">
  <si>
    <t>Area</t>
  </si>
  <si>
    <t>Category</t>
  </si>
  <si>
    <t>Legal Marked</t>
  </si>
  <si>
    <t>Legal Unmarked</t>
  </si>
  <si>
    <t>Sublegal Marked</t>
  </si>
  <si>
    <t>Sublegal Unmarked</t>
  </si>
  <si>
    <t xml:space="preserve">Total </t>
  </si>
  <si>
    <t>Total Legal Encounters</t>
  </si>
  <si>
    <t>Total Unmarked Encounters</t>
  </si>
  <si>
    <t>Encounter Method</t>
  </si>
  <si>
    <t>Criteria</t>
  </si>
  <si>
    <t>Estimated</t>
  </si>
  <si>
    <t>Total Legal-size Encounters</t>
  </si>
  <si>
    <t>FRAM</t>
  </si>
  <si>
    <t>TF</t>
  </si>
  <si>
    <t>Difference</t>
  </si>
  <si>
    <t>Percent Legal Encounters</t>
  </si>
  <si>
    <t>%</t>
  </si>
  <si>
    <t>Legal Size Encounters</t>
  </si>
  <si>
    <t>7 - July</t>
  </si>
  <si>
    <t>Total Harvest Estimate</t>
  </si>
  <si>
    <t>Total Sublegal Encounters</t>
  </si>
  <si>
    <t>Harvest Quota</t>
  </si>
  <si>
    <t>% of Catch</t>
  </si>
  <si>
    <t>Percentage of Unmarked Encounters</t>
  </si>
  <si>
    <t>Percentage of Sublegal Encounters</t>
  </si>
  <si>
    <t>Quota</t>
  </si>
  <si>
    <t>Total Sublegal Size Encounters</t>
  </si>
  <si>
    <t>9 - July</t>
  </si>
  <si>
    <t>Harvest Estimate</t>
  </si>
  <si>
    <t>11 - June</t>
  </si>
  <si>
    <t>11 - July - Oct</t>
  </si>
  <si>
    <t>FRAM= Source: Coho_MSF_Report_2318V2, Final 2023 preseason model run.</t>
  </si>
  <si>
    <t>TimeStep</t>
  </si>
  <si>
    <t>Retained Marked</t>
  </si>
  <si>
    <t>Retained Unmarked</t>
  </si>
  <si>
    <t>Retained Unknown</t>
  </si>
  <si>
    <t>Released Marked</t>
  </si>
  <si>
    <t>Released Unmarked</t>
  </si>
  <si>
    <t>Released Unknown</t>
  </si>
  <si>
    <t>Total Encounters</t>
  </si>
  <si>
    <t>Modeled as MSF</t>
  </si>
  <si>
    <t>July</t>
  </si>
  <si>
    <t>August</t>
  </si>
  <si>
    <t>September</t>
  </si>
  <si>
    <t>Total Retained</t>
  </si>
  <si>
    <t>Total DropOff 
(not mortalities)</t>
  </si>
  <si>
    <t>Modeled as Non-Selective</t>
  </si>
  <si>
    <t>October</t>
  </si>
  <si>
    <t xml:space="preserve">Modeled as MSF </t>
  </si>
  <si>
    <t>September 1-17</t>
  </si>
  <si>
    <t>September 18-30</t>
  </si>
  <si>
    <t>June</t>
  </si>
  <si>
    <t>Sept</t>
  </si>
  <si>
    <t>Preliminary In-Season Estimates of Effort and Salmon Catch (Retained and Released) from Private Boats</t>
  </si>
  <si>
    <t>During the Area 5 Summer Mark-selective Chinook Fishery, July 1 - August 15, 2023, Coho Fishery July 1 - October 15, 2023.</t>
  </si>
  <si>
    <t>Estimated Chinook Encounters</t>
  </si>
  <si>
    <t>Month</t>
  </si>
  <si>
    <t>Stat Week</t>
  </si>
  <si>
    <t xml:space="preserve"> Start Date</t>
  </si>
  <si>
    <t>End Date</t>
  </si>
  <si>
    <r>
      <t xml:space="preserve">Est. Effort </t>
    </r>
    <r>
      <rPr>
        <b/>
        <vertAlign val="superscript"/>
        <sz val="10"/>
        <rFont val="Arial"/>
        <family val="2"/>
      </rPr>
      <t>1/</t>
    </r>
  </si>
  <si>
    <r>
      <t>Retained Chinook</t>
    </r>
    <r>
      <rPr>
        <b/>
        <vertAlign val="superscript"/>
        <sz val="10"/>
        <rFont val="Arial"/>
        <family val="2"/>
      </rPr>
      <t>1/</t>
    </r>
  </si>
  <si>
    <r>
      <t>Released Chinook</t>
    </r>
    <r>
      <rPr>
        <b/>
        <vertAlign val="superscript"/>
        <sz val="10"/>
        <rFont val="Arial"/>
        <family val="2"/>
      </rPr>
      <t>2/</t>
    </r>
  </si>
  <si>
    <t>Est. Total Chinook Encounters</t>
  </si>
  <si>
    <t>Boats</t>
  </si>
  <si>
    <t>Anglers</t>
  </si>
  <si>
    <t>AD</t>
  </si>
  <si>
    <t>UM</t>
  </si>
  <si>
    <t>Jul</t>
  </si>
  <si>
    <t>Aug</t>
  </si>
  <si>
    <t>Total to Date:</t>
  </si>
  <si>
    <t>Variance:</t>
  </si>
  <si>
    <t>Standard Error:</t>
  </si>
  <si>
    <t>CV (%):</t>
  </si>
  <si>
    <t>95% CI:</t>
  </si>
  <si>
    <t>5551 - 6817</t>
  </si>
  <si>
    <t>12884 - 16260</t>
  </si>
  <si>
    <t>2996 - 3992</t>
  </si>
  <si>
    <t>26 - 74</t>
  </si>
  <si>
    <t>7726 - 16382</t>
  </si>
  <si>
    <t>4366 - 8506</t>
  </si>
  <si>
    <t>15025 - 29043</t>
  </si>
  <si>
    <r>
      <t>1/</t>
    </r>
    <r>
      <rPr>
        <sz val="10"/>
        <color indexed="8"/>
        <rFont val="Arial"/>
        <family val="2"/>
      </rPr>
      <t xml:space="preserve"> We used the Murthy estimator method to estimate boats, anglers, retained salmon catch, and released salmon species other than Chinook.</t>
    </r>
  </si>
  <si>
    <r>
      <t>2/</t>
    </r>
    <r>
      <rPr>
        <sz val="10"/>
        <color indexed="8"/>
        <rFont val="Arial"/>
        <family val="2"/>
      </rPr>
      <t xml:space="preserve"> Released Chinook were estimated as the difference between total Chinook encounters generated using a bias-corrected "Method 2" estimator (see Conrad and McHugh [2008] for additional details) and creel estimates of retained Chinook.</t>
    </r>
  </si>
  <si>
    <t>DS</t>
  </si>
  <si>
    <t>Estimated Coho Encounters</t>
  </si>
  <si>
    <t>Estimated Other Salmon Encounters</t>
  </si>
  <si>
    <t>Retained Coho</t>
  </si>
  <si>
    <t>Released Coho</t>
  </si>
  <si>
    <t>Est. Total Coho Encounters</t>
  </si>
  <si>
    <t>Retained Pink</t>
  </si>
  <si>
    <t>Released Pink</t>
  </si>
  <si>
    <t>Retained Sockeye</t>
  </si>
  <si>
    <t>Released Sockeye</t>
  </si>
  <si>
    <t>Est. Total Other Salmon Encounters</t>
  </si>
  <si>
    <t>UNK</t>
  </si>
  <si>
    <t>Sep</t>
  </si>
  <si>
    <t>Oct</t>
  </si>
  <si>
    <t>637-1,571</t>
  </si>
  <si>
    <t>1,471-3,743</t>
  </si>
  <si>
    <t>132-631</t>
  </si>
  <si>
    <t>904-3,318</t>
  </si>
  <si>
    <t>92-333</t>
  </si>
  <si>
    <t>59-321</t>
  </si>
  <si>
    <t>556-1,168</t>
  </si>
  <si>
    <t>Area 5 Selective Chinook Fishery, July 1 - August 15, 2023.</t>
  </si>
  <si>
    <t>Number Chinook Encounters by Size and Mark Status in STRs</t>
  </si>
  <si>
    <r>
      <t>Table 2.</t>
    </r>
    <r>
      <rPr>
        <sz val="10"/>
        <rFont val="Arial"/>
        <family val="2"/>
      </rPr>
      <t xml:space="preserve">  Total Chinook encountered (retained and released) by private-boat anglers logging their trips on voluntary salmon trip reports (STRs) in the Area 5 mark-selective Chinook fishery.</t>
    </r>
  </si>
  <si>
    <t>Data Description</t>
  </si>
  <si>
    <r>
      <t xml:space="preserve">Chinook Encounters by Size/Mark Status </t>
    </r>
    <r>
      <rPr>
        <b/>
        <vertAlign val="superscript"/>
        <sz val="10"/>
        <color indexed="8"/>
        <rFont val="Arial"/>
        <family val="2"/>
      </rPr>
      <t>1/</t>
    </r>
  </si>
  <si>
    <t>Legal-size Mark Rate</t>
  </si>
  <si>
    <t>Overall Mark Rate</t>
  </si>
  <si>
    <t>LM</t>
  </si>
  <si>
    <t>LU</t>
  </si>
  <si>
    <t>SM</t>
  </si>
  <si>
    <t>SU</t>
  </si>
  <si>
    <t>Total</t>
  </si>
  <si>
    <t>Total Number Chin. Encounters on STRs:</t>
  </si>
  <si>
    <r>
      <t>Encounter Rates (LM, LU, SM, SU)</t>
    </r>
    <r>
      <rPr>
        <b/>
        <vertAlign val="superscript"/>
        <sz val="10"/>
        <color indexed="8"/>
        <rFont val="Arial"/>
        <family val="2"/>
      </rPr>
      <t>2/</t>
    </r>
    <r>
      <rPr>
        <b/>
        <sz val="10"/>
        <color indexed="8"/>
        <rFont val="Arial"/>
        <family val="2"/>
      </rPr>
      <t>:</t>
    </r>
  </si>
  <si>
    <r>
      <t>1/</t>
    </r>
    <r>
      <rPr>
        <sz val="9"/>
        <color indexed="8"/>
        <rFont val="Arial"/>
        <family val="2"/>
      </rPr>
      <t xml:space="preserve"> LM=Legal size (22 inches total length and larger) and marked; LU=Legal size and unmarked; SM=Sublegal size and marked; SU=Sublegal size and unmarked.</t>
    </r>
  </si>
  <si>
    <r>
      <t>2/</t>
    </r>
    <r>
      <rPr>
        <sz val="9"/>
        <color indexed="8"/>
        <rFont val="Arial"/>
        <family val="2"/>
      </rPr>
      <t xml:space="preserve"> STR-based proportions of Chinook encounters by size/mark status (LM, LU, SM, and SU; calculated from pooled Area 5 Chinook encounters on STRs) were applied to estimate total-area Chinook encounters in Area 5 (see previous tab) using the Conrad and McHugh (2008) method.</t>
    </r>
  </si>
  <si>
    <t>Number Chinook Encounters by Size and Mark Status in the Test Fishery, July 1 - August 15, 2023.</t>
  </si>
  <si>
    <t>Test Fishing Total Number Chin. Encounters:</t>
  </si>
  <si>
    <r>
      <t>July Encounter Rates (LM, LU, SM, SU)</t>
    </r>
    <r>
      <rPr>
        <b/>
        <sz val="10"/>
        <color indexed="8"/>
        <rFont val="Arial"/>
        <family val="2"/>
      </rPr>
      <t>:</t>
    </r>
  </si>
  <si>
    <t>Dockside Area 5 Selective Chinook Fishery, July 1 - August 15, 2023.</t>
  </si>
  <si>
    <t>Number Chinook Encounters by Size and Mark Status sampled and reported dockside.</t>
  </si>
  <si>
    <t>Kept</t>
  </si>
  <si>
    <t>Released</t>
  </si>
  <si>
    <r>
      <t>Encounter Rates (LM, LU, SM, SU)</t>
    </r>
    <r>
      <rPr>
        <b/>
        <sz val="10"/>
        <color indexed="8"/>
        <rFont val="Arial"/>
        <family val="2"/>
      </rPr>
      <t>:</t>
    </r>
  </si>
  <si>
    <r>
      <t>Bias-corrected Encounter Rates</t>
    </r>
    <r>
      <rPr>
        <b/>
        <vertAlign val="superscript"/>
        <sz val="10"/>
        <color theme="1"/>
        <rFont val="Arial"/>
        <family val="2"/>
      </rPr>
      <t>2/</t>
    </r>
    <r>
      <rPr>
        <b/>
        <sz val="10"/>
        <color theme="1"/>
        <rFont val="Arial"/>
        <family val="2"/>
      </rPr>
      <t>:</t>
    </r>
  </si>
  <si>
    <r>
      <t>2/</t>
    </r>
    <r>
      <rPr>
        <sz val="9"/>
        <color indexed="8"/>
        <rFont val="Arial"/>
        <family val="2"/>
      </rPr>
      <t xml:space="preserve"> Conrad, R., T. Garber, and G. Rose.  2020.  Draft memo to the co-managers “Assessment of Two Methods for Estimating the Composition of Chinook Encounters Early in the Fishing Season. September 25, 2020.</t>
    </r>
  </si>
  <si>
    <t>During the Area 6 Summer Mark-selective Chinook Fishery, July 1 - August 15, 2023, Coho Fishery July 1 - October 15, 2023.</t>
  </si>
  <si>
    <t>5477 - 6207</t>
  </si>
  <si>
    <t>10923 - 12349</t>
  </si>
  <si>
    <t>4986 - 5832</t>
  </si>
  <si>
    <t>16 - 24</t>
  </si>
  <si>
    <t>3983 - 11623</t>
  </si>
  <si>
    <t>4433 - 9517</t>
  </si>
  <si>
    <t>14144 - 26272</t>
  </si>
  <si>
    <t>NaN</t>
  </si>
  <si>
    <t>584-1,829</t>
  </si>
  <si>
    <t>1,200-3,795</t>
  </si>
  <si>
    <t>146-748</t>
  </si>
  <si>
    <t>680-3,123</t>
  </si>
  <si>
    <t>6-9</t>
  </si>
  <si>
    <t>66-121</t>
  </si>
  <si>
    <t>45-245</t>
  </si>
  <si>
    <t>339-925</t>
  </si>
  <si>
    <t>9696 - 11018</t>
  </si>
  <si>
    <t>8418 - 10876</t>
  </si>
  <si>
    <t>0 - 0</t>
  </si>
  <si>
    <t>0-3</t>
  </si>
  <si>
    <t>Area 6 Selective Chinook Fishery, July 1 - August 15, 2023.</t>
  </si>
  <si>
    <r>
      <t>Table 2.</t>
    </r>
    <r>
      <rPr>
        <sz val="10"/>
        <rFont val="Arial"/>
        <family val="2"/>
      </rPr>
      <t xml:space="preserve">  Total Chinook encountered (retained and released) by private-boat anglers logging their trips on voluntary salmon trip reports (STRs) in the Area 6 mark-selective Chinook fishery.</t>
    </r>
  </si>
  <si>
    <r>
      <rPr>
        <vertAlign val="superscript"/>
        <sz val="9"/>
        <rFont val="Arial"/>
        <family val="2"/>
      </rPr>
      <t xml:space="preserve">a/ </t>
    </r>
    <r>
      <rPr>
        <sz val="9"/>
        <rFont val="Arial"/>
        <family val="2"/>
      </rPr>
      <t>Legal-size Chinook were 22 inches and larger in total length, while sublegal-size Chinook were less than 22 inches total length.</t>
    </r>
  </si>
  <si>
    <r>
      <t>2/</t>
    </r>
    <r>
      <rPr>
        <sz val="9"/>
        <color indexed="8"/>
        <rFont val="Arial"/>
        <family val="2"/>
      </rPr>
      <t xml:space="preserve"> STR-based proportions of Chinook encounters by size/mark status (LM, LU, SM, and SU; calculated from pooled Area 6 Chinook encounters on STRs) were applied to estimate total-area Chinook encounters in Area 6 (see previous tab) using the Conrad and McHugh (2008) method.</t>
    </r>
  </si>
  <si>
    <t>Dockside Area 6 Selective Chinook Fishery, July 1 - August 15, 2023.</t>
  </si>
  <si>
    <t>During the Area 7 Summer Mark-selective Chinook Fishery, July 13-15, 21, 28-29, 2023. More as Quota allows; Coho July 13-15, 21, 28-29 and August 1 - September 30, 2023.</t>
  </si>
  <si>
    <t>Stat Weeks</t>
  </si>
  <si>
    <t>Stratum Start Date</t>
  </si>
  <si>
    <t>Stratum End Date</t>
  </si>
  <si>
    <t>Effort</t>
  </si>
  <si>
    <t>Retained Chinook</t>
  </si>
  <si>
    <t>Released Chinook</t>
  </si>
  <si>
    <t xml:space="preserve">Chinook Encounters Total </t>
  </si>
  <si>
    <t xml:space="preserve">Coho Encounters Total </t>
  </si>
  <si>
    <t>UK</t>
  </si>
  <si>
    <t>July Total:</t>
  </si>
  <si>
    <t>2292 - 3052</t>
  </si>
  <si>
    <t>5580 - 7442</t>
  </si>
  <si>
    <t>1762 - 2394</t>
  </si>
  <si>
    <t>8 - 12</t>
  </si>
  <si>
    <t>0 - 5053</t>
  </si>
  <si>
    <t>705 - 4649</t>
  </si>
  <si>
    <t>2883 - 11449</t>
  </si>
  <si>
    <t>137 - 219</t>
  </si>
  <si>
    <t>43 - 67</t>
  </si>
  <si>
    <t>296 - 430</t>
  </si>
  <si>
    <t>19 - 35</t>
  </si>
  <si>
    <t>543 - 703</t>
  </si>
  <si>
    <t>197 - 295</t>
  </si>
  <si>
    <t>89 - 137</t>
  </si>
  <si>
    <t>August Total:</t>
  </si>
  <si>
    <t>1049 - 1763</t>
  </si>
  <si>
    <t>2726 - 4772</t>
  </si>
  <si>
    <t>106 - 212</t>
  </si>
  <si>
    <t>13 - 37</t>
  </si>
  <si>
    <t>119 - 659</t>
  </si>
  <si>
    <t>2-22</t>
  </si>
  <si>
    <t>308 - 860</t>
  </si>
  <si>
    <t>2917 - 5379</t>
  </si>
  <si>
    <t>1382 - 2888</t>
  </si>
  <si>
    <t>September Total</t>
  </si>
  <si>
    <t>972 - 1536</t>
  </si>
  <si>
    <t>2386 - 3832</t>
  </si>
  <si>
    <t>338 - 616</t>
  </si>
  <si>
    <t>777 - 1287</t>
  </si>
  <si>
    <t>10-30</t>
  </si>
  <si>
    <t>0 - 36</t>
  </si>
  <si>
    <t>89 - 231</t>
  </si>
  <si>
    <t>197 - 437</t>
  </si>
  <si>
    <t>1699 - 2345</t>
  </si>
  <si>
    <t>642 - 1186</t>
  </si>
  <si>
    <t>177 - 405</t>
  </si>
  <si>
    <t>Grand Total</t>
  </si>
  <si>
    <t>CHECKS</t>
  </si>
  <si>
    <r>
      <rPr>
        <b/>
        <u/>
        <sz val="10"/>
        <rFont val="Arial"/>
        <family val="2"/>
      </rPr>
      <t>Area 7</t>
    </r>
    <r>
      <rPr>
        <b/>
        <sz val="10"/>
        <rFont val="Arial"/>
        <family val="2"/>
      </rPr>
      <t xml:space="preserve"> Selective Chinook Fishery, July 13-15, 2023. More as Quota allows.</t>
    </r>
  </si>
  <si>
    <t>Number Chinook Encounters by Size and Mark Status in the Test Fishery</t>
  </si>
  <si>
    <t>Total Number Chin. Encounters:</t>
  </si>
  <si>
    <t>Dockside Area 7 Selective Chinook Fishery, July 13-15, 2023. More as Quota allows.</t>
  </si>
  <si>
    <t>During the Area 81 Summer Coho Fishery August 1 - September 30, 2023.</t>
  </si>
  <si>
    <t>1,598-1,860</t>
  </si>
  <si>
    <t>3,169-3,693</t>
  </si>
  <si>
    <t>241-484</t>
  </si>
  <si>
    <t>536-714</t>
  </si>
  <si>
    <t>6-20</t>
  </si>
  <si>
    <t>3-41</t>
  </si>
  <si>
    <t>435-584</t>
  </si>
  <si>
    <t>281-388</t>
  </si>
  <si>
    <t>During the Area 82 Summer Mark-selective Coho Fishery August 1 - September 24, 2023.</t>
  </si>
  <si>
    <t>Everett Coho Derby</t>
  </si>
  <si>
    <t>10,299-11,537</t>
  </si>
  <si>
    <t>25,875-29,379</t>
  </si>
  <si>
    <t>2,189-2,662</t>
  </si>
  <si>
    <t>2,640-3,491</t>
  </si>
  <si>
    <t>-3-14</t>
  </si>
  <si>
    <t>314-434</t>
  </si>
  <si>
    <t>826-1,166</t>
  </si>
  <si>
    <t>520-1,203</t>
  </si>
  <si>
    <t>28,007-32,630</t>
  </si>
  <si>
    <t>14,561-18,041</t>
  </si>
  <si>
    <t>1-13</t>
  </si>
  <si>
    <t>During the Areas 9 and 10 Summer Mark-selective Chinook Fishery, (Area 9) July 13-15, 2023, Coho July 13-15, August 1 - September 30, 2023; (Area 10) Chinook July 13 - August 31, 2023, Coho June 1 - October 31, 2023.</t>
  </si>
  <si>
    <t>Area 9</t>
  </si>
  <si>
    <t>Kiwanis Kingston Coho Derby</t>
  </si>
  <si>
    <t>Season Total:</t>
  </si>
  <si>
    <t>18755 - 21941</t>
  </si>
  <si>
    <t>45059 - 52597</t>
  </si>
  <si>
    <t>3834 - 5254</t>
  </si>
  <si>
    <t>6 - 19</t>
  </si>
  <si>
    <t>3049 - 7839</t>
  </si>
  <si>
    <t>1333 - 3223</t>
  </si>
  <si>
    <t>9187 - 15373</t>
  </si>
  <si>
    <t>15109 - 18195</t>
  </si>
  <si>
    <t>4463 - 6961</t>
  </si>
  <si>
    <t>1541 - 2427</t>
  </si>
  <si>
    <t>10512 - 12986</t>
  </si>
  <si>
    <t>2710 - 3824</t>
  </si>
  <si>
    <t>36964 - 41852</t>
  </si>
  <si>
    <t>15789 - 21633</t>
  </si>
  <si>
    <t>15077 - 22125</t>
  </si>
  <si>
    <t>the mdf</t>
  </si>
  <si>
    <t>Area 10</t>
  </si>
  <si>
    <t>Jun</t>
  </si>
  <si>
    <t>3038 - 3830</t>
  </si>
  <si>
    <t>23 - 73</t>
  </si>
  <si>
    <t>4845 - 9777</t>
  </si>
  <si>
    <t>2980 - 5548</t>
  </si>
  <si>
    <t>11187 - 18929</t>
  </si>
  <si>
    <t>19327 - 22765</t>
  </si>
  <si>
    <t>18394 - 22600</t>
  </si>
  <si>
    <t>0 - 19</t>
  </si>
  <si>
    <r>
      <rPr>
        <b/>
        <u/>
        <sz val="10"/>
        <rFont val="Arial"/>
        <family val="2"/>
      </rPr>
      <t>Area 9</t>
    </r>
    <r>
      <rPr>
        <b/>
        <sz val="10"/>
        <rFont val="Arial"/>
        <family val="2"/>
      </rPr>
      <t xml:space="preserve"> Selective Chinook Fishery, July 13-15, 2023. More as quota allows</t>
    </r>
  </si>
  <si>
    <t>Dockside Area 9 Selective Chinook Fishery, July 13-15, 2023. More as quota allows</t>
  </si>
  <si>
    <r>
      <rPr>
        <b/>
        <u/>
        <sz val="10"/>
        <rFont val="Arial"/>
        <family val="2"/>
      </rPr>
      <t>Area 10</t>
    </r>
    <r>
      <rPr>
        <b/>
        <sz val="10"/>
        <rFont val="Arial"/>
        <family val="2"/>
      </rPr>
      <t xml:space="preserve"> Selective Chinook Fishery, July 13 - August 31, 2023.</t>
    </r>
  </si>
  <si>
    <t>Dockside Area 10 Selective Chinook Fishery, July 13 - August 31, 2023.</t>
  </si>
  <si>
    <t>7/13-8/3</t>
  </si>
  <si>
    <t>8/11-8/13</t>
  </si>
  <si>
    <t>8/18-8/20</t>
  </si>
  <si>
    <t>total</t>
  </si>
  <si>
    <t>7/13-8/20</t>
  </si>
  <si>
    <t>During the Elliott Bay Summer Mark-selective Chinook Fishery, August 4 - 6, 2023</t>
  </si>
  <si>
    <t>1072 - 1182</t>
  </si>
  <si>
    <t>2398 - 2660</t>
  </si>
  <si>
    <t>703 - 781</t>
  </si>
  <si>
    <t>273 - 301</t>
  </si>
  <si>
    <t>71 - 99</t>
  </si>
  <si>
    <t>24 - 36</t>
  </si>
  <si>
    <t>155 - 187</t>
  </si>
  <si>
    <t>1271 - 1365</t>
  </si>
  <si>
    <t>Area 10-Elliott Bay Chinook Fishery, August 4 - 7, 2023</t>
  </si>
  <si>
    <t>Number Chinook Encounters by Size and Mark Status in Dockside Encounters</t>
  </si>
  <si>
    <r>
      <t>Table 2.</t>
    </r>
    <r>
      <rPr>
        <sz val="10"/>
        <rFont val="Arial"/>
        <family val="2"/>
      </rPr>
      <t xml:space="preserve">  Total Chinook encountered (retained and released) by private-boat anglers in the Area 10-Elliott Bay Chinook fishery.</t>
    </r>
  </si>
  <si>
    <t>Dockside Sampled Legal/Sub-Legal, Marked/Unmarked Proportions</t>
  </si>
  <si>
    <t>Data Descripton</t>
  </si>
  <si>
    <t>Release Condition</t>
  </si>
  <si>
    <t>AD Legal</t>
  </si>
  <si>
    <t>UM Legal</t>
  </si>
  <si>
    <t>AD Sublegal</t>
  </si>
  <si>
    <t>UM Sublegal</t>
  </si>
  <si>
    <t>Total Number Chin. Encounters Dockside.</t>
  </si>
  <si>
    <t>Total Number Chin. Encounters on Dockside Encounters:</t>
  </si>
  <si>
    <r>
      <t>2/</t>
    </r>
    <r>
      <rPr>
        <sz val="9"/>
        <color indexed="8"/>
        <rFont val="Arial"/>
        <family val="2"/>
      </rPr>
      <t xml:space="preserve"> VTR-based proportions of Chinook encounters by size/mark status (LM, LU, SM, and SU; calculated from pooled Area 10-Elliott Bay Chinook encounters on VTRs) were applied to estimate total-area Chinook encounters (see previous tab) using the Conrad and McHugh (2008) method.</t>
    </r>
  </si>
  <si>
    <t>During the Area 11 Summer Mark-selective Chinook and Coho Fisheries, June 1 - 11, July 1 - 14, September 1 - October 31, 2023.</t>
  </si>
  <si>
    <t>June Total:</t>
  </si>
  <si>
    <t>2534 - 3032</t>
  </si>
  <si>
    <t>4823 - 6355</t>
  </si>
  <si>
    <t>887 - 1079</t>
  </si>
  <si>
    <t>0 - 1817</t>
  </si>
  <si>
    <t>384 - 1678</t>
  </si>
  <si>
    <t>1573 - 4263</t>
  </si>
  <si>
    <t>130 - 256</t>
  </si>
  <si>
    <t>57 - 127</t>
  </si>
  <si>
    <t>6-18</t>
  </si>
  <si>
    <t>28 - 52</t>
  </si>
  <si>
    <t>289 - 437</t>
  </si>
  <si>
    <t>July-October Total</t>
  </si>
  <si>
    <t>637 - 979</t>
  </si>
  <si>
    <t>448 - 5678</t>
  </si>
  <si>
    <t>485 - 3209</t>
  </si>
  <si>
    <t>1307 - 10151</t>
  </si>
  <si>
    <t>1081 - 1363</t>
  </si>
  <si>
    <t>533 - 685</t>
  </si>
  <si>
    <t>Jun-Oct</t>
  </si>
  <si>
    <t>Jul-Oct</t>
  </si>
  <si>
    <t>Area 11 Selective Chinook Fishery, June 1 - July 15, 2023.</t>
  </si>
  <si>
    <r>
      <t>Table 2.</t>
    </r>
    <r>
      <rPr>
        <sz val="10"/>
        <rFont val="Arial"/>
        <family val="2"/>
      </rPr>
      <t xml:space="preserve">  Total Chinook encountered (retained and released) by private-boat anglers logging their trips on voluntary salmon trip reports (STRs) in the Area 11 mark-selective Chinook fishery.</t>
    </r>
  </si>
  <si>
    <t>STR Total Number Chin. Encounters on STRs, June 1 - September 30, 2023:</t>
  </si>
  <si>
    <t>CV:</t>
  </si>
  <si>
    <r>
      <t>2/</t>
    </r>
    <r>
      <rPr>
        <sz val="9"/>
        <color indexed="8"/>
        <rFont val="Arial"/>
        <family val="2"/>
      </rPr>
      <t xml:space="preserve"> STR-based proportions of Chinook encounters by size/mark status (LM, LU, SM, and SU; calculated from pooled Area 11 Chinook encounters on STRs) were applied to estimate total-area Chinook encounters in Area 11 (see previous tab) using the Conrad and McHugh (2008) method.</t>
    </r>
  </si>
  <si>
    <t>Number Chinook Encounters by Size and Mark Status in the Test Fishing</t>
  </si>
  <si>
    <t>Test Fishing Total Number Chin. Encounters, Jun 1 - Jun 30, 2023:</t>
  </si>
  <si>
    <t>Test Fishing Total Number Chin. Encounters, Jul 1 - Oct 31, 2023:</t>
  </si>
  <si>
    <t>Dockside Area 11 Selective Chinook Fishery, June 1 - July 15, 2023.</t>
  </si>
  <si>
    <t>Encounters</t>
  </si>
  <si>
    <t>17175 - 18877</t>
  </si>
  <si>
    <t>18077 - 19727</t>
  </si>
  <si>
    <t>4481 - 5207</t>
  </si>
  <si>
    <t>2820 - 3820</t>
  </si>
  <si>
    <t>8308 - 10496</t>
  </si>
  <si>
    <t>52861 - 56319</t>
  </si>
  <si>
    <t>4274 - 5078</t>
  </si>
  <si>
    <t>1814 - 2226</t>
  </si>
  <si>
    <t>407 - 563</t>
  </si>
  <si>
    <t>141 - 177</t>
  </si>
  <si>
    <t>1042 - 1384</t>
  </si>
  <si>
    <t>8090 - 9070</t>
  </si>
  <si>
    <t>9888 - 10558</t>
  </si>
  <si>
    <t>18762 - 19942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</si>
</sst>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mmm\-dd"/>
    <numFmt numFmtId="165" formatCode="0.0%"/>
    <numFmt numFmtId="166" formatCode="0.0000"/>
    <numFmt numFmtId="167" formatCode="_(* #,##0_);_(* \(#,##0\);_(* &quot;-&quot;??_);_(@_)"/>
    <numFmt numFmtId="168" formatCode="0.00000"/>
    <numFmt numFmtId="169" formatCode="0.000000"/>
    <numFmt numFmtId="170" formatCode="dd\-mmm\-yy"/>
    <numFmt numFmtId="171" formatCode="_(* #,##0.00000_);_(* \(#,##0.00000\);_(* &quot;-&quot;??_);_(@_)"/>
  </numFmts>
  <fonts count="51"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sz val="11"/>
      <name val="Times New Roman"/>
      <family val="1"/>
    </font>
    <font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u/>
      <sz val="10"/>
      <name val="Arial"/>
      <family val="2"/>
    </font>
    <font>
      <vertAlign val="superscript"/>
      <sz val="9"/>
      <name val="Arial"/>
      <family val="2"/>
    </font>
    <font>
      <b/>
      <vertAlign val="superscript"/>
      <sz val="10"/>
      <name val="Arial"/>
      <family val="2"/>
    </font>
    <font>
      <b/>
      <u/>
      <sz val="10"/>
      <name val="Arial"/>
      <family val="2"/>
    </font>
    <font>
      <b/>
      <sz val="9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indexed="8"/>
      <name val="Arial"/>
      <family val="2"/>
    </font>
    <font>
      <sz val="10"/>
      <color theme="1"/>
      <name val="Arial"/>
      <family val="2"/>
    </font>
    <font>
      <vertAlign val="superscript"/>
      <sz val="9"/>
      <color theme="1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sz val="11"/>
      <color rgb="FF000000"/>
      <name val="Arial"/>
      <family val="2"/>
    </font>
    <font>
      <b/>
      <sz val="11"/>
      <color indexed="8"/>
      <name val="Arial"/>
      <family val="2"/>
    </font>
    <font>
      <vertAlign val="superscript"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vertAlign val="superscript"/>
      <sz val="10"/>
      <color theme="1"/>
      <name val="Arial"/>
      <family val="2"/>
    </font>
    <font>
      <b/>
      <sz val="10"/>
      <color indexed="81"/>
      <name val="Tahoma"/>
      <family val="2"/>
    </font>
    <font>
      <b/>
      <sz val="10"/>
      <name val="Segoe UI"/>
      <family val="2"/>
    </font>
    <font>
      <b/>
      <sz val="11"/>
      <name val="Arial"/>
      <family val="2"/>
    </font>
    <font>
      <sz val="10"/>
      <name val="Segoe UI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8"/>
      <name val="Times New Roman"/>
      <family val="1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22"/>
        <bgColor indexed="0"/>
      </patternFill>
    </fill>
  </fills>
  <borders count="10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indexed="64"/>
      </right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9">
    <xf numFmtId="0" fontId="0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9" fontId="3" fillId="0" borderId="0" applyFont="0" applyFill="0" applyBorder="0" applyAlignment="0" applyProtection="0"/>
    <xf numFmtId="0" fontId="14" fillId="0" borderId="0"/>
    <xf numFmtId="0" fontId="14" fillId="0" borderId="0"/>
    <xf numFmtId="0" fontId="13" fillId="0" borderId="0"/>
    <xf numFmtId="0" fontId="9" fillId="0" borderId="0"/>
    <xf numFmtId="0" fontId="14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0" fillId="0" borderId="0"/>
    <xf numFmtId="0" fontId="9" fillId="0" borderId="0"/>
    <xf numFmtId="43" fontId="1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47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85">
    <xf numFmtId="0" fontId="0" fillId="0" borderId="0" xfId="0"/>
    <xf numFmtId="3" fontId="4" fillId="3" borderId="0" xfId="1" applyNumberFormat="1" applyFont="1" applyFill="1" applyAlignment="1">
      <alignment horizontal="center" vertical="center"/>
    </xf>
    <xf numFmtId="3" fontId="4" fillId="3" borderId="40" xfId="1" applyNumberFormat="1" applyFont="1" applyFill="1" applyBorder="1" applyAlignment="1">
      <alignment horizontal="center" vertical="center"/>
    </xf>
    <xf numFmtId="0" fontId="6" fillId="0" borderId="0" xfId="4" applyFont="1" applyAlignment="1">
      <alignment wrapText="1"/>
    </xf>
    <xf numFmtId="0" fontId="10" fillId="2" borderId="8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 wrapText="1"/>
    </xf>
    <xf numFmtId="0" fontId="10" fillId="2" borderId="9" xfId="1" applyFont="1" applyFill="1" applyBorder="1" applyAlignment="1">
      <alignment horizontal="center" vertical="center" wrapText="1"/>
    </xf>
    <xf numFmtId="3" fontId="11" fillId="3" borderId="12" xfId="1" quotePrefix="1" applyNumberFormat="1" applyFont="1" applyFill="1" applyBorder="1" applyAlignment="1">
      <alignment horizontal="center" vertical="center"/>
    </xf>
    <xf numFmtId="3" fontId="11" fillId="3" borderId="15" xfId="1" quotePrefix="1" applyNumberFormat="1" applyFont="1" applyFill="1" applyBorder="1" applyAlignment="1">
      <alignment horizontal="center" vertical="center"/>
    </xf>
    <xf numFmtId="3" fontId="11" fillId="3" borderId="14" xfId="1" applyNumberFormat="1" applyFont="1" applyFill="1" applyBorder="1" applyAlignment="1">
      <alignment horizontal="center" vertical="center"/>
    </xf>
    <xf numFmtId="3" fontId="11" fillId="3" borderId="26" xfId="1" quotePrefix="1" applyNumberFormat="1" applyFont="1" applyFill="1" applyBorder="1" applyAlignment="1">
      <alignment horizontal="center" vertical="center"/>
    </xf>
    <xf numFmtId="3" fontId="11" fillId="3" borderId="28" xfId="1" quotePrefix="1" applyNumberFormat="1" applyFont="1" applyFill="1" applyBorder="1" applyAlignment="1">
      <alignment horizontal="center" vertical="center"/>
    </xf>
    <xf numFmtId="3" fontId="11" fillId="3" borderId="25" xfId="1" applyNumberFormat="1" applyFont="1" applyFill="1" applyBorder="1" applyAlignment="1">
      <alignment horizontal="center" vertical="center"/>
    </xf>
    <xf numFmtId="3" fontId="11" fillId="3" borderId="30" xfId="1" quotePrefix="1" applyNumberFormat="1" applyFont="1" applyFill="1" applyBorder="1" applyAlignment="1">
      <alignment horizontal="center" vertical="center"/>
    </xf>
    <xf numFmtId="3" fontId="11" fillId="3" borderId="31" xfId="1" quotePrefix="1" applyNumberFormat="1" applyFont="1" applyFill="1" applyBorder="1" applyAlignment="1">
      <alignment horizontal="center" vertical="center"/>
    </xf>
    <xf numFmtId="3" fontId="11" fillId="3" borderId="42" xfId="1" quotePrefix="1" applyNumberFormat="1" applyFont="1" applyFill="1" applyBorder="1" applyAlignment="1">
      <alignment horizontal="center" vertical="center"/>
    </xf>
    <xf numFmtId="3" fontId="11" fillId="3" borderId="11" xfId="1" applyNumberFormat="1" applyFont="1" applyFill="1" applyBorder="1" applyAlignment="1">
      <alignment horizontal="center" vertical="center"/>
    </xf>
    <xf numFmtId="3" fontId="11" fillId="3" borderId="43" xfId="1" quotePrefix="1" applyNumberFormat="1" applyFont="1" applyFill="1" applyBorder="1" applyAlignment="1">
      <alignment horizontal="center" vertical="center"/>
    </xf>
    <xf numFmtId="3" fontId="11" fillId="3" borderId="44" xfId="1" quotePrefix="1" applyNumberFormat="1" applyFont="1" applyFill="1" applyBorder="1" applyAlignment="1">
      <alignment horizontal="center" vertical="center"/>
    </xf>
    <xf numFmtId="3" fontId="11" fillId="3" borderId="45" xfId="1" quotePrefix="1" applyNumberFormat="1" applyFont="1" applyFill="1" applyBorder="1" applyAlignment="1">
      <alignment horizontal="center" vertical="center"/>
    </xf>
    <xf numFmtId="3" fontId="11" fillId="3" borderId="19" xfId="1" quotePrefix="1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/>
    </xf>
    <xf numFmtId="0" fontId="8" fillId="0" borderId="29" xfId="0" applyFont="1" applyBorder="1" applyAlignment="1">
      <alignment horizontal="center" wrapText="1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3" fontId="3" fillId="0" borderId="29" xfId="0" applyNumberFormat="1" applyFont="1" applyBorder="1" applyAlignment="1">
      <alignment horizontal="center"/>
    </xf>
    <xf numFmtId="3" fontId="2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15" applyFont="1" applyBorder="1" applyAlignment="1">
      <alignment horizontal="center" wrapText="1"/>
    </xf>
    <xf numFmtId="9" fontId="3" fillId="0" borderId="0" xfId="15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9" fontId="3" fillId="0" borderId="0" xfId="15" applyFont="1" applyAlignment="1">
      <alignment horizontal="center"/>
    </xf>
    <xf numFmtId="0" fontId="3" fillId="0" borderId="0" xfId="7" applyFont="1"/>
    <xf numFmtId="0" fontId="25" fillId="0" borderId="56" xfId="4" applyFont="1" applyBorder="1" applyAlignment="1">
      <alignment horizontal="center" vertical="center"/>
    </xf>
    <xf numFmtId="0" fontId="25" fillId="0" borderId="57" xfId="4" applyFont="1" applyBorder="1" applyAlignment="1">
      <alignment horizontal="center" vertical="center"/>
    </xf>
    <xf numFmtId="0" fontId="25" fillId="0" borderId="58" xfId="4" applyFont="1" applyBorder="1" applyAlignment="1">
      <alignment horizontal="center" vertical="center"/>
    </xf>
    <xf numFmtId="3" fontId="23" fillId="0" borderId="38" xfId="4" applyNumberFormat="1" applyFont="1" applyBorder="1" applyAlignment="1">
      <alignment horizontal="center" vertical="center"/>
    </xf>
    <xf numFmtId="165" fontId="25" fillId="0" borderId="59" xfId="4" applyNumberFormat="1" applyFont="1" applyBorder="1" applyAlignment="1">
      <alignment horizontal="center" vertical="center"/>
    </xf>
    <xf numFmtId="165" fontId="25" fillId="0" borderId="56" xfId="4" applyNumberFormat="1" applyFont="1" applyBorder="1" applyAlignment="1">
      <alignment horizontal="center" vertical="center"/>
    </xf>
    <xf numFmtId="165" fontId="25" fillId="0" borderId="57" xfId="4" applyNumberFormat="1" applyFont="1" applyBorder="1" applyAlignment="1">
      <alignment horizontal="center" vertical="center"/>
    </xf>
    <xf numFmtId="165" fontId="25" fillId="0" borderId="58" xfId="4" applyNumberFormat="1" applyFont="1" applyBorder="1" applyAlignment="1">
      <alignment horizontal="center" vertical="center"/>
    </xf>
    <xf numFmtId="0" fontId="8" fillId="0" borderId="51" xfId="2" applyFont="1" applyBorder="1" applyAlignment="1">
      <alignment vertical="center"/>
    </xf>
    <xf numFmtId="0" fontId="20" fillId="0" borderId="0" xfId="19"/>
    <xf numFmtId="0" fontId="8" fillId="5" borderId="21" xfId="1" applyFont="1" applyFill="1" applyBorder="1" applyAlignment="1">
      <alignment horizontal="center" vertical="center"/>
    </xf>
    <xf numFmtId="0" fontId="8" fillId="5" borderId="24" xfId="1" applyFont="1" applyFill="1" applyBorder="1" applyAlignment="1">
      <alignment horizontal="center" vertical="center"/>
    </xf>
    <xf numFmtId="0" fontId="8" fillId="5" borderId="21" xfId="1" applyFont="1" applyFill="1" applyBorder="1" applyAlignment="1">
      <alignment horizontal="center" vertical="center" wrapText="1"/>
    </xf>
    <xf numFmtId="0" fontId="8" fillId="5" borderId="24" xfId="1" applyFont="1" applyFill="1" applyBorder="1" applyAlignment="1">
      <alignment horizontal="center" vertical="center" wrapText="1"/>
    </xf>
    <xf numFmtId="0" fontId="3" fillId="0" borderId="0" xfId="3"/>
    <xf numFmtId="1" fontId="3" fillId="0" borderId="0" xfId="3" applyNumberFormat="1"/>
    <xf numFmtId="0" fontId="3" fillId="0" borderId="0" xfId="4"/>
    <xf numFmtId="0" fontId="23" fillId="0" borderId="38" xfId="4" applyFont="1" applyBorder="1" applyAlignment="1">
      <alignment horizontal="center" vertical="center"/>
    </xf>
    <xf numFmtId="0" fontId="10" fillId="2" borderId="21" xfId="1" applyFont="1" applyFill="1" applyBorder="1" applyAlignment="1">
      <alignment horizontal="center" vertical="center"/>
    </xf>
    <xf numFmtId="0" fontId="10" fillId="2" borderId="24" xfId="1" applyFont="1" applyFill="1" applyBorder="1" applyAlignment="1">
      <alignment horizontal="center" vertical="center"/>
    </xf>
    <xf numFmtId="0" fontId="10" fillId="2" borderId="21" xfId="1" applyFont="1" applyFill="1" applyBorder="1" applyAlignment="1">
      <alignment horizontal="center" vertical="center" wrapText="1"/>
    </xf>
    <xf numFmtId="0" fontId="10" fillId="2" borderId="24" xfId="1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/>
    </xf>
    <xf numFmtId="0" fontId="28" fillId="3" borderId="14" xfId="1" applyFont="1" applyFill="1" applyBorder="1" applyAlignment="1">
      <alignment horizontal="center" vertical="center"/>
    </xf>
    <xf numFmtId="0" fontId="28" fillId="3" borderId="11" xfId="1" applyFont="1" applyFill="1" applyBorder="1" applyAlignment="1">
      <alignment horizontal="center" vertical="center"/>
    </xf>
    <xf numFmtId="0" fontId="8" fillId="0" borderId="0" xfId="0" applyFont="1"/>
    <xf numFmtId="3" fontId="8" fillId="0" borderId="0" xfId="0" applyNumberFormat="1" applyFont="1"/>
    <xf numFmtId="9" fontId="8" fillId="0" borderId="0" xfId="0" applyNumberFormat="1" applyFont="1"/>
    <xf numFmtId="0" fontId="11" fillId="3" borderId="30" xfId="1" quotePrefix="1" applyFont="1" applyFill="1" applyBorder="1" applyAlignment="1">
      <alignment horizontal="center" vertical="center"/>
    </xf>
    <xf numFmtId="0" fontId="11" fillId="3" borderId="42" xfId="1" quotePrefix="1" applyFont="1" applyFill="1" applyBorder="1" applyAlignment="1">
      <alignment horizontal="center" vertical="center"/>
    </xf>
    <xf numFmtId="3" fontId="30" fillId="7" borderId="43" xfId="1" applyNumberFormat="1" applyFont="1" applyFill="1" applyBorder="1" applyAlignment="1">
      <alignment horizontal="right" vertical="center"/>
    </xf>
    <xf numFmtId="3" fontId="30" fillId="7" borderId="44" xfId="1" applyNumberFormat="1" applyFont="1" applyFill="1" applyBorder="1" applyAlignment="1">
      <alignment horizontal="right" vertical="center"/>
    </xf>
    <xf numFmtId="3" fontId="30" fillId="7" borderId="55" xfId="1" applyNumberFormat="1" applyFont="1" applyFill="1" applyBorder="1" applyAlignment="1">
      <alignment horizontal="right" vertical="center"/>
    </xf>
    <xf numFmtId="3" fontId="30" fillId="7" borderId="49" xfId="1" applyNumberFormat="1" applyFont="1" applyFill="1" applyBorder="1" applyAlignment="1">
      <alignment horizontal="right" vertical="center"/>
    </xf>
    <xf numFmtId="9" fontId="8" fillId="0" borderId="0" xfId="15" applyFont="1"/>
    <xf numFmtId="167" fontId="8" fillId="0" borderId="0" xfId="21" applyNumberFormat="1" applyFont="1" applyAlignment="1"/>
    <xf numFmtId="3" fontId="28" fillId="0" borderId="27" xfId="1" applyNumberFormat="1" applyFont="1" applyBorder="1" applyAlignment="1">
      <alignment horizontal="right" vertical="center"/>
    </xf>
    <xf numFmtId="0" fontId="28" fillId="3" borderId="66" xfId="1" applyFont="1" applyFill="1" applyBorder="1" applyAlignment="1">
      <alignment horizontal="center" vertical="center"/>
    </xf>
    <xf numFmtId="0" fontId="28" fillId="3" borderId="66" xfId="1" quotePrefix="1" applyFont="1" applyFill="1" applyBorder="1" applyAlignment="1">
      <alignment horizontal="center" vertical="center"/>
    </xf>
    <xf numFmtId="0" fontId="28" fillId="3" borderId="21" xfId="1" quotePrefix="1" applyFont="1" applyFill="1" applyBorder="1" applyAlignment="1">
      <alignment horizontal="center" vertical="center"/>
    </xf>
    <xf numFmtId="0" fontId="28" fillId="3" borderId="24" xfId="1" applyFont="1" applyFill="1" applyBorder="1" applyAlignment="1">
      <alignment horizontal="center" vertical="center"/>
    </xf>
    <xf numFmtId="0" fontId="28" fillId="3" borderId="22" xfId="1" applyFont="1" applyFill="1" applyBorder="1" applyAlignment="1">
      <alignment horizontal="center" vertical="center"/>
    </xf>
    <xf numFmtId="0" fontId="28" fillId="3" borderId="13" xfId="1" quotePrefix="1" applyFont="1" applyFill="1" applyBorder="1" applyAlignment="1">
      <alignment horizontal="center" vertical="center"/>
    </xf>
    <xf numFmtId="0" fontId="28" fillId="3" borderId="18" xfId="1" quotePrefix="1" applyFont="1" applyFill="1" applyBorder="1" applyAlignment="1">
      <alignment horizontal="center" vertical="center"/>
    </xf>
    <xf numFmtId="0" fontId="28" fillId="3" borderId="28" xfId="1" quotePrefix="1" applyFont="1" applyFill="1" applyBorder="1" applyAlignment="1">
      <alignment horizontal="center" vertical="center"/>
    </xf>
    <xf numFmtId="0" fontId="28" fillId="3" borderId="61" xfId="1" quotePrefix="1" applyFont="1" applyFill="1" applyBorder="1" applyAlignment="1">
      <alignment horizontal="center" vertical="center"/>
    </xf>
    <xf numFmtId="0" fontId="28" fillId="3" borderId="42" xfId="1" quotePrefix="1" applyFont="1" applyFill="1" applyBorder="1" applyAlignment="1">
      <alignment horizontal="center" vertical="center"/>
    </xf>
    <xf numFmtId="0" fontId="28" fillId="0" borderId="67" xfId="1" applyFont="1" applyBorder="1" applyAlignment="1">
      <alignment horizontal="right" vertical="center"/>
    </xf>
    <xf numFmtId="0" fontId="28" fillId="3" borderId="65" xfId="1" applyFont="1" applyFill="1" applyBorder="1" applyAlignment="1">
      <alignment horizontal="right" vertical="center"/>
    </xf>
    <xf numFmtId="0" fontId="29" fillId="0" borderId="15" xfId="14" applyFont="1" applyBorder="1" applyAlignment="1">
      <alignment horizontal="center" vertical="center" wrapText="1"/>
    </xf>
    <xf numFmtId="0" fontId="29" fillId="0" borderId="31" xfId="14" applyFont="1" applyBorder="1" applyAlignment="1">
      <alignment horizontal="center" vertical="center" wrapText="1"/>
    </xf>
    <xf numFmtId="0" fontId="29" fillId="0" borderId="18" xfId="14" applyFont="1" applyBorder="1" applyAlignment="1">
      <alignment horizontal="center" vertical="center" wrapText="1"/>
    </xf>
    <xf numFmtId="0" fontId="29" fillId="0" borderId="26" xfId="14" applyFont="1" applyBorder="1" applyAlignment="1">
      <alignment horizontal="center" vertical="center" wrapText="1"/>
    </xf>
    <xf numFmtId="0" fontId="29" fillId="0" borderId="29" xfId="14" applyFont="1" applyBorder="1" applyAlignment="1">
      <alignment horizontal="center" vertical="center" wrapText="1"/>
    </xf>
    <xf numFmtId="0" fontId="29" fillId="0" borderId="61" xfId="14" applyFont="1" applyBorder="1" applyAlignment="1">
      <alignment horizontal="center" vertical="center" wrapText="1"/>
    </xf>
    <xf numFmtId="0" fontId="29" fillId="0" borderId="20" xfId="14" applyFont="1" applyBorder="1" applyAlignment="1">
      <alignment horizontal="center" vertical="center" wrapText="1"/>
    </xf>
    <xf numFmtId="0" fontId="29" fillId="0" borderId="21" xfId="14" applyFont="1" applyBorder="1" applyAlignment="1">
      <alignment horizontal="center" vertical="center" wrapText="1"/>
    </xf>
    <xf numFmtId="0" fontId="29" fillId="0" borderId="33" xfId="14" applyFont="1" applyBorder="1" applyAlignment="1">
      <alignment horizontal="center" vertical="center" wrapText="1"/>
    </xf>
    <xf numFmtId="0" fontId="29" fillId="0" borderId="24" xfId="14" applyFont="1" applyBorder="1" applyAlignment="1">
      <alignment horizontal="center" vertical="center" wrapText="1"/>
    </xf>
    <xf numFmtId="9" fontId="28" fillId="3" borderId="65" xfId="1" applyNumberFormat="1" applyFont="1" applyFill="1" applyBorder="1" applyAlignment="1">
      <alignment horizontal="right" vertical="center"/>
    </xf>
    <xf numFmtId="9" fontId="28" fillId="3" borderId="18" xfId="1" applyNumberFormat="1" applyFont="1" applyFill="1" applyBorder="1" applyAlignment="1">
      <alignment horizontal="right" vertical="center"/>
    </xf>
    <xf numFmtId="3" fontId="28" fillId="3" borderId="27" xfId="1" quotePrefix="1" applyNumberFormat="1" applyFont="1" applyFill="1" applyBorder="1" applyAlignment="1">
      <alignment horizontal="center" vertical="center"/>
    </xf>
    <xf numFmtId="3" fontId="28" fillId="3" borderId="12" xfId="1" quotePrefix="1" applyNumberFormat="1" applyFont="1" applyFill="1" applyBorder="1" applyAlignment="1">
      <alignment horizontal="center" vertical="center"/>
    </xf>
    <xf numFmtId="3" fontId="29" fillId="0" borderId="33" xfId="14" applyNumberFormat="1" applyFont="1" applyBorder="1" applyAlignment="1">
      <alignment horizontal="center" vertical="center" wrapText="1"/>
    </xf>
    <xf numFmtId="3" fontId="29" fillId="0" borderId="29" xfId="14" applyNumberFormat="1" applyFont="1" applyBorder="1" applyAlignment="1">
      <alignment horizontal="center" vertical="center" wrapText="1"/>
    </xf>
    <xf numFmtId="3" fontId="29" fillId="0" borderId="15" xfId="14" applyNumberFormat="1" applyFont="1" applyBorder="1" applyAlignment="1">
      <alignment horizontal="center" vertical="center" wrapText="1"/>
    </xf>
    <xf numFmtId="3" fontId="29" fillId="0" borderId="31" xfId="14" applyNumberFormat="1" applyFont="1" applyBorder="1" applyAlignment="1">
      <alignment horizontal="center" vertical="center" wrapText="1"/>
    </xf>
    <xf numFmtId="3" fontId="29" fillId="0" borderId="16" xfId="14" applyNumberFormat="1" applyFont="1" applyBorder="1" applyAlignment="1">
      <alignment horizontal="center" vertical="center" wrapText="1"/>
    </xf>
    <xf numFmtId="0" fontId="3" fillId="0" borderId="0" xfId="7" quotePrefix="1" applyFont="1"/>
    <xf numFmtId="0" fontId="29" fillId="0" borderId="14" xfId="14" applyFont="1" applyBorder="1" applyAlignment="1">
      <alignment horizontal="center" vertical="center" wrapText="1"/>
    </xf>
    <xf numFmtId="3" fontId="28" fillId="3" borderId="22" xfId="1" applyNumberFormat="1" applyFont="1" applyFill="1" applyBorder="1" applyAlignment="1">
      <alignment horizontal="center" vertical="center"/>
    </xf>
    <xf numFmtId="3" fontId="29" fillId="0" borderId="45" xfId="14" applyNumberFormat="1" applyFont="1" applyBorder="1" applyAlignment="1">
      <alignment horizontal="center" vertical="center" wrapText="1"/>
    </xf>
    <xf numFmtId="0" fontId="28" fillId="3" borderId="15" xfId="1" applyFont="1" applyFill="1" applyBorder="1" applyAlignment="1">
      <alignment horizontal="right" vertical="center"/>
    </xf>
    <xf numFmtId="9" fontId="11" fillId="3" borderId="15" xfId="15" quotePrefix="1" applyFont="1" applyFill="1" applyBorder="1" applyAlignment="1">
      <alignment horizontal="center" vertical="center"/>
    </xf>
    <xf numFmtId="9" fontId="11" fillId="3" borderId="30" xfId="15" quotePrefix="1" applyFont="1" applyFill="1" applyBorder="1" applyAlignment="1">
      <alignment horizontal="center" vertical="center"/>
    </xf>
    <xf numFmtId="9" fontId="11" fillId="3" borderId="31" xfId="15" quotePrefix="1" applyFont="1" applyFill="1" applyBorder="1" applyAlignment="1">
      <alignment horizontal="center" vertical="center"/>
    </xf>
    <xf numFmtId="9" fontId="11" fillId="3" borderId="14" xfId="15" applyFont="1" applyFill="1" applyBorder="1" applyAlignment="1">
      <alignment horizontal="center" vertical="center"/>
    </xf>
    <xf numFmtId="0" fontId="29" fillId="0" borderId="8" xfId="14" applyFont="1" applyBorder="1" applyAlignment="1">
      <alignment horizontal="center" vertical="center" wrapText="1"/>
    </xf>
    <xf numFmtId="0" fontId="29" fillId="0" borderId="69" xfId="14" applyFont="1" applyBorder="1" applyAlignment="1">
      <alignment horizontal="center" vertical="center" wrapText="1"/>
    </xf>
    <xf numFmtId="0" fontId="29" fillId="0" borderId="9" xfId="14" applyFont="1" applyBorder="1" applyAlignment="1">
      <alignment horizontal="center" vertical="center" wrapText="1"/>
    </xf>
    <xf numFmtId="0" fontId="28" fillId="3" borderId="30" xfId="1" quotePrefix="1" applyFont="1" applyFill="1" applyBorder="1" applyAlignment="1">
      <alignment horizontal="center" vertical="center"/>
    </xf>
    <xf numFmtId="3" fontId="28" fillId="3" borderId="65" xfId="1" applyNumberFormat="1" applyFont="1" applyFill="1" applyBorder="1" applyAlignment="1">
      <alignment horizontal="right" vertical="center"/>
    </xf>
    <xf numFmtId="3" fontId="28" fillId="3" borderId="27" xfId="1" applyNumberFormat="1" applyFont="1" applyFill="1" applyBorder="1" applyAlignment="1">
      <alignment horizontal="right" vertical="center"/>
    </xf>
    <xf numFmtId="0" fontId="0" fillId="0" borderId="44" xfId="0" applyBorder="1"/>
    <xf numFmtId="9" fontId="11" fillId="3" borderId="17" xfId="15" quotePrefix="1" applyFont="1" applyFill="1" applyBorder="1" applyAlignment="1">
      <alignment horizontal="center" vertical="center"/>
    </xf>
    <xf numFmtId="3" fontId="11" fillId="3" borderId="54" xfId="1" quotePrefix="1" applyNumberFormat="1" applyFont="1" applyFill="1" applyBorder="1" applyAlignment="1">
      <alignment horizontal="center" vertical="center"/>
    </xf>
    <xf numFmtId="1" fontId="11" fillId="3" borderId="15" xfId="1" quotePrefix="1" applyNumberFormat="1" applyFont="1" applyFill="1" applyBorder="1" applyAlignment="1">
      <alignment horizontal="center" vertical="center"/>
    </xf>
    <xf numFmtId="1" fontId="11" fillId="3" borderId="30" xfId="1" quotePrefix="1" applyNumberFormat="1" applyFont="1" applyFill="1" applyBorder="1" applyAlignment="1">
      <alignment horizontal="center" vertical="center"/>
    </xf>
    <xf numFmtId="1" fontId="11" fillId="3" borderId="17" xfId="1" quotePrefix="1" applyNumberFormat="1" applyFont="1" applyFill="1" applyBorder="1" applyAlignment="1">
      <alignment horizontal="center" vertical="center"/>
    </xf>
    <xf numFmtId="1" fontId="11" fillId="3" borderId="31" xfId="1" quotePrefix="1" applyNumberFormat="1" applyFont="1" applyFill="1" applyBorder="1" applyAlignment="1">
      <alignment horizontal="center" vertical="center"/>
    </xf>
    <xf numFmtId="1" fontId="11" fillId="3" borderId="42" xfId="1" quotePrefix="1" applyNumberFormat="1" applyFont="1" applyFill="1" applyBorder="1" applyAlignment="1">
      <alignment horizontal="center" vertical="center"/>
    </xf>
    <xf numFmtId="1" fontId="11" fillId="3" borderId="41" xfId="1" quotePrefix="1" applyNumberFormat="1" applyFont="1" applyFill="1" applyBorder="1" applyAlignment="1">
      <alignment horizontal="center" vertical="center"/>
    </xf>
    <xf numFmtId="1" fontId="11" fillId="3" borderId="11" xfId="1" applyNumberFormat="1" applyFont="1" applyFill="1" applyBorder="1" applyAlignment="1">
      <alignment horizontal="center" vertical="center"/>
    </xf>
    <xf numFmtId="1" fontId="11" fillId="3" borderId="14" xfId="1" applyNumberFormat="1" applyFont="1" applyFill="1" applyBorder="1" applyAlignment="1">
      <alignment horizontal="center" vertical="center"/>
    </xf>
    <xf numFmtId="1" fontId="28" fillId="3" borderId="17" xfId="1" quotePrefix="1" applyNumberFormat="1" applyFont="1" applyFill="1" applyBorder="1" applyAlignment="1">
      <alignment horizontal="center" vertical="center"/>
    </xf>
    <xf numFmtId="1" fontId="29" fillId="0" borderId="23" xfId="12" applyNumberFormat="1" applyFont="1" applyBorder="1" applyAlignment="1">
      <alignment horizontal="center" vertical="center" wrapText="1"/>
    </xf>
    <xf numFmtId="1" fontId="29" fillId="0" borderId="17" xfId="12" applyNumberFormat="1" applyFont="1" applyBorder="1" applyAlignment="1">
      <alignment horizontal="center" vertical="center" wrapText="1"/>
    </xf>
    <xf numFmtId="1" fontId="28" fillId="3" borderId="30" xfId="1" quotePrefix="1" applyNumberFormat="1" applyFont="1" applyFill="1" applyBorder="1" applyAlignment="1">
      <alignment horizontal="center" vertical="center"/>
    </xf>
    <xf numFmtId="1" fontId="28" fillId="3" borderId="60" xfId="1" quotePrefix="1" applyNumberFormat="1" applyFont="1" applyFill="1" applyBorder="1" applyAlignment="1">
      <alignment horizontal="center" vertical="center"/>
    </xf>
    <xf numFmtId="3" fontId="28" fillId="3" borderId="26" xfId="1" quotePrefix="1" applyNumberFormat="1" applyFont="1" applyFill="1" applyBorder="1" applyAlignment="1">
      <alignment horizontal="center" vertical="center"/>
    </xf>
    <xf numFmtId="3" fontId="28" fillId="3" borderId="61" xfId="1" applyNumberFormat="1" applyFont="1" applyFill="1" applyBorder="1" applyAlignment="1">
      <alignment horizontal="right" vertical="center"/>
    </xf>
    <xf numFmtId="10" fontId="0" fillId="0" borderId="0" xfId="0" applyNumberFormat="1"/>
    <xf numFmtId="0" fontId="7" fillId="0" borderId="0" xfId="3" applyFont="1" applyAlignment="1">
      <alignment horizontal="left" vertical="center"/>
    </xf>
    <xf numFmtId="0" fontId="3" fillId="6" borderId="0" xfId="0" applyFont="1" applyFill="1"/>
    <xf numFmtId="3" fontId="28" fillId="3" borderId="11" xfId="1" quotePrefix="1" applyNumberFormat="1" applyFont="1" applyFill="1" applyBorder="1" applyAlignment="1">
      <alignment horizontal="center" vertical="center"/>
    </xf>
    <xf numFmtId="3" fontId="28" fillId="3" borderId="20" xfId="1" applyNumberFormat="1" applyFont="1" applyFill="1" applyBorder="1" applyAlignment="1">
      <alignment horizontal="center" vertical="center"/>
    </xf>
    <xf numFmtId="3" fontId="30" fillId="7" borderId="19" xfId="1" applyNumberFormat="1" applyFont="1" applyFill="1" applyBorder="1" applyAlignment="1">
      <alignment horizontal="right" vertical="center"/>
    </xf>
    <xf numFmtId="1" fontId="28" fillId="3" borderId="14" xfId="1" applyNumberFormat="1" applyFont="1" applyFill="1" applyBorder="1" applyAlignment="1">
      <alignment horizontal="right" vertical="center"/>
    </xf>
    <xf numFmtId="1" fontId="28" fillId="3" borderId="30" xfId="1" applyNumberFormat="1" applyFont="1" applyFill="1" applyBorder="1" applyAlignment="1">
      <alignment horizontal="right" vertical="center"/>
    </xf>
    <xf numFmtId="0" fontId="28" fillId="3" borderId="32" xfId="1" applyFont="1" applyFill="1" applyBorder="1" applyAlignment="1">
      <alignment horizontal="center" vertical="center"/>
    </xf>
    <xf numFmtId="0" fontId="10" fillId="2" borderId="32" xfId="1" applyFont="1" applyFill="1" applyBorder="1" applyAlignment="1">
      <alignment horizontal="center" vertical="center"/>
    </xf>
    <xf numFmtId="1" fontId="28" fillId="3" borderId="28" xfId="1" quotePrefix="1" applyNumberFormat="1" applyFont="1" applyFill="1" applyBorder="1" applyAlignment="1">
      <alignment horizontal="center" vertical="center"/>
    </xf>
    <xf numFmtId="1" fontId="29" fillId="0" borderId="32" xfId="12" applyNumberFormat="1" applyFont="1" applyBorder="1" applyAlignment="1">
      <alignment horizontal="center" vertical="center" wrapText="1"/>
    </xf>
    <xf numFmtId="1" fontId="29" fillId="0" borderId="30" xfId="12" applyNumberFormat="1" applyFont="1" applyBorder="1" applyAlignment="1">
      <alignment horizontal="center" vertical="center" wrapText="1"/>
    </xf>
    <xf numFmtId="1" fontId="28" fillId="3" borderId="13" xfId="1" quotePrefix="1" applyNumberFormat="1" applyFont="1" applyFill="1" applyBorder="1" applyAlignment="1">
      <alignment horizontal="center" vertical="center"/>
    </xf>
    <xf numFmtId="1" fontId="28" fillId="3" borderId="18" xfId="1" quotePrefix="1" applyNumberFormat="1" applyFont="1" applyFill="1" applyBorder="1" applyAlignment="1">
      <alignment horizontal="center" vertical="center"/>
    </xf>
    <xf numFmtId="1" fontId="29" fillId="0" borderId="24" xfId="12" applyNumberFormat="1" applyFont="1" applyBorder="1" applyAlignment="1">
      <alignment horizontal="center" vertical="center" wrapText="1"/>
    </xf>
    <xf numFmtId="1" fontId="29" fillId="0" borderId="18" xfId="12" applyNumberFormat="1" applyFont="1" applyBorder="1" applyAlignment="1">
      <alignment horizontal="center" vertical="center" wrapText="1"/>
    </xf>
    <xf numFmtId="0" fontId="10" fillId="2" borderId="22" xfId="1" applyFont="1" applyFill="1" applyBorder="1" applyAlignment="1">
      <alignment horizontal="center" vertical="center" wrapText="1"/>
    </xf>
    <xf numFmtId="0" fontId="10" fillId="2" borderId="23" xfId="1" applyFont="1" applyFill="1" applyBorder="1" applyAlignment="1">
      <alignment horizontal="center" vertical="center" wrapText="1"/>
    </xf>
    <xf numFmtId="3" fontId="30" fillId="7" borderId="48" xfId="1" applyNumberFormat="1" applyFont="1" applyFill="1" applyBorder="1" applyAlignment="1">
      <alignment horizontal="right" vertical="center"/>
    </xf>
    <xf numFmtId="1" fontId="28" fillId="3" borderId="31" xfId="1" applyNumberFormat="1" applyFont="1" applyFill="1" applyBorder="1" applyAlignment="1">
      <alignment horizontal="right" vertical="center"/>
    </xf>
    <xf numFmtId="9" fontId="28" fillId="3" borderId="31" xfId="1" applyNumberFormat="1" applyFont="1" applyFill="1" applyBorder="1" applyAlignment="1">
      <alignment horizontal="right" vertical="center"/>
    </xf>
    <xf numFmtId="1" fontId="28" fillId="3" borderId="18" xfId="1" applyNumberFormat="1" applyFont="1" applyFill="1" applyBorder="1" applyAlignment="1">
      <alignment horizontal="right" vertical="center"/>
    </xf>
    <xf numFmtId="0" fontId="8" fillId="5" borderId="23" xfId="1" applyFont="1" applyFill="1" applyBorder="1" applyAlignment="1">
      <alignment horizontal="center" vertical="center"/>
    </xf>
    <xf numFmtId="3" fontId="32" fillId="0" borderId="12" xfId="12" applyNumberFormat="1" applyFont="1" applyBorder="1" applyAlignment="1">
      <alignment horizontal="center" vertical="center" wrapText="1"/>
    </xf>
    <xf numFmtId="3" fontId="32" fillId="0" borderId="13" xfId="12" applyNumberFormat="1" applyFont="1" applyBorder="1" applyAlignment="1">
      <alignment horizontal="center" vertical="center" wrapText="1"/>
    </xf>
    <xf numFmtId="3" fontId="32" fillId="0" borderId="4" xfId="12" applyNumberFormat="1" applyFont="1" applyBorder="1" applyAlignment="1">
      <alignment horizontal="center" vertical="center" wrapText="1"/>
    </xf>
    <xf numFmtId="3" fontId="32" fillId="0" borderId="21" xfId="12" applyNumberFormat="1" applyFont="1" applyBorder="1" applyAlignment="1">
      <alignment horizontal="center" vertical="center" wrapText="1"/>
    </xf>
    <xf numFmtId="3" fontId="32" fillId="0" borderId="24" xfId="12" applyNumberFormat="1" applyFont="1" applyBorder="1" applyAlignment="1">
      <alignment horizontal="center" vertical="center" wrapText="1"/>
    </xf>
    <xf numFmtId="3" fontId="32" fillId="0" borderId="22" xfId="12" applyNumberFormat="1" applyFont="1" applyBorder="1" applyAlignment="1">
      <alignment horizontal="center" vertical="center" wrapText="1"/>
    </xf>
    <xf numFmtId="3" fontId="32" fillId="0" borderId="26" xfId="12" applyNumberFormat="1" applyFont="1" applyBorder="1" applyAlignment="1">
      <alignment horizontal="center" vertical="center" wrapText="1"/>
    </xf>
    <xf numFmtId="3" fontId="32" fillId="0" borderId="61" xfId="12" applyNumberFormat="1" applyFont="1" applyBorder="1" applyAlignment="1">
      <alignment horizontal="center" vertical="center" wrapText="1"/>
    </xf>
    <xf numFmtId="3" fontId="32" fillId="0" borderId="27" xfId="12" applyNumberFormat="1" applyFont="1" applyBorder="1" applyAlignment="1">
      <alignment horizontal="center" vertical="center" wrapText="1"/>
    </xf>
    <xf numFmtId="3" fontId="32" fillId="0" borderId="15" xfId="12" applyNumberFormat="1" applyFont="1" applyBorder="1" applyAlignment="1">
      <alignment horizontal="center" vertical="center" wrapText="1"/>
    </xf>
    <xf numFmtId="3" fontId="32" fillId="0" borderId="18" xfId="12" applyNumberFormat="1" applyFont="1" applyBorder="1" applyAlignment="1">
      <alignment horizontal="center" vertical="center" wrapText="1"/>
    </xf>
    <xf numFmtId="3" fontId="32" fillId="0" borderId="16" xfId="12" applyNumberFormat="1" applyFont="1" applyBorder="1" applyAlignment="1">
      <alignment horizontal="center" vertical="center" wrapText="1"/>
    </xf>
    <xf numFmtId="3" fontId="32" fillId="0" borderId="32" xfId="12" applyNumberFormat="1" applyFont="1" applyBorder="1" applyAlignment="1">
      <alignment horizontal="center" vertical="center" wrapText="1"/>
    </xf>
    <xf numFmtId="3" fontId="32" fillId="0" borderId="60" xfId="12" applyNumberFormat="1" applyFont="1" applyBorder="1" applyAlignment="1">
      <alignment horizontal="center" vertical="center" wrapText="1"/>
    </xf>
    <xf numFmtId="3" fontId="32" fillId="0" borderId="23" xfId="12" applyNumberFormat="1" applyFont="1" applyBorder="1" applyAlignment="1">
      <alignment horizontal="center" vertical="center" wrapText="1"/>
    </xf>
    <xf numFmtId="3" fontId="32" fillId="0" borderId="24" xfId="12" quotePrefix="1" applyNumberFormat="1" applyFont="1" applyBorder="1" applyAlignment="1">
      <alignment horizontal="center" vertical="center" wrapText="1"/>
    </xf>
    <xf numFmtId="9" fontId="32" fillId="0" borderId="15" xfId="15" applyFont="1" applyFill="1" applyBorder="1" applyAlignment="1" applyProtection="1">
      <alignment horizontal="center" vertical="center" wrapText="1"/>
    </xf>
    <xf numFmtId="9" fontId="32" fillId="0" borderId="18" xfId="15" applyFont="1" applyFill="1" applyBorder="1" applyAlignment="1" applyProtection="1">
      <alignment horizontal="center" vertical="center" wrapText="1"/>
    </xf>
    <xf numFmtId="9" fontId="32" fillId="0" borderId="16" xfId="15" applyFont="1" applyFill="1" applyBorder="1" applyAlignment="1" applyProtection="1">
      <alignment horizontal="center" vertical="center" wrapText="1"/>
    </xf>
    <xf numFmtId="3" fontId="11" fillId="3" borderId="17" xfId="1" quotePrefix="1" applyNumberFormat="1" applyFont="1" applyFill="1" applyBorder="1" applyAlignment="1">
      <alignment horizontal="center" vertical="center"/>
    </xf>
    <xf numFmtId="3" fontId="11" fillId="5" borderId="5" xfId="1" applyNumberFormat="1" applyFont="1" applyFill="1" applyBorder="1" applyAlignment="1">
      <alignment horizontal="center" vertical="center"/>
    </xf>
    <xf numFmtId="168" fontId="3" fillId="0" borderId="0" xfId="3" applyNumberFormat="1"/>
    <xf numFmtId="169" fontId="3" fillId="0" borderId="0" xfId="3" applyNumberFormat="1"/>
    <xf numFmtId="3" fontId="32" fillId="0" borderId="17" xfId="12" applyNumberFormat="1" applyFont="1" applyBorder="1" applyAlignment="1">
      <alignment horizontal="center" vertical="center" wrapText="1"/>
    </xf>
    <xf numFmtId="3" fontId="32" fillId="5" borderId="49" xfId="12" applyNumberFormat="1" applyFont="1" applyFill="1" applyBorder="1" applyAlignment="1">
      <alignment horizontal="center" vertical="center" wrapText="1"/>
    </xf>
    <xf numFmtId="3" fontId="32" fillId="0" borderId="42" xfId="12" applyNumberFormat="1" applyFont="1" applyBorder="1" applyAlignment="1">
      <alignment horizontal="center" vertical="center" wrapText="1"/>
    </xf>
    <xf numFmtId="3" fontId="0" fillId="0" borderId="0" xfId="0" applyNumberFormat="1"/>
    <xf numFmtId="49" fontId="3" fillId="0" borderId="0" xfId="0" applyNumberFormat="1" applyFont="1" applyAlignment="1">
      <alignment horizontal="center"/>
    </xf>
    <xf numFmtId="9" fontId="3" fillId="0" borderId="0" xfId="15" applyFont="1" applyAlignment="1">
      <alignment horizontal="center" wrapText="1"/>
    </xf>
    <xf numFmtId="16" fontId="0" fillId="0" borderId="0" xfId="0" applyNumberFormat="1"/>
    <xf numFmtId="9" fontId="0" fillId="0" borderId="0" xfId="0" applyNumberFormat="1"/>
    <xf numFmtId="3" fontId="11" fillId="3" borderId="15" xfId="1" applyNumberFormat="1" applyFont="1" applyFill="1" applyBorder="1" applyAlignment="1">
      <alignment horizontal="center" vertical="center"/>
    </xf>
    <xf numFmtId="3" fontId="11" fillId="3" borderId="31" xfId="1" applyNumberFormat="1" applyFont="1" applyFill="1" applyBorder="1" applyAlignment="1">
      <alignment horizontal="center" vertical="center"/>
    </xf>
    <xf numFmtId="3" fontId="11" fillId="5" borderId="1" xfId="1" applyNumberFormat="1" applyFont="1" applyFill="1" applyBorder="1" applyAlignment="1">
      <alignment horizontal="center" vertical="center"/>
    </xf>
    <xf numFmtId="3" fontId="11" fillId="5" borderId="39" xfId="1" applyNumberFormat="1" applyFont="1" applyFill="1" applyBorder="1" applyAlignment="1">
      <alignment horizontal="center" vertical="center"/>
    </xf>
    <xf numFmtId="3" fontId="11" fillId="5" borderId="40" xfId="1" applyNumberFormat="1" applyFont="1" applyFill="1" applyBorder="1" applyAlignment="1">
      <alignment horizontal="center" vertical="center"/>
    </xf>
    <xf numFmtId="3" fontId="11" fillId="3" borderId="12" xfId="1" applyNumberFormat="1" applyFont="1" applyFill="1" applyBorder="1" applyAlignment="1">
      <alignment horizontal="center" vertical="center"/>
    </xf>
    <xf numFmtId="3" fontId="11" fillId="3" borderId="42" xfId="1" applyNumberFormat="1" applyFont="1" applyFill="1" applyBorder="1" applyAlignment="1">
      <alignment horizontal="center" vertical="center"/>
    </xf>
    <xf numFmtId="3" fontId="11" fillId="3" borderId="41" xfId="1" applyNumberFormat="1" applyFont="1" applyFill="1" applyBorder="1" applyAlignment="1">
      <alignment horizontal="center" vertical="center"/>
    </xf>
    <xf numFmtId="0" fontId="11" fillId="3" borderId="15" xfId="1" applyFont="1" applyFill="1" applyBorder="1" applyAlignment="1">
      <alignment horizontal="center" vertical="center"/>
    </xf>
    <xf numFmtId="0" fontId="11" fillId="3" borderId="30" xfId="1" applyFont="1" applyFill="1" applyBorder="1" applyAlignment="1">
      <alignment horizontal="center" vertical="center"/>
    </xf>
    <xf numFmtId="9" fontId="11" fillId="3" borderId="15" xfId="15" applyFont="1" applyFill="1" applyBorder="1" applyAlignment="1">
      <alignment horizontal="center" vertical="center"/>
    </xf>
    <xf numFmtId="9" fontId="11" fillId="3" borderId="30" xfId="15" applyFont="1" applyFill="1" applyBorder="1" applyAlignment="1">
      <alignment horizontal="center" vertical="center"/>
    </xf>
    <xf numFmtId="9" fontId="11" fillId="3" borderId="31" xfId="15" applyFont="1" applyFill="1" applyBorder="1" applyAlignment="1">
      <alignment horizontal="center" vertical="center"/>
    </xf>
    <xf numFmtId="3" fontId="11" fillId="3" borderId="43" xfId="1" applyNumberFormat="1" applyFont="1" applyFill="1" applyBorder="1" applyAlignment="1">
      <alignment horizontal="center" vertical="center"/>
    </xf>
    <xf numFmtId="3" fontId="11" fillId="3" borderId="45" xfId="1" applyNumberFormat="1" applyFont="1" applyFill="1" applyBorder="1" applyAlignment="1">
      <alignment horizontal="center" vertical="center"/>
    </xf>
    <xf numFmtId="3" fontId="11" fillId="5" borderId="64" xfId="1" applyNumberFormat="1" applyFont="1" applyFill="1" applyBorder="1" applyAlignment="1">
      <alignment horizontal="center" vertical="center"/>
    </xf>
    <xf numFmtId="1" fontId="11" fillId="3" borderId="15" xfId="1" applyNumberFormat="1" applyFont="1" applyFill="1" applyBorder="1" applyAlignment="1">
      <alignment horizontal="center" vertical="center"/>
    </xf>
    <xf numFmtId="1" fontId="11" fillId="3" borderId="30" xfId="1" applyNumberFormat="1" applyFont="1" applyFill="1" applyBorder="1" applyAlignment="1">
      <alignment horizontal="center" vertical="center"/>
    </xf>
    <xf numFmtId="1" fontId="11" fillId="3" borderId="17" xfId="1" applyNumberFormat="1" applyFont="1" applyFill="1" applyBorder="1" applyAlignment="1">
      <alignment horizontal="center" vertical="center"/>
    </xf>
    <xf numFmtId="1" fontId="11" fillId="3" borderId="31" xfId="1" applyNumberFormat="1" applyFont="1" applyFill="1" applyBorder="1" applyAlignment="1">
      <alignment horizontal="center" vertical="center"/>
    </xf>
    <xf numFmtId="9" fontId="11" fillId="3" borderId="17" xfId="15" applyFont="1" applyFill="1" applyBorder="1" applyAlignment="1">
      <alignment horizontal="center" vertical="center"/>
    </xf>
    <xf numFmtId="3" fontId="11" fillId="3" borderId="71" xfId="1" applyNumberFormat="1" applyFont="1" applyFill="1" applyBorder="1" applyAlignment="1">
      <alignment horizontal="center" vertical="center"/>
    </xf>
    <xf numFmtId="0" fontId="26" fillId="0" borderId="40" xfId="4" quotePrefix="1" applyFont="1" applyBorder="1" applyAlignment="1">
      <alignment vertical="center" wrapText="1"/>
    </xf>
    <xf numFmtId="0" fontId="8" fillId="0" borderId="0" xfId="7" applyFont="1"/>
    <xf numFmtId="0" fontId="8" fillId="0" borderId="0" xfId="4" applyFont="1"/>
    <xf numFmtId="3" fontId="11" fillId="3" borderId="30" xfId="1" applyNumberFormat="1" applyFont="1" applyFill="1" applyBorder="1" applyAlignment="1">
      <alignment horizontal="center" vertical="center"/>
    </xf>
    <xf numFmtId="3" fontId="11" fillId="3" borderId="17" xfId="1" applyNumberFormat="1" applyFont="1" applyFill="1" applyBorder="1" applyAlignment="1">
      <alignment horizontal="center" vertical="center"/>
    </xf>
    <xf numFmtId="10" fontId="3" fillId="0" borderId="0" xfId="7" applyNumberFormat="1" applyFont="1"/>
    <xf numFmtId="14" fontId="0" fillId="0" borderId="0" xfId="0" applyNumberFormat="1"/>
    <xf numFmtId="3" fontId="3" fillId="0" borderId="0" xfId="7" applyNumberFormat="1" applyFont="1"/>
    <xf numFmtId="0" fontId="28" fillId="3" borderId="16" xfId="1" quotePrefix="1" applyFont="1" applyFill="1" applyBorder="1" applyAlignment="1">
      <alignment horizontal="center" vertical="center"/>
    </xf>
    <xf numFmtId="0" fontId="29" fillId="0" borderId="30" xfId="14" applyFont="1" applyBorder="1" applyAlignment="1">
      <alignment horizontal="center" vertical="center" wrapText="1"/>
    </xf>
    <xf numFmtId="0" fontId="29" fillId="0" borderId="16" xfId="14" applyFont="1" applyBorder="1" applyAlignment="1">
      <alignment horizontal="center" vertical="center" wrapText="1"/>
    </xf>
    <xf numFmtId="0" fontId="29" fillId="0" borderId="43" xfId="14" applyFont="1" applyBorder="1" applyAlignment="1">
      <alignment horizontal="center" vertical="center" wrapText="1"/>
    </xf>
    <xf numFmtId="0" fontId="29" fillId="0" borderId="55" xfId="14" applyFont="1" applyBorder="1" applyAlignment="1">
      <alignment horizontal="center" vertical="center" wrapText="1"/>
    </xf>
    <xf numFmtId="0" fontId="28" fillId="0" borderId="26" xfId="1" applyFont="1" applyBorder="1" applyAlignment="1">
      <alignment horizontal="right" vertical="center"/>
    </xf>
    <xf numFmtId="0" fontId="28" fillId="0" borderId="61" xfId="1" applyFont="1" applyBorder="1" applyAlignment="1">
      <alignment horizontal="right" vertical="center"/>
    </xf>
    <xf numFmtId="0" fontId="28" fillId="0" borderId="28" xfId="1" applyFont="1" applyBorder="1" applyAlignment="1">
      <alignment horizontal="right" vertical="center"/>
    </xf>
    <xf numFmtId="0" fontId="28" fillId="0" borderId="27" xfId="1" applyFont="1" applyBorder="1" applyAlignment="1">
      <alignment horizontal="right" vertical="center"/>
    </xf>
    <xf numFmtId="1" fontId="28" fillId="3" borderId="14" xfId="1" applyNumberFormat="1" applyFont="1" applyFill="1" applyBorder="1" applyAlignment="1">
      <alignment horizontal="center" vertical="center"/>
    </xf>
    <xf numFmtId="1" fontId="29" fillId="0" borderId="19" xfId="14" applyNumberFormat="1" applyFont="1" applyBorder="1" applyAlignment="1">
      <alignment horizontal="center" vertical="center" wrapText="1"/>
    </xf>
    <xf numFmtId="1" fontId="29" fillId="0" borderId="25" xfId="14" applyNumberFormat="1" applyFont="1" applyBorder="1" applyAlignment="1">
      <alignment horizontal="center" vertical="center" wrapText="1"/>
    </xf>
    <xf numFmtId="1" fontId="29" fillId="0" borderId="14" xfId="14" applyNumberFormat="1" applyFont="1" applyBorder="1" applyAlignment="1">
      <alignment horizontal="center" vertical="center" wrapText="1"/>
    </xf>
    <xf numFmtId="1" fontId="29" fillId="0" borderId="20" xfId="14" applyNumberFormat="1" applyFont="1" applyBorder="1" applyAlignment="1">
      <alignment horizontal="center" vertical="center" wrapText="1"/>
    </xf>
    <xf numFmtId="0" fontId="29" fillId="0" borderId="32" xfId="14" applyFont="1" applyBorder="1" applyAlignment="1">
      <alignment horizontal="center" vertical="center" wrapText="1"/>
    </xf>
    <xf numFmtId="0" fontId="29" fillId="0" borderId="22" xfId="14" applyFont="1" applyBorder="1" applyAlignment="1">
      <alignment horizontal="center" vertical="center" wrapText="1"/>
    </xf>
    <xf numFmtId="9" fontId="3" fillId="0" borderId="0" xfId="7" applyNumberFormat="1" applyFont="1"/>
    <xf numFmtId="3" fontId="11" fillId="3" borderId="26" xfId="1" applyNumberFormat="1" applyFont="1" applyFill="1" applyBorder="1" applyAlignment="1">
      <alignment horizontal="center" vertical="center"/>
    </xf>
    <xf numFmtId="3" fontId="11" fillId="3" borderId="29" xfId="1" applyNumberFormat="1" applyFont="1" applyFill="1" applyBorder="1" applyAlignment="1">
      <alignment horizontal="center" vertical="center"/>
    </xf>
    <xf numFmtId="3" fontId="11" fillId="3" borderId="28" xfId="1" applyNumberFormat="1" applyFont="1" applyFill="1" applyBorder="1" applyAlignment="1">
      <alignment horizontal="center" vertical="center"/>
    </xf>
    <xf numFmtId="3" fontId="11" fillId="3" borderId="60" xfId="1" applyNumberFormat="1" applyFont="1" applyFill="1" applyBorder="1" applyAlignment="1">
      <alignment horizontal="center" vertical="center"/>
    </xf>
    <xf numFmtId="3" fontId="32" fillId="0" borderId="8" xfId="12" applyNumberFormat="1" applyFont="1" applyBorder="1" applyAlignment="1">
      <alignment horizontal="center" vertical="center" wrapText="1"/>
    </xf>
    <xf numFmtId="3" fontId="32" fillId="0" borderId="9" xfId="12" applyNumberFormat="1" applyFont="1" applyBorder="1" applyAlignment="1">
      <alignment horizontal="center" vertical="center" wrapText="1"/>
    </xf>
    <xf numFmtId="3" fontId="32" fillId="0" borderId="63" xfId="12" applyNumberFormat="1" applyFont="1" applyBorder="1" applyAlignment="1">
      <alignment horizontal="center" vertical="center" wrapText="1"/>
    </xf>
    <xf numFmtId="3" fontId="32" fillId="0" borderId="74" xfId="12" applyNumberFormat="1" applyFont="1" applyBorder="1" applyAlignment="1">
      <alignment horizontal="center" vertical="center" wrapText="1"/>
    </xf>
    <xf numFmtId="167" fontId="8" fillId="0" borderId="0" xfId="21" applyNumberFormat="1" applyFont="1" applyAlignment="1">
      <alignment horizontal="center"/>
    </xf>
    <xf numFmtId="3" fontId="3" fillId="9" borderId="0" xfId="0" applyNumberFormat="1" applyFont="1" applyFill="1" applyAlignment="1">
      <alignment horizontal="center"/>
    </xf>
    <xf numFmtId="167" fontId="3" fillId="0" borderId="0" xfId="21" applyNumberFormat="1" applyFont="1" applyAlignment="1">
      <alignment horizontal="center"/>
    </xf>
    <xf numFmtId="0" fontId="8" fillId="0" borderId="29" xfId="0" applyFont="1" applyBorder="1" applyAlignment="1">
      <alignment horizontal="left"/>
    </xf>
    <xf numFmtId="0" fontId="23" fillId="0" borderId="29" xfId="0" applyFont="1" applyBorder="1" applyAlignment="1">
      <alignment horizontal="center"/>
    </xf>
    <xf numFmtId="0" fontId="3" fillId="0" borderId="1" xfId="4" applyBorder="1" applyAlignment="1">
      <alignment horizontal="center" vertical="center"/>
    </xf>
    <xf numFmtId="0" fontId="3" fillId="0" borderId="64" xfId="4" applyBorder="1" applyAlignment="1">
      <alignment horizontal="center" vertical="center"/>
    </xf>
    <xf numFmtId="0" fontId="3" fillId="0" borderId="39" xfId="4" applyBorder="1" applyAlignment="1">
      <alignment horizontal="center" vertical="center"/>
    </xf>
    <xf numFmtId="0" fontId="3" fillId="0" borderId="2" xfId="4" applyBorder="1" applyAlignment="1">
      <alignment horizontal="center" vertical="center"/>
    </xf>
    <xf numFmtId="0" fontId="28" fillId="3" borderId="26" xfId="1" quotePrefix="1" applyFont="1" applyFill="1" applyBorder="1" applyAlignment="1">
      <alignment horizontal="center" vertical="center"/>
    </xf>
    <xf numFmtId="3" fontId="28" fillId="3" borderId="63" xfId="1" applyNumberFormat="1" applyFont="1" applyFill="1" applyBorder="1" applyAlignment="1">
      <alignment horizontal="center" vertical="center"/>
    </xf>
    <xf numFmtId="3" fontId="28" fillId="3" borderId="10" xfId="1" applyNumberFormat="1" applyFont="1" applyFill="1" applyBorder="1" applyAlignment="1">
      <alignment horizontal="center" vertical="center"/>
    </xf>
    <xf numFmtId="1" fontId="29" fillId="0" borderId="74" xfId="12" applyNumberFormat="1" applyFont="1" applyBorder="1" applyAlignment="1">
      <alignment horizontal="center" vertical="center" wrapText="1"/>
    </xf>
    <xf numFmtId="1" fontId="29" fillId="0" borderId="9" xfId="12" applyNumberFormat="1" applyFont="1" applyBorder="1" applyAlignment="1">
      <alignment horizontal="center" vertical="center" wrapText="1"/>
    </xf>
    <xf numFmtId="1" fontId="29" fillId="0" borderId="62" xfId="12" applyNumberFormat="1" applyFont="1" applyBorder="1" applyAlignment="1">
      <alignment horizontal="center" vertical="center" wrapText="1"/>
    </xf>
    <xf numFmtId="1" fontId="29" fillId="0" borderId="28" xfId="12" applyNumberFormat="1" applyFont="1" applyBorder="1" applyAlignment="1">
      <alignment horizontal="center" vertical="center" wrapText="1"/>
    </xf>
    <xf numFmtId="1" fontId="29" fillId="0" borderId="61" xfId="12" applyNumberFormat="1" applyFont="1" applyBorder="1" applyAlignment="1">
      <alignment horizontal="center" vertical="center" wrapText="1"/>
    </xf>
    <xf numFmtId="1" fontId="29" fillId="0" borderId="60" xfId="12" applyNumberFormat="1" applyFont="1" applyBorder="1" applyAlignment="1">
      <alignment horizontal="center" vertical="center" wrapText="1"/>
    </xf>
    <xf numFmtId="0" fontId="28" fillId="3" borderId="12" xfId="1" applyFont="1" applyFill="1" applyBorder="1" applyAlignment="1">
      <alignment horizontal="center" vertical="center"/>
    </xf>
    <xf numFmtId="0" fontId="28" fillId="3" borderId="42" xfId="1" applyFont="1" applyFill="1" applyBorder="1" applyAlignment="1">
      <alignment horizontal="center" vertical="center"/>
    </xf>
    <xf numFmtId="0" fontId="28" fillId="3" borderId="13" xfId="1" applyFont="1" applyFill="1" applyBorder="1" applyAlignment="1">
      <alignment horizontal="center" vertical="center"/>
    </xf>
    <xf numFmtId="0" fontId="28" fillId="3" borderId="61" xfId="1" applyFont="1" applyFill="1" applyBorder="1" applyAlignment="1">
      <alignment horizontal="center" vertical="center"/>
    </xf>
    <xf numFmtId="0" fontId="28" fillId="3" borderId="26" xfId="1" applyFont="1" applyFill="1" applyBorder="1" applyAlignment="1">
      <alignment horizontal="center" vertical="center"/>
    </xf>
    <xf numFmtId="3" fontId="11" fillId="0" borderId="15" xfId="1" applyNumberFormat="1" applyFont="1" applyBorder="1" applyAlignment="1">
      <alignment horizontal="center" vertical="center"/>
    </xf>
    <xf numFmtId="3" fontId="11" fillId="0" borderId="30" xfId="1" applyNumberFormat="1" applyFont="1" applyBorder="1" applyAlignment="1">
      <alignment horizontal="center" vertical="center"/>
    </xf>
    <xf numFmtId="3" fontId="11" fillId="0" borderId="31" xfId="1" applyNumberFormat="1" applyFont="1" applyBorder="1" applyAlignment="1">
      <alignment horizontal="center" vertical="center"/>
    </xf>
    <xf numFmtId="3" fontId="11" fillId="0" borderId="14" xfId="1" applyNumberFormat="1" applyFont="1" applyBorder="1" applyAlignment="1">
      <alignment horizontal="center" vertical="center"/>
    </xf>
    <xf numFmtId="3" fontId="11" fillId="0" borderId="17" xfId="1" applyNumberFormat="1" applyFont="1" applyBorder="1" applyAlignment="1">
      <alignment horizontal="center" vertical="center"/>
    </xf>
    <xf numFmtId="3" fontId="11" fillId="0" borderId="26" xfId="1" applyNumberFormat="1" applyFont="1" applyBorder="1" applyAlignment="1">
      <alignment horizontal="center" vertical="center"/>
    </xf>
    <xf numFmtId="3" fontId="11" fillId="0" borderId="28" xfId="1" applyNumberFormat="1" applyFont="1" applyBorder="1" applyAlignment="1">
      <alignment horizontal="center" vertical="center"/>
    </xf>
    <xf numFmtId="3" fontId="11" fillId="0" borderId="29" xfId="1" applyNumberFormat="1" applyFont="1" applyBorder="1" applyAlignment="1">
      <alignment horizontal="center" vertical="center"/>
    </xf>
    <xf numFmtId="3" fontId="11" fillId="0" borderId="25" xfId="1" applyNumberFormat="1" applyFont="1" applyBorder="1" applyAlignment="1">
      <alignment horizontal="center" vertical="center"/>
    </xf>
    <xf numFmtId="3" fontId="11" fillId="0" borderId="60" xfId="1" applyNumberFormat="1" applyFont="1" applyBorder="1" applyAlignment="1">
      <alignment horizontal="center" vertical="center"/>
    </xf>
    <xf numFmtId="3" fontId="29" fillId="0" borderId="69" xfId="14" applyNumberFormat="1" applyFont="1" applyBorder="1" applyAlignment="1">
      <alignment horizontal="center" vertical="center" wrapText="1"/>
    </xf>
    <xf numFmtId="3" fontId="28" fillId="3" borderId="21" xfId="1" applyNumberFormat="1" applyFont="1" applyFill="1" applyBorder="1" applyAlignment="1">
      <alignment horizontal="center" vertical="center"/>
    </xf>
    <xf numFmtId="10" fontId="25" fillId="0" borderId="57" xfId="4" applyNumberFormat="1" applyFont="1" applyBorder="1" applyAlignment="1">
      <alignment horizontal="center" vertical="center"/>
    </xf>
    <xf numFmtId="10" fontId="25" fillId="0" borderId="58" xfId="4" applyNumberFormat="1" applyFont="1" applyBorder="1" applyAlignment="1">
      <alignment horizontal="center" vertical="center"/>
    </xf>
    <xf numFmtId="165" fontId="25" fillId="0" borderId="57" xfId="15" applyNumberFormat="1" applyFont="1" applyBorder="1" applyAlignment="1">
      <alignment horizontal="center" vertical="center"/>
    </xf>
    <xf numFmtId="165" fontId="25" fillId="0" borderId="58" xfId="15" applyNumberFormat="1" applyFont="1" applyBorder="1" applyAlignment="1">
      <alignment horizontal="center" vertical="center"/>
    </xf>
    <xf numFmtId="3" fontId="28" fillId="3" borderId="11" xfId="1" applyNumberFormat="1" applyFont="1" applyFill="1" applyBorder="1" applyAlignment="1">
      <alignment horizontal="center" vertical="center"/>
    </xf>
    <xf numFmtId="0" fontId="8" fillId="0" borderId="47" xfId="4" applyFont="1" applyBorder="1" applyAlignment="1">
      <alignment horizontal="center" vertical="center"/>
    </xf>
    <xf numFmtId="0" fontId="8" fillId="0" borderId="45" xfId="4" applyFont="1" applyBorder="1" applyAlignment="1">
      <alignment horizontal="left"/>
    </xf>
    <xf numFmtId="0" fontId="29" fillId="0" borderId="72" xfId="14" applyFont="1" applyBorder="1" applyAlignment="1">
      <alignment horizontal="center" vertical="center" wrapText="1"/>
    </xf>
    <xf numFmtId="0" fontId="29" fillId="0" borderId="25" xfId="14" applyFont="1" applyBorder="1" applyAlignment="1">
      <alignment horizontal="center" vertical="center" wrapText="1"/>
    </xf>
    <xf numFmtId="0" fontId="18" fillId="0" borderId="0" xfId="4" applyFont="1"/>
    <xf numFmtId="0" fontId="8" fillId="0" borderId="0" xfId="0" applyFont="1" applyAlignment="1">
      <alignment horizontal="center" wrapText="1"/>
    </xf>
    <xf numFmtId="0" fontId="28" fillId="3" borderId="25" xfId="1" applyFont="1" applyFill="1" applyBorder="1" applyAlignment="1">
      <alignment horizontal="center" vertical="center"/>
    </xf>
    <xf numFmtId="0" fontId="28" fillId="3" borderId="28" xfId="1" applyFont="1" applyFill="1" applyBorder="1" applyAlignment="1">
      <alignment horizontal="center" vertical="center"/>
    </xf>
    <xf numFmtId="0" fontId="28" fillId="3" borderId="30" xfId="1" applyFont="1" applyFill="1" applyBorder="1" applyAlignment="1">
      <alignment horizontal="center" vertical="center"/>
    </xf>
    <xf numFmtId="0" fontId="28" fillId="3" borderId="18" xfId="1" applyFont="1" applyFill="1" applyBorder="1" applyAlignment="1">
      <alignment horizontal="center" vertical="center"/>
    </xf>
    <xf numFmtId="0" fontId="28" fillId="3" borderId="15" xfId="1" applyFont="1" applyFill="1" applyBorder="1" applyAlignment="1">
      <alignment horizontal="center" vertical="center"/>
    </xf>
    <xf numFmtId="1" fontId="28" fillId="3" borderId="60" xfId="1" applyNumberFormat="1" applyFont="1" applyFill="1" applyBorder="1" applyAlignment="1">
      <alignment horizontal="center" vertical="center"/>
    </xf>
    <xf numFmtId="1" fontId="28" fillId="3" borderId="61" xfId="1" applyNumberFormat="1" applyFont="1" applyFill="1" applyBorder="1" applyAlignment="1">
      <alignment horizontal="center" vertical="center"/>
    </xf>
    <xf numFmtId="1" fontId="28" fillId="3" borderId="18" xfId="1" applyNumberFormat="1" applyFont="1" applyFill="1" applyBorder="1" applyAlignment="1">
      <alignment horizontal="center" vertical="center"/>
    </xf>
    <xf numFmtId="16" fontId="6" fillId="0" borderId="0" xfId="4" applyNumberFormat="1" applyFont="1" applyAlignment="1">
      <alignment wrapText="1"/>
    </xf>
    <xf numFmtId="9" fontId="3" fillId="0" borderId="0" xfId="15" applyFont="1" applyFill="1" applyAlignment="1">
      <alignment horizontal="center" wrapText="1"/>
    </xf>
    <xf numFmtId="0" fontId="38" fillId="0" borderId="45" xfId="7" applyFont="1" applyBorder="1"/>
    <xf numFmtId="0" fontId="22" fillId="0" borderId="0" xfId="7" applyFont="1"/>
    <xf numFmtId="0" fontId="37" fillId="0" borderId="38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8" fillId="0" borderId="59" xfId="7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 wrapText="1"/>
    </xf>
    <xf numFmtId="3" fontId="39" fillId="0" borderId="12" xfId="0" applyNumberFormat="1" applyFont="1" applyBorder="1" applyAlignment="1">
      <alignment horizontal="center" vertical="center" wrapText="1"/>
    </xf>
    <xf numFmtId="3" fontId="39" fillId="0" borderId="71" xfId="0" applyNumberFormat="1" applyFont="1" applyBorder="1" applyAlignment="1">
      <alignment horizontal="center" vertical="center" wrapText="1"/>
    </xf>
    <xf numFmtId="3" fontId="39" fillId="0" borderId="4" xfId="0" applyNumberFormat="1" applyFont="1" applyBorder="1" applyAlignment="1">
      <alignment horizontal="center" vertical="center" wrapText="1"/>
    </xf>
    <xf numFmtId="3" fontId="3" fillId="0" borderId="25" xfId="7" applyNumberFormat="1" applyFont="1" applyBorder="1" applyAlignment="1">
      <alignment horizontal="center" vertical="center"/>
    </xf>
    <xf numFmtId="0" fontId="37" fillId="0" borderId="49" xfId="0" applyFont="1" applyBorder="1" applyAlignment="1">
      <alignment horizontal="center" vertical="center" wrapText="1"/>
    </xf>
    <xf numFmtId="3" fontId="39" fillId="0" borderId="6" xfId="0" applyNumberFormat="1" applyFont="1" applyBorder="1" applyAlignment="1">
      <alignment horizontal="center" vertical="center" wrapText="1"/>
    </xf>
    <xf numFmtId="3" fontId="39" fillId="0" borderId="53" xfId="0" applyNumberFormat="1" applyFont="1" applyBorder="1" applyAlignment="1">
      <alignment horizontal="center" vertical="center" wrapText="1"/>
    </xf>
    <xf numFmtId="3" fontId="39" fillId="0" borderId="52" xfId="0" applyNumberFormat="1" applyFont="1" applyBorder="1" applyAlignment="1">
      <alignment horizontal="center" vertical="center" wrapText="1"/>
    </xf>
    <xf numFmtId="3" fontId="3" fillId="0" borderId="20" xfId="7" applyNumberFormat="1" applyFont="1" applyBorder="1" applyAlignment="1">
      <alignment horizontal="center" vertical="center"/>
    </xf>
    <xf numFmtId="3" fontId="39" fillId="0" borderId="56" xfId="0" applyNumberFormat="1" applyFont="1" applyBorder="1" applyAlignment="1">
      <alignment horizontal="center" vertical="center" wrapText="1"/>
    </xf>
    <xf numFmtId="3" fontId="39" fillId="0" borderId="57" xfId="0" applyNumberFormat="1" applyFont="1" applyBorder="1" applyAlignment="1">
      <alignment horizontal="center" vertical="center" wrapText="1"/>
    </xf>
    <xf numFmtId="3" fontId="39" fillId="0" borderId="38" xfId="0" applyNumberFormat="1" applyFont="1" applyBorder="1" applyAlignment="1">
      <alignment horizontal="center" vertical="center" wrapText="1"/>
    </xf>
    <xf numFmtId="3" fontId="3" fillId="0" borderId="19" xfId="7" applyNumberFormat="1" applyFont="1" applyBorder="1" applyAlignment="1">
      <alignment horizontal="center" vertical="center"/>
    </xf>
    <xf numFmtId="9" fontId="39" fillId="0" borderId="54" xfId="15" applyFont="1" applyBorder="1" applyAlignment="1">
      <alignment horizontal="center" vertical="center" wrapText="1"/>
    </xf>
    <xf numFmtId="9" fontId="39" fillId="0" borderId="49" xfId="15" applyFont="1" applyBorder="1" applyAlignment="1">
      <alignment horizontal="center" vertical="center" wrapText="1"/>
    </xf>
    <xf numFmtId="9" fontId="3" fillId="0" borderId="19" xfId="15" applyFont="1" applyBorder="1" applyAlignment="1">
      <alignment horizontal="center" vertical="center"/>
    </xf>
    <xf numFmtId="3" fontId="32" fillId="0" borderId="22" xfId="12" quotePrefix="1" applyNumberFormat="1" applyFont="1" applyBorder="1" applyAlignment="1">
      <alignment horizontal="center" vertical="center" wrapText="1"/>
    </xf>
    <xf numFmtId="3" fontId="32" fillId="0" borderId="71" xfId="12" applyNumberFormat="1" applyFont="1" applyBorder="1" applyAlignment="1">
      <alignment horizontal="center" vertical="center" wrapText="1"/>
    </xf>
    <xf numFmtId="3" fontId="32" fillId="0" borderId="62" xfId="12" applyNumberFormat="1" applyFont="1" applyBorder="1" applyAlignment="1">
      <alignment horizontal="center" vertical="center" wrapText="1"/>
    </xf>
    <xf numFmtId="9" fontId="32" fillId="0" borderId="17" xfId="15" applyFont="1" applyFill="1" applyBorder="1" applyAlignment="1" applyProtection="1">
      <alignment horizontal="center" vertical="center" wrapText="1"/>
    </xf>
    <xf numFmtId="3" fontId="32" fillId="0" borderId="23" xfId="12" quotePrefix="1" applyNumberFormat="1" applyFont="1" applyBorder="1" applyAlignment="1">
      <alignment horizontal="center" vertical="center" wrapText="1"/>
    </xf>
    <xf numFmtId="3" fontId="30" fillId="7" borderId="45" xfId="1" applyNumberFormat="1" applyFont="1" applyFill="1" applyBorder="1" applyAlignment="1">
      <alignment horizontal="right" vertical="center"/>
    </xf>
    <xf numFmtId="3" fontId="28" fillId="3" borderId="31" xfId="1" applyNumberFormat="1" applyFont="1" applyFill="1" applyBorder="1" applyAlignment="1">
      <alignment horizontal="right" vertical="center"/>
    </xf>
    <xf numFmtId="3" fontId="28" fillId="3" borderId="18" xfId="1" applyNumberFormat="1" applyFont="1" applyFill="1" applyBorder="1" applyAlignment="1">
      <alignment horizontal="right" vertical="center"/>
    </xf>
    <xf numFmtId="3" fontId="3" fillId="0" borderId="0" xfId="0" quotePrefix="1" applyNumberFormat="1" applyFont="1" applyAlignment="1">
      <alignment horizontal="center"/>
    </xf>
    <xf numFmtId="16" fontId="3" fillId="0" borderId="0" xfId="0" quotePrefix="1" applyNumberFormat="1" applyFont="1" applyAlignment="1">
      <alignment horizontal="center"/>
    </xf>
    <xf numFmtId="3" fontId="30" fillId="5" borderId="56" xfId="1" quotePrefix="1" applyNumberFormat="1" applyFont="1" applyFill="1" applyBorder="1" applyAlignment="1">
      <alignment horizontal="center" vertical="center"/>
    </xf>
    <xf numFmtId="3" fontId="30" fillId="5" borderId="39" xfId="1" quotePrefix="1" applyNumberFormat="1" applyFont="1" applyFill="1" applyBorder="1" applyAlignment="1">
      <alignment horizontal="center" vertical="center"/>
    </xf>
    <xf numFmtId="3" fontId="30" fillId="5" borderId="5" xfId="1" quotePrefix="1" applyNumberFormat="1" applyFont="1" applyFill="1" applyBorder="1" applyAlignment="1">
      <alignment horizontal="center" vertical="center"/>
    </xf>
    <xf numFmtId="1" fontId="30" fillId="5" borderId="68" xfId="1" quotePrefix="1" applyNumberFormat="1" applyFont="1" applyFill="1" applyBorder="1" applyAlignment="1">
      <alignment horizontal="center" vertical="center"/>
    </xf>
    <xf numFmtId="1" fontId="30" fillId="5" borderId="7" xfId="1" quotePrefix="1" applyNumberFormat="1" applyFont="1" applyFill="1" applyBorder="1" applyAlignment="1">
      <alignment horizontal="center" vertical="center"/>
    </xf>
    <xf numFmtId="1" fontId="30" fillId="5" borderId="53" xfId="1" quotePrefix="1" applyNumberFormat="1" applyFont="1" applyFill="1" applyBorder="1" applyAlignment="1">
      <alignment horizontal="center" vertical="center"/>
    </xf>
    <xf numFmtId="1" fontId="30" fillId="5" borderId="52" xfId="1" applyNumberFormat="1" applyFont="1" applyFill="1" applyBorder="1" applyAlignment="1">
      <alignment horizontal="center" vertical="center"/>
    </xf>
    <xf numFmtId="3" fontId="30" fillId="3" borderId="12" xfId="1" applyNumberFormat="1" applyFont="1" applyFill="1" applyBorder="1" applyAlignment="1">
      <alignment horizontal="center" vertical="center"/>
    </xf>
    <xf numFmtId="3" fontId="30" fillId="3" borderId="42" xfId="1" applyNumberFormat="1" applyFont="1" applyFill="1" applyBorder="1" applyAlignment="1">
      <alignment horizontal="center" vertical="center"/>
    </xf>
    <xf numFmtId="0" fontId="30" fillId="3" borderId="42" xfId="1" quotePrefix="1" applyFont="1" applyFill="1" applyBorder="1" applyAlignment="1">
      <alignment horizontal="center" vertical="center"/>
    </xf>
    <xf numFmtId="3" fontId="30" fillId="3" borderId="41" xfId="1" applyNumberFormat="1" applyFont="1" applyFill="1" applyBorder="1" applyAlignment="1">
      <alignment horizontal="center" vertical="center"/>
    </xf>
    <xf numFmtId="3" fontId="30" fillId="3" borderId="11" xfId="1" applyNumberFormat="1" applyFont="1" applyFill="1" applyBorder="1" applyAlignment="1">
      <alignment horizontal="center" vertical="center"/>
    </xf>
    <xf numFmtId="3" fontId="30" fillId="3" borderId="13" xfId="1" applyNumberFormat="1" applyFont="1" applyFill="1" applyBorder="1" applyAlignment="1">
      <alignment horizontal="center" vertical="center"/>
    </xf>
    <xf numFmtId="3" fontId="30" fillId="3" borderId="71" xfId="1" applyNumberFormat="1" applyFont="1" applyFill="1" applyBorder="1" applyAlignment="1">
      <alignment horizontal="center" vertical="center"/>
    </xf>
    <xf numFmtId="3" fontId="30" fillId="3" borderId="4" xfId="1" applyNumberFormat="1" applyFont="1" applyFill="1" applyBorder="1" applyAlignment="1">
      <alignment horizontal="center" vertical="center"/>
    </xf>
    <xf numFmtId="3" fontId="30" fillId="3" borderId="15" xfId="1" applyNumberFormat="1" applyFont="1" applyFill="1" applyBorder="1" applyAlignment="1">
      <alignment horizontal="center" vertical="center"/>
    </xf>
    <xf numFmtId="3" fontId="30" fillId="3" borderId="30" xfId="1" applyNumberFormat="1" applyFont="1" applyFill="1" applyBorder="1" applyAlignment="1">
      <alignment horizontal="center" vertical="center"/>
    </xf>
    <xf numFmtId="0" fontId="30" fillId="3" borderId="15" xfId="1" applyFont="1" applyFill="1" applyBorder="1" applyAlignment="1">
      <alignment horizontal="center" vertical="center"/>
    </xf>
    <xf numFmtId="0" fontId="30" fillId="3" borderId="30" xfId="1" quotePrefix="1" applyFont="1" applyFill="1" applyBorder="1" applyAlignment="1">
      <alignment horizontal="center" vertical="center"/>
    </xf>
    <xf numFmtId="3" fontId="30" fillId="3" borderId="31" xfId="1" applyNumberFormat="1" applyFont="1" applyFill="1" applyBorder="1" applyAlignment="1">
      <alignment horizontal="center" vertical="center"/>
    </xf>
    <xf numFmtId="1" fontId="30" fillId="3" borderId="30" xfId="1" applyNumberFormat="1" applyFont="1" applyFill="1" applyBorder="1" applyAlignment="1">
      <alignment horizontal="center" vertical="center"/>
    </xf>
    <xf numFmtId="1" fontId="30" fillId="3" borderId="18" xfId="1" applyNumberFormat="1" applyFont="1" applyFill="1" applyBorder="1" applyAlignment="1">
      <alignment horizontal="center" vertical="center"/>
    </xf>
    <xf numFmtId="1" fontId="30" fillId="3" borderId="17" xfId="1" applyNumberFormat="1" applyFont="1" applyFill="1" applyBorder="1" applyAlignment="1">
      <alignment horizontal="center" vertical="center"/>
    </xf>
    <xf numFmtId="1" fontId="30" fillId="3" borderId="16" xfId="1" applyNumberFormat="1" applyFont="1" applyFill="1" applyBorder="1" applyAlignment="1">
      <alignment horizontal="center" vertical="center"/>
    </xf>
    <xf numFmtId="9" fontId="30" fillId="3" borderId="30" xfId="15" applyFont="1" applyFill="1" applyBorder="1" applyAlignment="1">
      <alignment horizontal="center" vertical="center"/>
    </xf>
    <xf numFmtId="9" fontId="30" fillId="3" borderId="31" xfId="15" applyFont="1" applyFill="1" applyBorder="1" applyAlignment="1">
      <alignment horizontal="center" vertical="center"/>
    </xf>
    <xf numFmtId="9" fontId="30" fillId="3" borderId="14" xfId="15" applyFont="1" applyFill="1" applyBorder="1" applyAlignment="1">
      <alignment horizontal="center" vertical="center"/>
    </xf>
    <xf numFmtId="9" fontId="30" fillId="3" borderId="18" xfId="15" applyFont="1" applyFill="1" applyBorder="1" applyAlignment="1">
      <alignment horizontal="center" vertical="center"/>
    </xf>
    <xf numFmtId="9" fontId="30" fillId="3" borderId="17" xfId="15" applyFont="1" applyFill="1" applyBorder="1" applyAlignment="1">
      <alignment horizontal="center" vertical="center"/>
    </xf>
    <xf numFmtId="9" fontId="30" fillId="3" borderId="21" xfId="15" applyFont="1" applyFill="1" applyBorder="1" applyAlignment="1">
      <alignment horizontal="center" vertical="center"/>
    </xf>
    <xf numFmtId="3" fontId="30" fillId="3" borderId="44" xfId="1" quotePrefix="1" applyNumberFormat="1" applyFont="1" applyFill="1" applyBorder="1" applyAlignment="1">
      <alignment horizontal="center" vertical="center"/>
    </xf>
    <xf numFmtId="3" fontId="30" fillId="3" borderId="43" xfId="1" quotePrefix="1" applyNumberFormat="1" applyFont="1" applyFill="1" applyBorder="1" applyAlignment="1">
      <alignment horizontal="center" vertical="center"/>
    </xf>
    <xf numFmtId="3" fontId="30" fillId="3" borderId="45" xfId="1" applyNumberFormat="1" applyFont="1" applyFill="1" applyBorder="1" applyAlignment="1">
      <alignment horizontal="center" vertical="center"/>
    </xf>
    <xf numFmtId="0" fontId="30" fillId="3" borderId="45" xfId="1" quotePrefix="1" applyFont="1" applyFill="1" applyBorder="1" applyAlignment="1">
      <alignment horizontal="center" vertical="center"/>
    </xf>
    <xf numFmtId="3" fontId="30" fillId="3" borderId="19" xfId="1" quotePrefix="1" applyNumberFormat="1" applyFont="1" applyFill="1" applyBorder="1" applyAlignment="1">
      <alignment horizontal="center" vertical="center"/>
    </xf>
    <xf numFmtId="3" fontId="30" fillId="3" borderId="55" xfId="1" quotePrefix="1" applyNumberFormat="1" applyFont="1" applyFill="1" applyBorder="1" applyAlignment="1">
      <alignment horizontal="center" vertical="center"/>
    </xf>
    <xf numFmtId="3" fontId="30" fillId="3" borderId="54" xfId="1" quotePrefix="1" applyNumberFormat="1" applyFont="1" applyFill="1" applyBorder="1" applyAlignment="1">
      <alignment horizontal="center" vertical="center"/>
    </xf>
    <xf numFmtId="3" fontId="30" fillId="3" borderId="45" xfId="1" quotePrefix="1" applyNumberFormat="1" applyFont="1" applyFill="1" applyBorder="1" applyAlignment="1">
      <alignment horizontal="center" vertical="center"/>
    </xf>
    <xf numFmtId="1" fontId="30" fillId="5" borderId="43" xfId="1" quotePrefix="1" applyNumberFormat="1" applyFont="1" applyFill="1" applyBorder="1" applyAlignment="1">
      <alignment horizontal="center" vertical="center"/>
    </xf>
    <xf numFmtId="1" fontId="30" fillId="5" borderId="55" xfId="1" quotePrefix="1" applyNumberFormat="1" applyFont="1" applyFill="1" applyBorder="1" applyAlignment="1">
      <alignment horizontal="center" vertical="center"/>
    </xf>
    <xf numFmtId="1" fontId="30" fillId="5" borderId="44" xfId="1" quotePrefix="1" applyNumberFormat="1" applyFont="1" applyFill="1" applyBorder="1" applyAlignment="1">
      <alignment horizontal="center" vertical="center"/>
    </xf>
    <xf numFmtId="1" fontId="30" fillId="5" borderId="54" xfId="1" quotePrefix="1" applyNumberFormat="1" applyFont="1" applyFill="1" applyBorder="1" applyAlignment="1">
      <alignment horizontal="center" vertical="center"/>
    </xf>
    <xf numFmtId="1" fontId="30" fillId="5" borderId="49" xfId="1" applyNumberFormat="1" applyFont="1" applyFill="1" applyBorder="1" applyAlignment="1">
      <alignment horizontal="center" vertical="center"/>
    </xf>
    <xf numFmtId="164" fontId="38" fillId="4" borderId="12" xfId="2" applyNumberFormat="1" applyFont="1" applyFill="1" applyBorder="1" applyAlignment="1">
      <alignment horizontal="center" vertical="center"/>
    </xf>
    <xf numFmtId="164" fontId="38" fillId="4" borderId="4" xfId="2" applyNumberFormat="1" applyFont="1" applyFill="1" applyBorder="1" applyAlignment="1">
      <alignment horizontal="center" vertical="center"/>
    </xf>
    <xf numFmtId="164" fontId="38" fillId="4" borderId="26" xfId="2" applyNumberFormat="1" applyFont="1" applyFill="1" applyBorder="1" applyAlignment="1">
      <alignment horizontal="center" vertical="center"/>
    </xf>
    <xf numFmtId="164" fontId="38" fillId="4" borderId="27" xfId="2" applyNumberFormat="1" applyFont="1" applyFill="1" applyBorder="1" applyAlignment="1">
      <alignment horizontal="center" vertical="center"/>
    </xf>
    <xf numFmtId="164" fontId="38" fillId="4" borderId="8" xfId="2" applyNumberFormat="1" applyFont="1" applyFill="1" applyBorder="1" applyAlignment="1">
      <alignment horizontal="center" vertical="center"/>
    </xf>
    <xf numFmtId="164" fontId="38" fillId="4" borderId="63" xfId="2" applyNumberFormat="1" applyFont="1" applyFill="1" applyBorder="1" applyAlignment="1">
      <alignment horizontal="center" vertical="center"/>
    </xf>
    <xf numFmtId="164" fontId="38" fillId="4" borderId="21" xfId="2" applyNumberFormat="1" applyFont="1" applyFill="1" applyBorder="1" applyAlignment="1">
      <alignment horizontal="center" vertical="center"/>
    </xf>
    <xf numFmtId="164" fontId="38" fillId="4" borderId="22" xfId="2" applyNumberFormat="1" applyFont="1" applyFill="1" applyBorder="1" applyAlignment="1">
      <alignment horizontal="center" vertical="center"/>
    </xf>
    <xf numFmtId="164" fontId="38" fillId="4" borderId="43" xfId="2" applyNumberFormat="1" applyFont="1" applyFill="1" applyBorder="1" applyAlignment="1">
      <alignment horizontal="center" vertical="center"/>
    </xf>
    <xf numFmtId="164" fontId="38" fillId="4" borderId="49" xfId="2" applyNumberFormat="1" applyFont="1" applyFill="1" applyBorder="1" applyAlignment="1">
      <alignment horizontal="center" vertical="center"/>
    </xf>
    <xf numFmtId="0" fontId="3" fillId="0" borderId="0" xfId="3" applyAlignment="1">
      <alignment horizontal="right"/>
    </xf>
    <xf numFmtId="166" fontId="3" fillId="0" borderId="0" xfId="3" applyNumberFormat="1"/>
    <xf numFmtId="164" fontId="8" fillId="4" borderId="15" xfId="2" applyNumberFormat="1" applyFont="1" applyFill="1" applyBorder="1" applyAlignment="1">
      <alignment horizontal="center" vertical="center"/>
    </xf>
    <xf numFmtId="164" fontId="8" fillId="4" borderId="16" xfId="2" applyNumberFormat="1" applyFont="1" applyFill="1" applyBorder="1" applyAlignment="1">
      <alignment horizontal="center" vertical="center"/>
    </xf>
    <xf numFmtId="164" fontId="10" fillId="4" borderId="15" xfId="2" applyNumberFormat="1" applyFont="1" applyFill="1" applyBorder="1" applyAlignment="1">
      <alignment horizontal="center" vertical="center"/>
    </xf>
    <xf numFmtId="164" fontId="10" fillId="4" borderId="16" xfId="2" applyNumberFormat="1" applyFont="1" applyFill="1" applyBorder="1" applyAlignment="1">
      <alignment horizontal="center" vertical="center"/>
    </xf>
    <xf numFmtId="0" fontId="40" fillId="0" borderId="14" xfId="14" applyFont="1" applyBorder="1" applyAlignment="1">
      <alignment horizontal="center" vertical="center" wrapText="1"/>
    </xf>
    <xf numFmtId="0" fontId="40" fillId="0" borderId="11" xfId="14" applyFont="1" applyBorder="1" applyAlignment="1">
      <alignment horizontal="center" vertical="center" wrapText="1"/>
    </xf>
    <xf numFmtId="9" fontId="30" fillId="3" borderId="15" xfId="15" applyFont="1" applyFill="1" applyBorder="1" applyAlignment="1">
      <alignment horizontal="center" vertical="center"/>
    </xf>
    <xf numFmtId="1" fontId="30" fillId="3" borderId="21" xfId="15" applyNumberFormat="1" applyFont="1" applyFill="1" applyBorder="1" applyAlignment="1">
      <alignment horizontal="center" vertical="center"/>
    </xf>
    <xf numFmtId="1" fontId="30" fillId="3" borderId="44" xfId="15" quotePrefix="1" applyNumberFormat="1" applyFont="1" applyFill="1" applyBorder="1" applyAlignment="1">
      <alignment horizontal="center" vertical="center"/>
    </xf>
    <xf numFmtId="1" fontId="30" fillId="3" borderId="43" xfId="15" quotePrefix="1" applyNumberFormat="1" applyFont="1" applyFill="1" applyBorder="1" applyAlignment="1">
      <alignment horizontal="center" vertical="center"/>
    </xf>
    <xf numFmtId="1" fontId="30" fillId="3" borderId="45" xfId="15" applyNumberFormat="1" applyFont="1" applyFill="1" applyBorder="1" applyAlignment="1">
      <alignment horizontal="center" vertical="center"/>
    </xf>
    <xf numFmtId="1" fontId="30" fillId="3" borderId="45" xfId="15" quotePrefix="1" applyNumberFormat="1" applyFont="1" applyFill="1" applyBorder="1" applyAlignment="1">
      <alignment horizontal="center" vertical="center"/>
    </xf>
    <xf numFmtId="1" fontId="30" fillId="3" borderId="19" xfId="15" quotePrefix="1" applyNumberFormat="1" applyFont="1" applyFill="1" applyBorder="1" applyAlignment="1">
      <alignment horizontal="center" vertical="center"/>
    </xf>
    <xf numFmtId="3" fontId="28" fillId="3" borderId="25" xfId="1" applyNumberFormat="1" applyFont="1" applyFill="1" applyBorder="1" applyAlignment="1">
      <alignment horizontal="center" vertical="center"/>
    </xf>
    <xf numFmtId="3" fontId="28" fillId="3" borderId="72" xfId="1" applyNumberFormat="1" applyFont="1" applyFill="1" applyBorder="1" applyAlignment="1">
      <alignment horizontal="center" vertical="center"/>
    </xf>
    <xf numFmtId="0" fontId="30" fillId="3" borderId="20" xfId="1" applyFont="1" applyFill="1" applyBorder="1" applyAlignment="1">
      <alignment horizontal="center" vertical="center"/>
    </xf>
    <xf numFmtId="164" fontId="8" fillId="4" borderId="26" xfId="2" applyNumberFormat="1" applyFont="1" applyFill="1" applyBorder="1" applyAlignment="1">
      <alignment horizontal="center" vertical="center"/>
    </xf>
    <xf numFmtId="164" fontId="8" fillId="4" borderId="27" xfId="2" applyNumberFormat="1" applyFont="1" applyFill="1" applyBorder="1" applyAlignment="1">
      <alignment horizontal="center" vertical="center"/>
    </xf>
    <xf numFmtId="164" fontId="8" fillId="4" borderId="8" xfId="2" applyNumberFormat="1" applyFont="1" applyFill="1" applyBorder="1" applyAlignment="1">
      <alignment horizontal="center" vertical="center"/>
    </xf>
    <xf numFmtId="164" fontId="8" fillId="4" borderId="63" xfId="2" applyNumberFormat="1" applyFont="1" applyFill="1" applyBorder="1" applyAlignment="1">
      <alignment horizontal="center" vertical="center"/>
    </xf>
    <xf numFmtId="0" fontId="40" fillId="0" borderId="20" xfId="14" applyFont="1" applyBorder="1" applyAlignment="1">
      <alignment horizontal="center" vertical="center" wrapText="1"/>
    </xf>
    <xf numFmtId="0" fontId="28" fillId="3" borderId="12" xfId="1" quotePrefix="1" applyFont="1" applyFill="1" applyBorder="1" applyAlignment="1">
      <alignment horizontal="center" vertical="center"/>
    </xf>
    <xf numFmtId="1" fontId="28" fillId="3" borderId="15" xfId="1" quotePrefix="1" applyNumberFormat="1" applyFont="1" applyFill="1" applyBorder="1" applyAlignment="1">
      <alignment horizontal="center" vertical="center"/>
    </xf>
    <xf numFmtId="3" fontId="28" fillId="3" borderId="28" xfId="1" quotePrefix="1" applyNumberFormat="1" applyFont="1" applyFill="1" applyBorder="1" applyAlignment="1">
      <alignment horizontal="center" vertical="center"/>
    </xf>
    <xf numFmtId="3" fontId="29" fillId="0" borderId="21" xfId="14" applyNumberFormat="1" applyFont="1" applyBorder="1" applyAlignment="1">
      <alignment horizontal="center" vertical="center" wrapText="1"/>
    </xf>
    <xf numFmtId="1" fontId="30" fillId="3" borderId="15" xfId="1" applyNumberFormat="1" applyFont="1" applyFill="1" applyBorder="1" applyAlignment="1">
      <alignment horizontal="center" vertical="center"/>
    </xf>
    <xf numFmtId="1" fontId="30" fillId="3" borderId="30" xfId="1" quotePrefix="1" applyNumberFormat="1" applyFont="1" applyFill="1" applyBorder="1" applyAlignment="1">
      <alignment horizontal="center" vertical="center"/>
    </xf>
    <xf numFmtId="3" fontId="11" fillId="0" borderId="21" xfId="1" applyNumberFormat="1" applyFont="1" applyBorder="1" applyAlignment="1">
      <alignment horizontal="center" vertical="center"/>
    </xf>
    <xf numFmtId="3" fontId="11" fillId="0" borderId="32" xfId="1" applyNumberFormat="1" applyFont="1" applyBorder="1" applyAlignment="1">
      <alignment horizontal="center" vertical="center"/>
    </xf>
    <xf numFmtId="3" fontId="11" fillId="0" borderId="33" xfId="1" applyNumberFormat="1" applyFont="1" applyBorder="1" applyAlignment="1">
      <alignment horizontal="center" vertical="center"/>
    </xf>
    <xf numFmtId="3" fontId="11" fillId="0" borderId="20" xfId="1" applyNumberFormat="1" applyFont="1" applyBorder="1" applyAlignment="1">
      <alignment horizontal="center" vertical="center"/>
    </xf>
    <xf numFmtId="14" fontId="3" fillId="0" borderId="0" xfId="7" applyNumberFormat="1" applyFont="1"/>
    <xf numFmtId="0" fontId="28" fillId="3" borderId="15" xfId="1" quotePrefix="1" applyFont="1" applyFill="1" applyBorder="1" applyAlignment="1">
      <alignment horizontal="center" vertical="center"/>
    </xf>
    <xf numFmtId="0" fontId="29" fillId="0" borderId="45" xfId="14" applyFont="1" applyBorder="1" applyAlignment="1">
      <alignment horizontal="center" vertical="center" wrapText="1"/>
    </xf>
    <xf numFmtId="0" fontId="29" fillId="0" borderId="44" xfId="14" applyFont="1" applyBorder="1" applyAlignment="1">
      <alignment horizontal="center" vertical="center" wrapText="1"/>
    </xf>
    <xf numFmtId="0" fontId="29" fillId="0" borderId="49" xfId="14" applyFont="1" applyBorder="1" applyAlignment="1">
      <alignment horizontal="center" vertical="center" wrapText="1"/>
    </xf>
    <xf numFmtId="164" fontId="38" fillId="4" borderId="3" xfId="2" applyNumberFormat="1" applyFont="1" applyFill="1" applyBorder="1" applyAlignment="1">
      <alignment horizontal="center" vertical="center"/>
    </xf>
    <xf numFmtId="164" fontId="38" fillId="4" borderId="75" xfId="2" applyNumberFormat="1" applyFont="1" applyFill="1" applyBorder="1" applyAlignment="1">
      <alignment horizontal="center" vertical="center"/>
    </xf>
    <xf numFmtId="164" fontId="38" fillId="4" borderId="13" xfId="2" applyNumberFormat="1" applyFont="1" applyFill="1" applyBorder="1" applyAlignment="1">
      <alignment horizontal="center" vertical="center"/>
    </xf>
    <xf numFmtId="164" fontId="38" fillId="4" borderId="61" xfId="2" applyNumberFormat="1" applyFont="1" applyFill="1" applyBorder="1" applyAlignment="1">
      <alignment horizontal="center" vertical="center"/>
    </xf>
    <xf numFmtId="0" fontId="40" fillId="0" borderId="48" xfId="14" applyFont="1" applyBorder="1" applyAlignment="1">
      <alignment horizontal="center" vertical="center" wrapText="1"/>
    </xf>
    <xf numFmtId="0" fontId="3" fillId="0" borderId="0" xfId="4" applyAlignment="1">
      <alignment horizontal="center" vertical="center"/>
    </xf>
    <xf numFmtId="0" fontId="8" fillId="0" borderId="0" xfId="4" applyFont="1" applyAlignment="1">
      <alignment vertical="center" wrapText="1"/>
    </xf>
    <xf numFmtId="1" fontId="8" fillId="0" borderId="0" xfId="4" applyNumberFormat="1" applyFont="1" applyAlignment="1">
      <alignment horizontal="right" vertical="center"/>
    </xf>
    <xf numFmtId="0" fontId="8" fillId="0" borderId="0" xfId="4" applyFont="1" applyAlignment="1">
      <alignment horizontal="right" vertical="center"/>
    </xf>
    <xf numFmtId="9" fontId="8" fillId="0" borderId="0" xfId="4" applyNumberFormat="1" applyFont="1" applyAlignment="1">
      <alignment horizontal="right" vertical="center"/>
    </xf>
    <xf numFmtId="165" fontId="8" fillId="0" borderId="0" xfId="4" applyNumberFormat="1" applyFont="1" applyAlignment="1">
      <alignment horizontal="right" vertical="center"/>
    </xf>
    <xf numFmtId="0" fontId="6" fillId="0" borderId="40" xfId="4" applyFont="1" applyBorder="1" applyAlignment="1">
      <alignment wrapText="1"/>
    </xf>
    <xf numFmtId="0" fontId="3" fillId="0" borderId="0" xfId="4" applyAlignment="1">
      <alignment horizontal="right" vertical="center"/>
    </xf>
    <xf numFmtId="1" fontId="3" fillId="0" borderId="0" xfId="4" applyNumberFormat="1" applyAlignment="1">
      <alignment horizontal="center"/>
    </xf>
    <xf numFmtId="1" fontId="3" fillId="0" borderId="0" xfId="4" applyNumberFormat="1" applyAlignment="1">
      <alignment horizontal="right"/>
    </xf>
    <xf numFmtId="164" fontId="38" fillId="4" borderId="6" xfId="2" applyNumberFormat="1" applyFont="1" applyFill="1" applyBorder="1" applyAlignment="1">
      <alignment horizontal="center" vertical="center"/>
    </xf>
    <xf numFmtId="164" fontId="38" fillId="4" borderId="52" xfId="2" applyNumberFormat="1" applyFont="1" applyFill="1" applyBorder="1" applyAlignment="1">
      <alignment horizontal="center" vertical="center"/>
    </xf>
    <xf numFmtId="164" fontId="38" fillId="4" borderId="1" xfId="2" applyNumberFormat="1" applyFont="1" applyFill="1" applyBorder="1" applyAlignment="1">
      <alignment horizontal="center" vertical="center"/>
    </xf>
    <xf numFmtId="164" fontId="38" fillId="4" borderId="47" xfId="2" applyNumberFormat="1" applyFont="1" applyFill="1" applyBorder="1" applyAlignment="1">
      <alignment horizontal="center" vertical="center"/>
    </xf>
    <xf numFmtId="164" fontId="38" fillId="4" borderId="51" xfId="2" applyNumberFormat="1" applyFont="1" applyFill="1" applyBorder="1" applyAlignment="1">
      <alignment horizontal="center" vertical="center"/>
    </xf>
    <xf numFmtId="164" fontId="38" fillId="4" borderId="7" xfId="2" applyNumberFormat="1" applyFont="1" applyFill="1" applyBorder="1" applyAlignment="1">
      <alignment horizontal="center" vertical="center"/>
    </xf>
    <xf numFmtId="164" fontId="38" fillId="10" borderId="44" xfId="2" applyNumberFormat="1" applyFont="1" applyFill="1" applyBorder="1" applyAlignment="1">
      <alignment horizontal="center" vertical="center"/>
    </xf>
    <xf numFmtId="164" fontId="38" fillId="10" borderId="55" xfId="2" applyNumberFormat="1" applyFont="1" applyFill="1" applyBorder="1" applyAlignment="1">
      <alignment horizontal="center" vertical="center"/>
    </xf>
    <xf numFmtId="0" fontId="38" fillId="2" borderId="8" xfId="1" applyFont="1" applyFill="1" applyBorder="1" applyAlignment="1">
      <alignment horizontal="center" vertical="center"/>
    </xf>
    <xf numFmtId="0" fontId="38" fillId="2" borderId="9" xfId="1" applyFont="1" applyFill="1" applyBorder="1" applyAlignment="1">
      <alignment horizontal="center" vertical="center"/>
    </xf>
    <xf numFmtId="0" fontId="38" fillId="2" borderId="8" xfId="1" applyFont="1" applyFill="1" applyBorder="1" applyAlignment="1">
      <alignment horizontal="center" vertical="center" wrapText="1"/>
    </xf>
    <xf numFmtId="0" fontId="38" fillId="2" borderId="9" xfId="1" applyFont="1" applyFill="1" applyBorder="1" applyAlignment="1">
      <alignment horizontal="center" vertical="center" wrapText="1"/>
    </xf>
    <xf numFmtId="0" fontId="38" fillId="2" borderId="21" xfId="1" applyFont="1" applyFill="1" applyBorder="1" applyAlignment="1">
      <alignment horizontal="center" vertical="center"/>
    </xf>
    <xf numFmtId="0" fontId="38" fillId="2" borderId="24" xfId="1" applyFont="1" applyFill="1" applyBorder="1" applyAlignment="1">
      <alignment horizontal="center" vertical="center"/>
    </xf>
    <xf numFmtId="0" fontId="38" fillId="2" borderId="21" xfId="1" applyFont="1" applyFill="1" applyBorder="1" applyAlignment="1">
      <alignment horizontal="center" vertical="center" wrapText="1"/>
    </xf>
    <xf numFmtId="0" fontId="38" fillId="2" borderId="23" xfId="1" applyFont="1" applyFill="1" applyBorder="1" applyAlignment="1">
      <alignment horizontal="center" vertical="center" wrapText="1"/>
    </xf>
    <xf numFmtId="0" fontId="38" fillId="2" borderId="22" xfId="1" applyFont="1" applyFill="1" applyBorder="1" applyAlignment="1">
      <alignment horizontal="center" vertical="center" wrapText="1"/>
    </xf>
    <xf numFmtId="3" fontId="40" fillId="0" borderId="42" xfId="12" applyNumberFormat="1" applyFont="1" applyBorder="1" applyAlignment="1">
      <alignment horizontal="center" vertical="center" wrapText="1"/>
    </xf>
    <xf numFmtId="3" fontId="40" fillId="0" borderId="13" xfId="12" applyNumberFormat="1" applyFont="1" applyBorder="1" applyAlignment="1">
      <alignment horizontal="center" vertical="center" wrapText="1"/>
    </xf>
    <xf numFmtId="3" fontId="40" fillId="0" borderId="12" xfId="12" applyNumberFormat="1" applyFont="1" applyBorder="1" applyAlignment="1">
      <alignment horizontal="center" vertical="center" wrapText="1"/>
    </xf>
    <xf numFmtId="3" fontId="40" fillId="0" borderId="4" xfId="12" applyNumberFormat="1" applyFont="1" applyBorder="1" applyAlignment="1">
      <alignment horizontal="center" vertical="center" wrapText="1"/>
    </xf>
    <xf numFmtId="3" fontId="30" fillId="3" borderId="12" xfId="1" quotePrefix="1" applyNumberFormat="1" applyFont="1" applyFill="1" applyBorder="1" applyAlignment="1">
      <alignment horizontal="center" vertical="center"/>
    </xf>
    <xf numFmtId="3" fontId="30" fillId="3" borderId="42" xfId="1" quotePrefix="1" applyNumberFormat="1" applyFont="1" applyFill="1" applyBorder="1" applyAlignment="1">
      <alignment horizontal="center" vertical="center"/>
    </xf>
    <xf numFmtId="3" fontId="30" fillId="3" borderId="71" xfId="1" quotePrefix="1" applyNumberFormat="1" applyFont="1" applyFill="1" applyBorder="1" applyAlignment="1">
      <alignment horizontal="center" vertical="center"/>
    </xf>
    <xf numFmtId="3" fontId="30" fillId="3" borderId="41" xfId="1" quotePrefix="1" applyNumberFormat="1" applyFont="1" applyFill="1" applyBorder="1" applyAlignment="1">
      <alignment horizontal="center" vertical="center"/>
    </xf>
    <xf numFmtId="3" fontId="40" fillId="0" borderId="28" xfId="12" applyNumberFormat="1" applyFont="1" applyBorder="1" applyAlignment="1">
      <alignment horizontal="center" vertical="center" wrapText="1"/>
    </xf>
    <xf numFmtId="3" fontId="40" fillId="0" borderId="27" xfId="12" applyNumberFormat="1" applyFont="1" applyBorder="1" applyAlignment="1">
      <alignment horizontal="center" vertical="center" wrapText="1"/>
    </xf>
    <xf numFmtId="3" fontId="30" fillId="3" borderId="25" xfId="1" applyNumberFormat="1" applyFont="1" applyFill="1" applyBorder="1" applyAlignment="1">
      <alignment horizontal="center" vertical="center"/>
    </xf>
    <xf numFmtId="3" fontId="40" fillId="0" borderId="24" xfId="12" applyNumberFormat="1" applyFont="1" applyBorder="1" applyAlignment="1">
      <alignment horizontal="center" vertical="center" wrapText="1"/>
    </xf>
    <xf numFmtId="3" fontId="40" fillId="0" borderId="22" xfId="12" applyNumberFormat="1" applyFont="1" applyBorder="1" applyAlignment="1">
      <alignment horizontal="center" vertical="center" wrapText="1"/>
    </xf>
    <xf numFmtId="3" fontId="30" fillId="3" borderId="21" xfId="1" quotePrefix="1" applyNumberFormat="1" applyFont="1" applyFill="1" applyBorder="1" applyAlignment="1">
      <alignment horizontal="center" vertical="center"/>
    </xf>
    <xf numFmtId="3" fontId="30" fillId="3" borderId="20" xfId="1" applyNumberFormat="1" applyFont="1" applyFill="1" applyBorder="1" applyAlignment="1">
      <alignment horizontal="center" vertical="center"/>
    </xf>
    <xf numFmtId="3" fontId="40" fillId="0" borderId="30" xfId="12" applyNumberFormat="1" applyFont="1" applyBorder="1" applyAlignment="1">
      <alignment horizontal="center" vertical="center" wrapText="1"/>
    </xf>
    <xf numFmtId="3" fontId="40" fillId="0" borderId="43" xfId="12" applyNumberFormat="1" applyFont="1" applyBorder="1" applyAlignment="1">
      <alignment horizontal="center" vertical="center" wrapText="1"/>
    </xf>
    <xf numFmtId="3" fontId="40" fillId="0" borderId="55" xfId="12" applyNumberFormat="1" applyFont="1" applyBorder="1" applyAlignment="1">
      <alignment horizontal="center" vertical="center" wrapText="1"/>
    </xf>
    <xf numFmtId="3" fontId="40" fillId="0" borderId="49" xfId="12" applyNumberFormat="1" applyFont="1" applyBorder="1" applyAlignment="1">
      <alignment horizontal="center" vertical="center" wrapText="1"/>
    </xf>
    <xf numFmtId="3" fontId="40" fillId="0" borderId="45" xfId="12" applyNumberFormat="1" applyFont="1" applyBorder="1" applyAlignment="1">
      <alignment horizontal="center" vertical="center" wrapText="1"/>
    </xf>
    <xf numFmtId="3" fontId="40" fillId="0" borderId="54" xfId="12" applyNumberFormat="1" applyFont="1" applyBorder="1" applyAlignment="1">
      <alignment horizontal="center" vertical="center" wrapText="1"/>
    </xf>
    <xf numFmtId="3" fontId="30" fillId="3" borderId="19" xfId="1" applyNumberFormat="1" applyFont="1" applyFill="1" applyBorder="1" applyAlignment="1">
      <alignment horizontal="center" vertical="center"/>
    </xf>
    <xf numFmtId="3" fontId="40" fillId="0" borderId="9" xfId="12" applyNumberFormat="1" applyFont="1" applyBorder="1" applyAlignment="1">
      <alignment horizontal="center" vertical="center" wrapText="1"/>
    </xf>
    <xf numFmtId="3" fontId="40" fillId="0" borderId="63" xfId="12" applyNumberFormat="1" applyFont="1" applyBorder="1" applyAlignment="1">
      <alignment horizontal="center" vertical="center" wrapText="1"/>
    </xf>
    <xf numFmtId="3" fontId="30" fillId="3" borderId="72" xfId="1" applyNumberFormat="1" applyFont="1" applyFill="1" applyBorder="1" applyAlignment="1">
      <alignment horizontal="center" vertical="center"/>
    </xf>
    <xf numFmtId="3" fontId="30" fillId="3" borderId="10" xfId="1" applyNumberFormat="1" applyFont="1" applyFill="1" applyBorder="1" applyAlignment="1">
      <alignment horizontal="center" vertical="center"/>
    </xf>
    <xf numFmtId="0" fontId="40" fillId="10" borderId="48" xfId="12" applyFont="1" applyFill="1" applyBorder="1" applyAlignment="1">
      <alignment horizontal="center" vertical="center"/>
    </xf>
    <xf numFmtId="0" fontId="40" fillId="10" borderId="19" xfId="12" applyFont="1" applyFill="1" applyBorder="1" applyAlignment="1">
      <alignment horizontal="center" vertical="center" wrapText="1"/>
    </xf>
    <xf numFmtId="3" fontId="40" fillId="10" borderId="43" xfId="12" applyNumberFormat="1" applyFont="1" applyFill="1" applyBorder="1" applyAlignment="1">
      <alignment horizontal="center" vertical="center" wrapText="1"/>
    </xf>
    <xf numFmtId="3" fontId="40" fillId="10" borderId="55" xfId="12" applyNumberFormat="1" applyFont="1" applyFill="1" applyBorder="1" applyAlignment="1">
      <alignment horizontal="center" vertical="center" wrapText="1"/>
    </xf>
    <xf numFmtId="3" fontId="40" fillId="10" borderId="49" xfId="12" applyNumberFormat="1" applyFont="1" applyFill="1" applyBorder="1" applyAlignment="1">
      <alignment horizontal="center" vertical="center" wrapText="1"/>
    </xf>
    <xf numFmtId="3" fontId="40" fillId="10" borderId="45" xfId="12" applyNumberFormat="1" applyFont="1" applyFill="1" applyBorder="1" applyAlignment="1">
      <alignment horizontal="center" vertical="center" wrapText="1"/>
    </xf>
    <xf numFmtId="3" fontId="40" fillId="10" borderId="54" xfId="12" applyNumberFormat="1" applyFont="1" applyFill="1" applyBorder="1" applyAlignment="1">
      <alignment horizontal="center" vertical="center" wrapText="1"/>
    </xf>
    <xf numFmtId="3" fontId="30" fillId="10" borderId="19" xfId="1" applyNumberFormat="1" applyFont="1" applyFill="1" applyBorder="1" applyAlignment="1">
      <alignment horizontal="center" vertical="center"/>
    </xf>
    <xf numFmtId="3" fontId="40" fillId="5" borderId="43" xfId="12" applyNumberFormat="1" applyFont="1" applyFill="1" applyBorder="1" applyAlignment="1">
      <alignment horizontal="center" vertical="center" wrapText="1"/>
    </xf>
    <xf numFmtId="3" fontId="40" fillId="5" borderId="55" xfId="12" applyNumberFormat="1" applyFont="1" applyFill="1" applyBorder="1" applyAlignment="1">
      <alignment horizontal="center" vertical="center" wrapText="1"/>
    </xf>
    <xf numFmtId="3" fontId="40" fillId="5" borderId="49" xfId="12" applyNumberFormat="1" applyFont="1" applyFill="1" applyBorder="1" applyAlignment="1">
      <alignment horizontal="center" vertical="center" wrapText="1"/>
    </xf>
    <xf numFmtId="3" fontId="30" fillId="5" borderId="6" xfId="1" quotePrefix="1" applyNumberFormat="1" applyFont="1" applyFill="1" applyBorder="1" applyAlignment="1">
      <alignment horizontal="center" vertical="center"/>
    </xf>
    <xf numFmtId="3" fontId="30" fillId="5" borderId="68" xfId="1" quotePrefix="1" applyNumberFormat="1" applyFont="1" applyFill="1" applyBorder="1" applyAlignment="1">
      <alignment horizontal="center" vertical="center"/>
    </xf>
    <xf numFmtId="3" fontId="30" fillId="5" borderId="54" xfId="1" quotePrefix="1" applyNumberFormat="1" applyFont="1" applyFill="1" applyBorder="1" applyAlignment="1">
      <alignment horizontal="center" vertical="center"/>
    </xf>
    <xf numFmtId="3" fontId="30" fillId="5" borderId="0" xfId="1" quotePrefix="1" applyNumberFormat="1" applyFont="1" applyFill="1" applyAlignment="1">
      <alignment horizontal="center" vertical="center"/>
    </xf>
    <xf numFmtId="3" fontId="30" fillId="5" borderId="10" xfId="1" applyNumberFormat="1" applyFont="1" applyFill="1" applyBorder="1" applyAlignment="1">
      <alignment horizontal="center" vertical="center"/>
    </xf>
    <xf numFmtId="3" fontId="30" fillId="3" borderId="30" xfId="1" quotePrefix="1" applyNumberFormat="1" applyFont="1" applyFill="1" applyBorder="1" applyAlignment="1">
      <alignment horizontal="center" vertical="center"/>
    </xf>
    <xf numFmtId="9" fontId="40" fillId="0" borderId="15" xfId="15" applyFont="1" applyFill="1" applyBorder="1" applyAlignment="1" applyProtection="1">
      <alignment horizontal="center" vertical="center" wrapText="1"/>
    </xf>
    <xf numFmtId="9" fontId="40" fillId="0" borderId="18" xfId="15" applyFont="1" applyFill="1" applyBorder="1" applyAlignment="1" applyProtection="1">
      <alignment horizontal="center" vertical="center" wrapText="1"/>
    </xf>
    <xf numFmtId="9" fontId="40" fillId="0" borderId="16" xfId="15" applyFont="1" applyFill="1" applyBorder="1" applyAlignment="1" applyProtection="1">
      <alignment horizontal="center" vertical="center" wrapText="1"/>
    </xf>
    <xf numFmtId="9" fontId="30" fillId="3" borderId="15" xfId="15" quotePrefix="1" applyFont="1" applyFill="1" applyBorder="1" applyAlignment="1">
      <alignment horizontal="center" vertical="center"/>
    </xf>
    <xf numFmtId="9" fontId="30" fillId="3" borderId="30" xfId="15" quotePrefix="1" applyFont="1" applyFill="1" applyBorder="1" applyAlignment="1">
      <alignment horizontal="center" vertical="center"/>
    </xf>
    <xf numFmtId="9" fontId="30" fillId="3" borderId="17" xfId="15" quotePrefix="1" applyFont="1" applyFill="1" applyBorder="1" applyAlignment="1">
      <alignment horizontal="center" vertical="center"/>
    </xf>
    <xf numFmtId="9" fontId="30" fillId="3" borderId="31" xfId="15" quotePrefix="1" applyFont="1" applyFill="1" applyBorder="1" applyAlignment="1">
      <alignment horizontal="center" vertical="center"/>
    </xf>
    <xf numFmtId="3" fontId="40" fillId="0" borderId="24" xfId="12" quotePrefix="1" applyNumberFormat="1" applyFont="1" applyBorder="1" applyAlignment="1">
      <alignment horizontal="center" vertical="center" wrapText="1"/>
    </xf>
    <xf numFmtId="3" fontId="40" fillId="0" borderId="68" xfId="12" applyNumberFormat="1" applyFont="1" applyBorder="1" applyAlignment="1">
      <alignment horizontal="center" vertical="center" wrapText="1"/>
    </xf>
    <xf numFmtId="3" fontId="40" fillId="0" borderId="74" xfId="12" applyNumberFormat="1" applyFont="1" applyBorder="1" applyAlignment="1">
      <alignment horizontal="center" vertical="center" wrapText="1"/>
    </xf>
    <xf numFmtId="3" fontId="40" fillId="0" borderId="32" xfId="12" applyNumberFormat="1" applyFont="1" applyBorder="1" applyAlignment="1">
      <alignment horizontal="center" vertical="center" wrapText="1"/>
    </xf>
    <xf numFmtId="0" fontId="29" fillId="10" borderId="48" xfId="12" applyFont="1" applyFill="1" applyBorder="1" applyAlignment="1">
      <alignment horizontal="center" vertical="center"/>
    </xf>
    <xf numFmtId="0" fontId="29" fillId="0" borderId="28" xfId="14" applyFont="1" applyBorder="1" applyAlignment="1">
      <alignment horizontal="center" vertical="center" wrapText="1"/>
    </xf>
    <xf numFmtId="0" fontId="29" fillId="0" borderId="27" xfId="14" applyFont="1" applyBorder="1" applyAlignment="1">
      <alignment horizontal="center" vertical="center" wrapText="1"/>
    </xf>
    <xf numFmtId="0" fontId="28" fillId="3" borderId="73" xfId="1" quotePrefix="1" applyFont="1" applyFill="1" applyBorder="1" applyAlignment="1">
      <alignment horizontal="center" vertical="center"/>
    </xf>
    <xf numFmtId="0" fontId="28" fillId="3" borderId="4" xfId="1" quotePrefix="1" applyFont="1" applyFill="1" applyBorder="1" applyAlignment="1">
      <alignment horizontal="center" vertical="center"/>
    </xf>
    <xf numFmtId="1" fontId="28" fillId="3" borderId="11" xfId="1" applyNumberFormat="1" applyFont="1" applyFill="1" applyBorder="1" applyAlignment="1">
      <alignment horizontal="center" vertical="center"/>
    </xf>
    <xf numFmtId="1" fontId="28" fillId="3" borderId="20" xfId="1" applyNumberFormat="1" applyFont="1" applyFill="1" applyBorder="1" applyAlignment="1">
      <alignment horizontal="center" vertical="center"/>
    </xf>
    <xf numFmtId="3" fontId="11" fillId="0" borderId="8" xfId="1" applyNumberFormat="1" applyFont="1" applyBorder="1" applyAlignment="1">
      <alignment horizontal="center" vertical="center"/>
    </xf>
    <xf numFmtId="3" fontId="11" fillId="0" borderId="74" xfId="1" applyNumberFormat="1" applyFont="1" applyBorder="1" applyAlignment="1">
      <alignment horizontal="center" vertical="center"/>
    </xf>
    <xf numFmtId="3" fontId="11" fillId="0" borderId="69" xfId="1" applyNumberFormat="1" applyFont="1" applyBorder="1" applyAlignment="1">
      <alignment horizontal="center" vertical="center"/>
    </xf>
    <xf numFmtId="3" fontId="11" fillId="0" borderId="72" xfId="1" applyNumberFormat="1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3" fontId="28" fillId="3" borderId="49" xfId="1" quotePrefix="1" applyNumberFormat="1" applyFont="1" applyFill="1" applyBorder="1" applyAlignment="1">
      <alignment horizontal="center" vertical="center"/>
    </xf>
    <xf numFmtId="3" fontId="28" fillId="3" borderId="43" xfId="1" quotePrefix="1" applyNumberFormat="1" applyFont="1" applyFill="1" applyBorder="1" applyAlignment="1">
      <alignment horizontal="center" vertical="center"/>
    </xf>
    <xf numFmtId="3" fontId="28" fillId="3" borderId="70" xfId="1" quotePrefix="1" applyNumberFormat="1" applyFont="1" applyFill="1" applyBorder="1" applyAlignment="1">
      <alignment horizontal="center" vertical="center"/>
    </xf>
    <xf numFmtId="3" fontId="28" fillId="3" borderId="55" xfId="1" quotePrefix="1" applyNumberFormat="1" applyFont="1" applyFill="1" applyBorder="1" applyAlignment="1">
      <alignment horizontal="center" vertical="center"/>
    </xf>
    <xf numFmtId="3" fontId="28" fillId="3" borderId="44" xfId="1" quotePrefix="1" applyNumberFormat="1" applyFont="1" applyFill="1" applyBorder="1" applyAlignment="1">
      <alignment horizontal="center" vertical="center"/>
    </xf>
    <xf numFmtId="3" fontId="28" fillId="3" borderId="19" xfId="1" applyNumberFormat="1" applyFont="1" applyFill="1" applyBorder="1" applyAlignment="1">
      <alignment horizontal="center" vertical="center"/>
    </xf>
    <xf numFmtId="3" fontId="28" fillId="3" borderId="67" xfId="1" quotePrefix="1" applyNumberFormat="1" applyFont="1" applyFill="1" applyBorder="1" applyAlignment="1">
      <alignment horizontal="center" vertical="center"/>
    </xf>
    <xf numFmtId="3" fontId="3" fillId="11" borderId="0" xfId="0" applyNumberFormat="1" applyFont="1" applyFill="1" applyAlignment="1">
      <alignment horizontal="center"/>
    </xf>
    <xf numFmtId="0" fontId="10" fillId="2" borderId="33" xfId="1" applyFont="1" applyFill="1" applyBorder="1" applyAlignment="1">
      <alignment horizontal="center" vertical="center"/>
    </xf>
    <xf numFmtId="0" fontId="10" fillId="2" borderId="23" xfId="1" applyFont="1" applyFill="1" applyBorder="1" applyAlignment="1">
      <alignment horizontal="center" vertical="center"/>
    </xf>
    <xf numFmtId="0" fontId="3" fillId="0" borderId="45" xfId="0" applyFont="1" applyBorder="1"/>
    <xf numFmtId="0" fontId="3" fillId="0" borderId="45" xfId="0" applyFont="1" applyBorder="1" applyAlignment="1">
      <alignment horizontal="center"/>
    </xf>
    <xf numFmtId="9" fontId="3" fillId="0" borderId="45" xfId="15" applyFont="1" applyBorder="1" applyAlignment="1">
      <alignment horizontal="center" wrapText="1"/>
    </xf>
    <xf numFmtId="0" fontId="0" fillId="0" borderId="45" xfId="0" applyBorder="1"/>
    <xf numFmtId="3" fontId="40" fillId="0" borderId="41" xfId="12" applyNumberFormat="1" applyFont="1" applyBorder="1" applyAlignment="1">
      <alignment horizontal="center" vertical="center" wrapText="1"/>
    </xf>
    <xf numFmtId="3" fontId="40" fillId="0" borderId="71" xfId="12" applyNumberFormat="1" applyFont="1" applyBorder="1" applyAlignment="1">
      <alignment horizontal="center" vertical="center" wrapText="1"/>
    </xf>
    <xf numFmtId="3" fontId="3" fillId="10" borderId="29" xfId="0" applyNumberFormat="1" applyFont="1" applyFill="1" applyBorder="1" applyAlignment="1">
      <alignment horizontal="center"/>
    </xf>
    <xf numFmtId="0" fontId="46" fillId="0" borderId="0" xfId="25" applyFont="1" applyAlignment="1">
      <alignment horizontal="right" wrapText="1"/>
    </xf>
    <xf numFmtId="170" fontId="46" fillId="0" borderId="0" xfId="25" applyNumberFormat="1" applyFont="1" applyAlignment="1">
      <alignment horizontal="right" wrapText="1"/>
    </xf>
    <xf numFmtId="19" fontId="46" fillId="0" borderId="0" xfId="25" applyNumberFormat="1" applyFont="1" applyAlignment="1">
      <alignment horizontal="right" wrapText="1"/>
    </xf>
    <xf numFmtId="0" fontId="46" fillId="0" borderId="0" xfId="25" applyFont="1" applyAlignment="1">
      <alignment horizontal="center"/>
    </xf>
    <xf numFmtId="0" fontId="47" fillId="0" borderId="0" xfId="25"/>
    <xf numFmtId="0" fontId="40" fillId="0" borderId="12" xfId="12" applyFont="1" applyBorder="1" applyAlignment="1">
      <alignment horizontal="center" vertical="center" wrapText="1"/>
    </xf>
    <xf numFmtId="0" fontId="40" fillId="0" borderId="13" xfId="12" applyFont="1" applyBorder="1" applyAlignment="1">
      <alignment horizontal="center" vertical="center" wrapText="1"/>
    </xf>
    <xf numFmtId="0" fontId="40" fillId="0" borderId="61" xfId="12" applyFont="1" applyBorder="1" applyAlignment="1">
      <alignment horizontal="center" vertical="center" wrapText="1"/>
    </xf>
    <xf numFmtId="0" fontId="40" fillId="0" borderId="27" xfId="12" applyFont="1" applyBorder="1" applyAlignment="1">
      <alignment horizontal="center" vertical="center" wrapText="1"/>
    </xf>
    <xf numFmtId="0" fontId="40" fillId="0" borderId="18" xfId="12" applyFont="1" applyBorder="1" applyAlignment="1">
      <alignment horizontal="center" vertical="center" wrapText="1"/>
    </xf>
    <xf numFmtId="0" fontId="40" fillId="0" borderId="6" xfId="12" applyFont="1" applyBorder="1" applyAlignment="1">
      <alignment horizontal="center" vertical="center" wrapText="1"/>
    </xf>
    <xf numFmtId="0" fontId="40" fillId="0" borderId="7" xfId="12" applyFont="1" applyBorder="1" applyAlignment="1">
      <alignment horizontal="center" vertical="center" wrapText="1"/>
    </xf>
    <xf numFmtId="0" fontId="40" fillId="0" borderId="8" xfId="12" applyFont="1" applyBorder="1" applyAlignment="1">
      <alignment horizontal="center" vertical="center" wrapText="1"/>
    </xf>
    <xf numFmtId="0" fontId="40" fillId="0" borderId="9" xfId="12" applyFont="1" applyBorder="1" applyAlignment="1">
      <alignment horizontal="center" vertical="center" wrapText="1"/>
    </xf>
    <xf numFmtId="0" fontId="40" fillId="0" borderId="24" xfId="12" applyFont="1" applyBorder="1" applyAlignment="1">
      <alignment horizontal="center" vertical="center" wrapText="1"/>
    </xf>
    <xf numFmtId="3" fontId="28" fillId="3" borderId="24" xfId="1" applyNumberFormat="1" applyFont="1" applyFill="1" applyBorder="1" applyAlignment="1">
      <alignment horizontal="center" vertical="center"/>
    </xf>
    <xf numFmtId="3" fontId="28" fillId="3" borderId="32" xfId="1" applyNumberFormat="1" applyFont="1" applyFill="1" applyBorder="1" applyAlignment="1">
      <alignment horizontal="center" vertical="center"/>
    </xf>
    <xf numFmtId="3" fontId="28" fillId="0" borderId="40" xfId="1" quotePrefix="1" applyNumberFormat="1" applyFont="1" applyBorder="1" applyAlignment="1">
      <alignment horizontal="center" vertical="center"/>
    </xf>
    <xf numFmtId="3" fontId="28" fillId="0" borderId="40" xfId="1" applyNumberFormat="1" applyFont="1" applyBorder="1" applyAlignment="1">
      <alignment horizontal="center" vertical="center"/>
    </xf>
    <xf numFmtId="3" fontId="30" fillId="0" borderId="0" xfId="1" applyNumberFormat="1" applyFont="1" applyAlignment="1">
      <alignment horizontal="right" vertical="center"/>
    </xf>
    <xf numFmtId="3" fontId="28" fillId="0" borderId="0" xfId="1" applyNumberFormat="1" applyFont="1" applyAlignment="1">
      <alignment horizontal="right" vertical="center"/>
    </xf>
    <xf numFmtId="9" fontId="28" fillId="0" borderId="0" xfId="1" applyNumberFormat="1" applyFont="1" applyAlignment="1">
      <alignment horizontal="right" vertical="center"/>
    </xf>
    <xf numFmtId="0" fontId="28" fillId="0" borderId="0" xfId="1" applyFont="1" applyAlignment="1">
      <alignment horizontal="center" vertical="center"/>
    </xf>
    <xf numFmtId="0" fontId="28" fillId="0" borderId="0" xfId="1" quotePrefix="1" applyFont="1" applyAlignment="1">
      <alignment horizontal="center" vertical="center"/>
    </xf>
    <xf numFmtId="3" fontId="40" fillId="5" borderId="44" xfId="12" applyNumberFormat="1" applyFont="1" applyFill="1" applyBorder="1" applyAlignment="1">
      <alignment horizontal="center" vertical="center" wrapText="1"/>
    </xf>
    <xf numFmtId="3" fontId="40" fillId="5" borderId="56" xfId="12" applyNumberFormat="1" applyFont="1" applyFill="1" applyBorder="1" applyAlignment="1">
      <alignment horizontal="center" vertical="center" wrapText="1"/>
    </xf>
    <xf numFmtId="1" fontId="40" fillId="0" borderId="15" xfId="12" applyNumberFormat="1" applyFont="1" applyBorder="1" applyAlignment="1">
      <alignment horizontal="center" vertical="center" wrapText="1"/>
    </xf>
    <xf numFmtId="9" fontId="30" fillId="3" borderId="16" xfId="15" applyFont="1" applyFill="1" applyBorder="1" applyAlignment="1">
      <alignment horizontal="center" vertical="center"/>
    </xf>
    <xf numFmtId="3" fontId="30" fillId="3" borderId="49" xfId="1" quotePrefix="1" applyNumberFormat="1" applyFont="1" applyFill="1" applyBorder="1" applyAlignment="1">
      <alignment horizontal="center" vertical="center"/>
    </xf>
    <xf numFmtId="1" fontId="30" fillId="5" borderId="6" xfId="1" quotePrefix="1" applyNumberFormat="1" applyFont="1" applyFill="1" applyBorder="1" applyAlignment="1">
      <alignment horizontal="center" vertical="center"/>
    </xf>
    <xf numFmtId="3" fontId="30" fillId="3" borderId="24" xfId="1" quotePrefix="1" applyNumberFormat="1" applyFont="1" applyFill="1" applyBorder="1" applyAlignment="1">
      <alignment horizontal="center" vertical="center"/>
    </xf>
    <xf numFmtId="3" fontId="30" fillId="3" borderId="6" xfId="1" quotePrefix="1" applyNumberFormat="1" applyFont="1" applyFill="1" applyBorder="1" applyAlignment="1">
      <alignment horizontal="center" vertical="center"/>
    </xf>
    <xf numFmtId="3" fontId="30" fillId="3" borderId="7" xfId="1" quotePrefix="1" applyNumberFormat="1" applyFont="1" applyFill="1" applyBorder="1" applyAlignment="1">
      <alignment horizontal="center" vertical="center"/>
    </xf>
    <xf numFmtId="3" fontId="30" fillId="3" borderId="32" xfId="1" quotePrefix="1" applyNumberFormat="1" applyFont="1" applyFill="1" applyBorder="1" applyAlignment="1">
      <alignment horizontal="center" vertical="center"/>
    </xf>
    <xf numFmtId="3" fontId="30" fillId="3" borderId="68" xfId="1" quotePrefix="1" applyNumberFormat="1" applyFont="1" applyFill="1" applyBorder="1" applyAlignment="1">
      <alignment horizontal="center" vertical="center"/>
    </xf>
    <xf numFmtId="3" fontId="30" fillId="3" borderId="61" xfId="1" quotePrefix="1" applyNumberFormat="1" applyFont="1" applyFill="1" applyBorder="1" applyAlignment="1">
      <alignment horizontal="center" vertical="center"/>
    </xf>
    <xf numFmtId="3" fontId="30" fillId="3" borderId="26" xfId="1" applyNumberFormat="1" applyFont="1" applyFill="1" applyBorder="1" applyAlignment="1">
      <alignment horizontal="center" vertical="center"/>
    </xf>
    <xf numFmtId="3" fontId="30" fillId="3" borderId="61" xfId="1" applyNumberFormat="1" applyFont="1" applyFill="1" applyBorder="1" applyAlignment="1">
      <alignment horizontal="center" vertical="center"/>
    </xf>
    <xf numFmtId="3" fontId="30" fillId="3" borderId="28" xfId="1" applyNumberFormat="1" applyFont="1" applyFill="1" applyBorder="1" applyAlignment="1">
      <alignment horizontal="center" vertical="center"/>
    </xf>
    <xf numFmtId="3" fontId="30" fillId="3" borderId="18" xfId="1" applyNumberFormat="1" applyFont="1" applyFill="1" applyBorder="1" applyAlignment="1">
      <alignment horizontal="center" vertical="center"/>
    </xf>
    <xf numFmtId="3" fontId="30" fillId="3" borderId="18" xfId="1" quotePrefix="1" applyNumberFormat="1" applyFont="1" applyFill="1" applyBorder="1" applyAlignment="1">
      <alignment horizontal="center" vertical="center"/>
    </xf>
    <xf numFmtId="167" fontId="3" fillId="0" borderId="0" xfId="0" applyNumberFormat="1" applyFont="1"/>
    <xf numFmtId="10" fontId="46" fillId="0" borderId="0" xfId="25" applyNumberFormat="1" applyFont="1" applyAlignment="1">
      <alignment horizontal="right" wrapText="1"/>
    </xf>
    <xf numFmtId="0" fontId="11" fillId="3" borderId="14" xfId="1" applyFont="1" applyFill="1" applyBorder="1" applyAlignment="1">
      <alignment horizontal="center" vertical="center"/>
    </xf>
    <xf numFmtId="3" fontId="30" fillId="3" borderId="43" xfId="1" applyNumberFormat="1" applyFont="1" applyFill="1" applyBorder="1" applyAlignment="1">
      <alignment horizontal="center" vertical="center"/>
    </xf>
    <xf numFmtId="3" fontId="30" fillId="3" borderId="55" xfId="1" applyNumberFormat="1" applyFont="1" applyFill="1" applyBorder="1" applyAlignment="1">
      <alignment horizontal="center" vertical="center"/>
    </xf>
    <xf numFmtId="3" fontId="30" fillId="3" borderId="44" xfId="1" applyNumberFormat="1" applyFont="1" applyFill="1" applyBorder="1" applyAlignment="1">
      <alignment horizontal="center" vertical="center"/>
    </xf>
    <xf numFmtId="0" fontId="46" fillId="0" borderId="0" xfId="25" applyFont="1" applyAlignment="1">
      <alignment horizontal="right"/>
    </xf>
    <xf numFmtId="9" fontId="8" fillId="0" borderId="0" xfId="15" applyFont="1" applyFill="1"/>
    <xf numFmtId="1" fontId="28" fillId="3" borderId="25" xfId="1" applyNumberFormat="1" applyFont="1" applyFill="1" applyBorder="1" applyAlignment="1">
      <alignment horizontal="center" vertical="center"/>
    </xf>
    <xf numFmtId="1" fontId="3" fillId="0" borderId="0" xfId="7" applyNumberFormat="1" applyFont="1"/>
    <xf numFmtId="3" fontId="30" fillId="3" borderId="5" xfId="1" applyNumberFormat="1" applyFont="1" applyFill="1" applyBorder="1" applyAlignment="1">
      <alignment horizontal="center" vertical="center"/>
    </xf>
    <xf numFmtId="0" fontId="46" fillId="12" borderId="79" xfId="26" applyFont="1" applyFill="1" applyBorder="1" applyAlignment="1">
      <alignment horizontal="center"/>
    </xf>
    <xf numFmtId="0" fontId="46" fillId="0" borderId="80" xfId="26" applyFont="1" applyBorder="1" applyAlignment="1">
      <alignment horizontal="right" wrapText="1"/>
    </xf>
    <xf numFmtId="0" fontId="3" fillId="0" borderId="0" xfId="4" quotePrefix="1" applyAlignment="1">
      <alignment horizontal="center" vertical="center"/>
    </xf>
    <xf numFmtId="164" fontId="38" fillId="4" borderId="24" xfId="2" applyNumberFormat="1" applyFont="1" applyFill="1" applyBorder="1" applyAlignment="1">
      <alignment horizontal="center" vertical="center"/>
    </xf>
    <xf numFmtId="3" fontId="28" fillId="3" borderId="16" xfId="1" applyNumberFormat="1" applyFont="1" applyFill="1" applyBorder="1" applyAlignment="1">
      <alignment horizontal="center" vertical="center"/>
    </xf>
    <xf numFmtId="3" fontId="28" fillId="3" borderId="61" xfId="1" quotePrefix="1" applyNumberFormat="1" applyFont="1" applyFill="1" applyBorder="1" applyAlignment="1">
      <alignment horizontal="center" vertical="center"/>
    </xf>
    <xf numFmtId="3" fontId="28" fillId="3" borderId="27" xfId="1" applyNumberFormat="1" applyFont="1" applyFill="1" applyBorder="1" applyAlignment="1">
      <alignment horizontal="center" vertical="center"/>
    </xf>
    <xf numFmtId="3" fontId="28" fillId="3" borderId="16" xfId="1" quotePrefix="1" applyNumberFormat="1" applyFont="1" applyFill="1" applyBorder="1" applyAlignment="1">
      <alignment horizontal="center" vertical="center"/>
    </xf>
    <xf numFmtId="3" fontId="28" fillId="3" borderId="13" xfId="1" quotePrefix="1" applyNumberFormat="1" applyFont="1" applyFill="1" applyBorder="1" applyAlignment="1">
      <alignment horizontal="center" vertical="center"/>
    </xf>
    <xf numFmtId="3" fontId="28" fillId="3" borderId="22" xfId="1" quotePrefix="1" applyNumberFormat="1" applyFont="1" applyFill="1" applyBorder="1" applyAlignment="1">
      <alignment horizontal="center" vertical="center"/>
    </xf>
    <xf numFmtId="3" fontId="28" fillId="3" borderId="4" xfId="1" applyNumberFormat="1" applyFont="1" applyFill="1" applyBorder="1" applyAlignment="1">
      <alignment horizontal="center" vertical="center"/>
    </xf>
    <xf numFmtId="3" fontId="28" fillId="3" borderId="65" xfId="1" quotePrefix="1" applyNumberFormat="1" applyFont="1" applyFill="1" applyBorder="1" applyAlignment="1">
      <alignment horizontal="center" vertical="center"/>
    </xf>
    <xf numFmtId="3" fontId="28" fillId="3" borderId="66" xfId="1" quotePrefix="1" applyNumberFormat="1" applyFont="1" applyFill="1" applyBorder="1" applyAlignment="1">
      <alignment horizontal="center" vertical="center"/>
    </xf>
    <xf numFmtId="3" fontId="28" fillId="3" borderId="63" xfId="1" quotePrefix="1" applyNumberFormat="1" applyFont="1" applyFill="1" applyBorder="1" applyAlignment="1">
      <alignment horizontal="center" vertical="center"/>
    </xf>
    <xf numFmtId="3" fontId="28" fillId="3" borderId="73" xfId="1" applyNumberFormat="1" applyFont="1" applyFill="1" applyBorder="1" applyAlignment="1">
      <alignment horizontal="center" vertical="center"/>
    </xf>
    <xf numFmtId="3" fontId="28" fillId="3" borderId="65" xfId="1" applyNumberFormat="1" applyFont="1" applyFill="1" applyBorder="1" applyAlignment="1">
      <alignment horizontal="center" vertical="center"/>
    </xf>
    <xf numFmtId="3" fontId="28" fillId="3" borderId="67" xfId="1" applyNumberFormat="1" applyFont="1" applyFill="1" applyBorder="1" applyAlignment="1">
      <alignment horizontal="center" vertical="center"/>
    </xf>
    <xf numFmtId="3" fontId="28" fillId="3" borderId="78" xfId="1" quotePrefix="1" applyNumberFormat="1" applyFont="1" applyFill="1" applyBorder="1" applyAlignment="1">
      <alignment horizontal="center" vertical="center"/>
    </xf>
    <xf numFmtId="3" fontId="28" fillId="3" borderId="77" xfId="1" quotePrefix="1" applyNumberFormat="1" applyFont="1" applyFill="1" applyBorder="1" applyAlignment="1">
      <alignment horizontal="center" vertical="center"/>
    </xf>
    <xf numFmtId="3" fontId="28" fillId="3" borderId="52" xfId="1" quotePrefix="1" applyNumberFormat="1" applyFont="1" applyFill="1" applyBorder="1" applyAlignment="1">
      <alignment horizontal="center" vertical="center"/>
    </xf>
    <xf numFmtId="3" fontId="28" fillId="3" borderId="15" xfId="1" quotePrefix="1" applyNumberFormat="1" applyFont="1" applyFill="1" applyBorder="1" applyAlignment="1">
      <alignment horizontal="center" vertical="center"/>
    </xf>
    <xf numFmtId="3" fontId="28" fillId="3" borderId="18" xfId="1" quotePrefix="1" applyNumberFormat="1" applyFont="1" applyFill="1" applyBorder="1" applyAlignment="1">
      <alignment horizontal="center" vertical="center"/>
    </xf>
    <xf numFmtId="3" fontId="28" fillId="3" borderId="30" xfId="1" quotePrefix="1" applyNumberFormat="1" applyFont="1" applyFill="1" applyBorder="1" applyAlignment="1">
      <alignment horizontal="center" vertical="center"/>
    </xf>
    <xf numFmtId="3" fontId="28" fillId="3" borderId="24" xfId="1" quotePrefix="1" applyNumberFormat="1" applyFont="1" applyFill="1" applyBorder="1" applyAlignment="1">
      <alignment horizontal="center" vertical="center"/>
    </xf>
    <xf numFmtId="3" fontId="28" fillId="3" borderId="32" xfId="1" quotePrefix="1" applyNumberFormat="1" applyFont="1" applyFill="1" applyBorder="1" applyAlignment="1">
      <alignment horizontal="center" vertical="center"/>
    </xf>
    <xf numFmtId="3" fontId="28" fillId="3" borderId="21" xfId="1" quotePrefix="1" applyNumberFormat="1" applyFont="1" applyFill="1" applyBorder="1" applyAlignment="1">
      <alignment horizontal="center" vertical="center"/>
    </xf>
    <xf numFmtId="3" fontId="28" fillId="3" borderId="12" xfId="1" applyNumberFormat="1" applyFont="1" applyFill="1" applyBorder="1" applyAlignment="1">
      <alignment horizontal="center" vertical="center"/>
    </xf>
    <xf numFmtId="3" fontId="28" fillId="3" borderId="26" xfId="1" applyNumberFormat="1" applyFont="1" applyFill="1" applyBorder="1" applyAlignment="1">
      <alignment horizontal="center" vertical="center"/>
    </xf>
    <xf numFmtId="3" fontId="28" fillId="3" borderId="6" xfId="1" quotePrefix="1" applyNumberFormat="1" applyFont="1" applyFill="1" applyBorder="1" applyAlignment="1">
      <alignment horizontal="center" vertical="center"/>
    </xf>
    <xf numFmtId="3" fontId="28" fillId="3" borderId="7" xfId="1" quotePrefix="1" applyNumberFormat="1" applyFont="1" applyFill="1" applyBorder="1" applyAlignment="1">
      <alignment horizontal="center" vertical="center"/>
    </xf>
    <xf numFmtId="3" fontId="28" fillId="3" borderId="13" xfId="1" applyNumberFormat="1" applyFont="1" applyFill="1" applyBorder="1" applyAlignment="1">
      <alignment horizontal="center" vertical="center"/>
    </xf>
    <xf numFmtId="3" fontId="28" fillId="3" borderId="61" xfId="1" applyNumberFormat="1" applyFont="1" applyFill="1" applyBorder="1" applyAlignment="1">
      <alignment horizontal="center" vertical="center"/>
    </xf>
    <xf numFmtId="3" fontId="28" fillId="3" borderId="8" xfId="1" quotePrefix="1" applyNumberFormat="1" applyFont="1" applyFill="1" applyBorder="1" applyAlignment="1">
      <alignment horizontal="center" vertical="center"/>
    </xf>
    <xf numFmtId="3" fontId="28" fillId="3" borderId="15" xfId="1" applyNumberFormat="1" applyFont="1" applyFill="1" applyBorder="1" applyAlignment="1">
      <alignment horizontal="center" vertical="center"/>
    </xf>
    <xf numFmtId="3" fontId="28" fillId="3" borderId="18" xfId="1" applyNumberFormat="1" applyFont="1" applyFill="1" applyBorder="1" applyAlignment="1">
      <alignment horizontal="center" vertical="center"/>
    </xf>
    <xf numFmtId="3" fontId="28" fillId="3" borderId="42" xfId="1" applyNumberFormat="1" applyFont="1" applyFill="1" applyBorder="1" applyAlignment="1">
      <alignment horizontal="center" vertical="center"/>
    </xf>
    <xf numFmtId="3" fontId="28" fillId="3" borderId="30" xfId="1" applyNumberFormat="1" applyFont="1" applyFill="1" applyBorder="1" applyAlignment="1">
      <alignment horizontal="center" vertical="center"/>
    </xf>
    <xf numFmtId="3" fontId="28" fillId="3" borderId="28" xfId="1" applyNumberFormat="1" applyFont="1" applyFill="1" applyBorder="1" applyAlignment="1">
      <alignment horizontal="center" vertical="center"/>
    </xf>
    <xf numFmtId="3" fontId="28" fillId="3" borderId="9" xfId="1" quotePrefix="1" applyNumberFormat="1" applyFont="1" applyFill="1" applyBorder="1" applyAlignment="1">
      <alignment horizontal="center" vertical="center"/>
    </xf>
    <xf numFmtId="3" fontId="28" fillId="3" borderId="74" xfId="1" quotePrefix="1" applyNumberFormat="1" applyFont="1" applyFill="1" applyBorder="1" applyAlignment="1">
      <alignment horizontal="center" vertical="center"/>
    </xf>
    <xf numFmtId="3" fontId="28" fillId="3" borderId="68" xfId="1" quotePrefix="1" applyNumberFormat="1" applyFont="1" applyFill="1" applyBorder="1" applyAlignment="1">
      <alignment horizontal="center" vertical="center"/>
    </xf>
    <xf numFmtId="3" fontId="28" fillId="0" borderId="61" xfId="1" applyNumberFormat="1" applyFont="1" applyBorder="1" applyAlignment="1">
      <alignment horizontal="right" vertical="center"/>
    </xf>
    <xf numFmtId="9" fontId="28" fillId="3" borderId="15" xfId="1" applyNumberFormat="1" applyFont="1" applyFill="1" applyBorder="1" applyAlignment="1">
      <alignment horizontal="right" vertical="center"/>
    </xf>
    <xf numFmtId="9" fontId="28" fillId="3" borderId="16" xfId="1" applyNumberFormat="1" applyFont="1" applyFill="1" applyBorder="1" applyAlignment="1">
      <alignment horizontal="right" vertical="center"/>
    </xf>
    <xf numFmtId="3" fontId="28" fillId="3" borderId="15" xfId="1" applyNumberFormat="1" applyFont="1" applyFill="1" applyBorder="1" applyAlignment="1">
      <alignment horizontal="right" vertical="center"/>
    </xf>
    <xf numFmtId="3" fontId="28" fillId="0" borderId="25" xfId="1" applyNumberFormat="1" applyFont="1" applyBorder="1" applyAlignment="1">
      <alignment horizontal="right" vertical="center"/>
    </xf>
    <xf numFmtId="9" fontId="28" fillId="3" borderId="14" xfId="1" applyNumberFormat="1" applyFont="1" applyFill="1" applyBorder="1" applyAlignment="1">
      <alignment horizontal="right" vertical="center"/>
    </xf>
    <xf numFmtId="0" fontId="28" fillId="3" borderId="20" xfId="1" applyFont="1" applyFill="1" applyBorder="1" applyAlignment="1">
      <alignment horizontal="center" vertical="center"/>
    </xf>
    <xf numFmtId="9" fontId="28" fillId="3" borderId="30" xfId="1" applyNumberFormat="1" applyFont="1" applyFill="1" applyBorder="1" applyAlignment="1">
      <alignment horizontal="right" vertical="center"/>
    </xf>
    <xf numFmtId="3" fontId="28" fillId="0" borderId="28" xfId="1" applyNumberFormat="1" applyFont="1" applyBorder="1" applyAlignment="1">
      <alignment horizontal="right" vertical="center"/>
    </xf>
    <xf numFmtId="3" fontId="28" fillId="3" borderId="30" xfId="1" applyNumberFormat="1" applyFont="1" applyFill="1" applyBorder="1" applyAlignment="1">
      <alignment horizontal="right" vertical="center"/>
    </xf>
    <xf numFmtId="3" fontId="28" fillId="3" borderId="14" xfId="1" applyNumberFormat="1" applyFont="1" applyFill="1" applyBorder="1" applyAlignment="1">
      <alignment horizontal="right" vertical="center"/>
    </xf>
    <xf numFmtId="0" fontId="28" fillId="3" borderId="32" xfId="1" quotePrefix="1" applyFont="1" applyFill="1" applyBorder="1" applyAlignment="1">
      <alignment horizontal="center" vertical="center"/>
    </xf>
    <xf numFmtId="3" fontId="28" fillId="3" borderId="16" xfId="1" applyNumberFormat="1" applyFont="1" applyFill="1" applyBorder="1" applyAlignment="1">
      <alignment horizontal="right" vertical="center"/>
    </xf>
    <xf numFmtId="0" fontId="28" fillId="3" borderId="22" xfId="1" quotePrefix="1" applyFont="1" applyFill="1" applyBorder="1" applyAlignment="1">
      <alignment horizontal="center" vertical="center"/>
    </xf>
    <xf numFmtId="3" fontId="28" fillId="0" borderId="26" xfId="1" applyNumberFormat="1" applyFont="1" applyBorder="1" applyAlignment="1">
      <alignment horizontal="right" vertical="center"/>
    </xf>
    <xf numFmtId="3" fontId="28" fillId="0" borderId="67" xfId="1" applyNumberFormat="1" applyFont="1" applyBorder="1" applyAlignment="1">
      <alignment horizontal="right" vertical="center"/>
    </xf>
    <xf numFmtId="0" fontId="28" fillId="3" borderId="21" xfId="1" applyFont="1" applyFill="1" applyBorder="1" applyAlignment="1">
      <alignment horizontal="center" vertical="center"/>
    </xf>
    <xf numFmtId="1" fontId="28" fillId="3" borderId="15" xfId="1" applyNumberFormat="1" applyFont="1" applyFill="1" applyBorder="1" applyAlignment="1">
      <alignment horizontal="right" vertical="center"/>
    </xf>
    <xf numFmtId="3" fontId="28" fillId="3" borderId="14" xfId="1" applyNumberFormat="1" applyFont="1" applyFill="1" applyBorder="1" applyAlignment="1">
      <alignment horizontal="center" vertical="center"/>
    </xf>
    <xf numFmtId="0" fontId="28" fillId="3" borderId="33" xfId="1" quotePrefix="1" applyFont="1" applyFill="1" applyBorder="1" applyAlignment="1">
      <alignment horizontal="center" vertical="center"/>
    </xf>
    <xf numFmtId="1" fontId="28" fillId="3" borderId="65" xfId="1" applyNumberFormat="1" applyFont="1" applyFill="1" applyBorder="1" applyAlignment="1">
      <alignment horizontal="right" vertical="center"/>
    </xf>
    <xf numFmtId="1" fontId="28" fillId="3" borderId="21" xfId="1" applyNumberFormat="1" applyFont="1" applyFill="1" applyBorder="1" applyAlignment="1">
      <alignment horizontal="center" vertical="center"/>
    </xf>
    <xf numFmtId="1" fontId="28" fillId="3" borderId="66" xfId="1" applyNumberFormat="1" applyFont="1" applyFill="1" applyBorder="1" applyAlignment="1">
      <alignment horizontal="center" vertical="center"/>
    </xf>
    <xf numFmtId="9" fontId="28" fillId="3" borderId="15" xfId="15" applyFont="1" applyFill="1" applyBorder="1" applyAlignment="1">
      <alignment horizontal="right" vertical="center"/>
    </xf>
    <xf numFmtId="9" fontId="28" fillId="3" borderId="65" xfId="15" applyFont="1" applyFill="1" applyBorder="1" applyAlignment="1">
      <alignment horizontal="right" vertical="center"/>
    </xf>
    <xf numFmtId="0" fontId="28" fillId="3" borderId="24" xfId="1" quotePrefix="1" applyFont="1" applyFill="1" applyBorder="1" applyAlignment="1">
      <alignment horizontal="center" vertical="center"/>
    </xf>
    <xf numFmtId="0" fontId="28" fillId="3" borderId="18" xfId="1" applyFont="1" applyFill="1" applyBorder="1" applyAlignment="1">
      <alignment horizontal="right" vertical="center"/>
    </xf>
    <xf numFmtId="16" fontId="28" fillId="3" borderId="21" xfId="1" quotePrefix="1" applyNumberFormat="1" applyFont="1" applyFill="1" applyBorder="1" applyAlignment="1">
      <alignment horizontal="center" vertical="center"/>
    </xf>
    <xf numFmtId="16" fontId="28" fillId="3" borderId="20" xfId="1" quotePrefix="1" applyNumberFormat="1" applyFont="1" applyFill="1" applyBorder="1" applyAlignment="1">
      <alignment horizontal="center" vertical="center"/>
    </xf>
    <xf numFmtId="9" fontId="28" fillId="3" borderId="30" xfId="15" applyFont="1" applyFill="1" applyBorder="1" applyAlignment="1">
      <alignment horizontal="right" vertical="center"/>
    </xf>
    <xf numFmtId="9" fontId="28" fillId="3" borderId="14" xfId="15" applyFont="1" applyFill="1" applyBorder="1" applyAlignment="1">
      <alignment horizontal="right" vertical="center"/>
    </xf>
    <xf numFmtId="16" fontId="28" fillId="3" borderId="32" xfId="1" quotePrefix="1" applyNumberFormat="1" applyFont="1" applyFill="1" applyBorder="1" applyAlignment="1">
      <alignment horizontal="center" vertical="center"/>
    </xf>
    <xf numFmtId="9" fontId="28" fillId="3" borderId="31" xfId="15" applyFont="1" applyFill="1" applyBorder="1" applyAlignment="1">
      <alignment horizontal="right" vertical="center"/>
    </xf>
    <xf numFmtId="3" fontId="30" fillId="3" borderId="14" xfId="1" applyNumberFormat="1" applyFont="1" applyFill="1" applyBorder="1" applyAlignment="1">
      <alignment horizontal="center" vertical="center"/>
    </xf>
    <xf numFmtId="164" fontId="38" fillId="4" borderId="15" xfId="2" applyNumberFormat="1" applyFont="1" applyFill="1" applyBorder="1" applyAlignment="1">
      <alignment horizontal="center" vertical="center"/>
    </xf>
    <xf numFmtId="164" fontId="38" fillId="4" borderId="16" xfId="2" applyNumberFormat="1" applyFont="1" applyFill="1" applyBorder="1" applyAlignment="1">
      <alignment horizontal="center" vertical="center"/>
    </xf>
    <xf numFmtId="3" fontId="40" fillId="0" borderId="61" xfId="12" applyNumberFormat="1" applyFont="1" applyBorder="1" applyAlignment="1">
      <alignment horizontal="center" vertical="center" wrapText="1"/>
    </xf>
    <xf numFmtId="3" fontId="40" fillId="0" borderId="26" xfId="12" applyNumberFormat="1" applyFont="1" applyBorder="1" applyAlignment="1">
      <alignment horizontal="center" vertical="center" wrapText="1"/>
    </xf>
    <xf numFmtId="3" fontId="30" fillId="3" borderId="26" xfId="1" quotePrefix="1" applyNumberFormat="1" applyFont="1" applyFill="1" applyBorder="1" applyAlignment="1">
      <alignment horizontal="center" vertical="center"/>
    </xf>
    <xf numFmtId="3" fontId="30" fillId="3" borderId="29" xfId="1" quotePrefix="1" applyNumberFormat="1" applyFont="1" applyFill="1" applyBorder="1" applyAlignment="1">
      <alignment horizontal="center" vertical="center"/>
    </xf>
    <xf numFmtId="3" fontId="30" fillId="3" borderId="60" xfId="1" quotePrefix="1" applyNumberFormat="1" applyFont="1" applyFill="1" applyBorder="1" applyAlignment="1">
      <alignment horizontal="center" vertical="center"/>
    </xf>
    <xf numFmtId="3" fontId="40" fillId="0" borderId="21" xfId="12" applyNumberFormat="1" applyFont="1" applyBorder="1" applyAlignment="1">
      <alignment horizontal="center" vertical="center" wrapText="1"/>
    </xf>
    <xf numFmtId="3" fontId="40" fillId="0" borderId="29" xfId="12" applyNumberFormat="1" applyFont="1" applyBorder="1" applyAlignment="1">
      <alignment horizontal="center" vertical="center" wrapText="1"/>
    </xf>
    <xf numFmtId="3" fontId="40" fillId="0" borderId="60" xfId="12" applyNumberFormat="1" applyFont="1" applyBorder="1" applyAlignment="1">
      <alignment horizontal="center" vertical="center" wrapText="1"/>
    </xf>
    <xf numFmtId="3" fontId="40" fillId="0" borderId="18" xfId="12" applyNumberFormat="1" applyFont="1" applyBorder="1" applyAlignment="1">
      <alignment horizontal="center" vertical="center" wrapText="1"/>
    </xf>
    <xf numFmtId="3" fontId="40" fillId="0" borderId="15" xfId="12" applyNumberFormat="1" applyFont="1" applyBorder="1" applyAlignment="1">
      <alignment horizontal="center" vertical="center" wrapText="1"/>
    </xf>
    <xf numFmtId="3" fontId="40" fillId="0" borderId="16" xfId="12" applyNumberFormat="1" applyFont="1" applyBorder="1" applyAlignment="1">
      <alignment horizontal="center" vertical="center" wrapText="1"/>
    </xf>
    <xf numFmtId="3" fontId="40" fillId="0" borderId="31" xfId="12" applyNumberFormat="1" applyFont="1" applyBorder="1" applyAlignment="1">
      <alignment horizontal="center" vertical="center" wrapText="1"/>
    </xf>
    <xf numFmtId="3" fontId="40" fillId="0" borderId="17" xfId="12" applyNumberFormat="1" applyFont="1" applyBorder="1" applyAlignment="1">
      <alignment horizontal="center" vertical="center" wrapText="1"/>
    </xf>
    <xf numFmtId="3" fontId="40" fillId="0" borderId="8" xfId="12" applyNumberFormat="1" applyFont="1" applyBorder="1" applyAlignment="1">
      <alignment horizontal="center" vertical="center" wrapText="1"/>
    </xf>
    <xf numFmtId="3" fontId="40" fillId="0" borderId="69" xfId="12" applyNumberFormat="1" applyFont="1" applyBorder="1" applyAlignment="1">
      <alignment horizontal="center" vertical="center" wrapText="1"/>
    </xf>
    <xf numFmtId="3" fontId="40" fillId="0" borderId="62" xfId="12" applyNumberFormat="1" applyFont="1" applyBorder="1" applyAlignment="1">
      <alignment horizontal="center" vertical="center" wrapText="1"/>
    </xf>
    <xf numFmtId="3" fontId="40" fillId="0" borderId="33" xfId="12" applyNumberFormat="1" applyFont="1" applyBorder="1" applyAlignment="1">
      <alignment horizontal="center" vertical="center" wrapText="1"/>
    </xf>
    <xf numFmtId="3" fontId="40" fillId="0" borderId="23" xfId="12" applyNumberFormat="1" applyFont="1" applyBorder="1" applyAlignment="1">
      <alignment horizontal="center" vertical="center" wrapText="1"/>
    </xf>
    <xf numFmtId="3" fontId="40" fillId="0" borderId="6" xfId="12" applyNumberFormat="1" applyFont="1" applyBorder="1" applyAlignment="1">
      <alignment horizontal="center" vertical="center" wrapText="1"/>
    </xf>
    <xf numFmtId="3" fontId="40" fillId="0" borderId="7" xfId="12" applyNumberFormat="1" applyFont="1" applyBorder="1" applyAlignment="1">
      <alignment horizontal="center" vertical="center" wrapText="1"/>
    </xf>
    <xf numFmtId="3" fontId="40" fillId="0" borderId="0" xfId="12" applyNumberFormat="1" applyFont="1" applyAlignment="1">
      <alignment horizontal="center" vertical="center" wrapText="1"/>
    </xf>
    <xf numFmtId="3" fontId="40" fillId="0" borderId="53" xfId="12" applyNumberFormat="1" applyFont="1" applyBorder="1" applyAlignment="1">
      <alignment horizontal="center" vertical="center" wrapText="1"/>
    </xf>
    <xf numFmtId="3" fontId="30" fillId="3" borderId="15" xfId="1" quotePrefix="1" applyNumberFormat="1" applyFont="1" applyFill="1" applyBorder="1" applyAlignment="1">
      <alignment horizontal="center" vertical="center"/>
    </xf>
    <xf numFmtId="3" fontId="30" fillId="3" borderId="17" xfId="1" quotePrefix="1" applyNumberFormat="1" applyFont="1" applyFill="1" applyBorder="1" applyAlignment="1">
      <alignment horizontal="center" vertical="center"/>
    </xf>
    <xf numFmtId="3" fontId="30" fillId="3" borderId="31" xfId="1" quotePrefix="1" applyNumberFormat="1" applyFont="1" applyFill="1" applyBorder="1" applyAlignment="1">
      <alignment horizontal="center" vertical="center"/>
    </xf>
    <xf numFmtId="0" fontId="30" fillId="3" borderId="12" xfId="1" applyFont="1" applyFill="1" applyBorder="1" applyAlignment="1">
      <alignment horizontal="center" vertical="center"/>
    </xf>
    <xf numFmtId="0" fontId="30" fillId="3" borderId="42" xfId="1" applyFont="1" applyFill="1" applyBorder="1" applyAlignment="1">
      <alignment horizontal="center" vertical="center"/>
    </xf>
    <xf numFmtId="0" fontId="30" fillId="3" borderId="71" xfId="1" quotePrefix="1" applyFont="1" applyFill="1" applyBorder="1" applyAlignment="1">
      <alignment horizontal="center" vertical="center"/>
    </xf>
    <xf numFmtId="0" fontId="30" fillId="3" borderId="41" xfId="1" applyFont="1" applyFill="1" applyBorder="1" applyAlignment="1">
      <alignment horizontal="center" vertical="center"/>
    </xf>
    <xf numFmtId="0" fontId="30" fillId="3" borderId="26" xfId="1" quotePrefix="1" applyFont="1" applyFill="1" applyBorder="1" applyAlignment="1">
      <alignment horizontal="center" vertical="center"/>
    </xf>
    <xf numFmtId="0" fontId="30" fillId="3" borderId="28" xfId="1" quotePrefix="1" applyFont="1" applyFill="1" applyBorder="1" applyAlignment="1">
      <alignment horizontal="center" vertical="center"/>
    </xf>
    <xf numFmtId="0" fontId="30" fillId="3" borderId="60" xfId="1" quotePrefix="1" applyFont="1" applyFill="1" applyBorder="1" applyAlignment="1">
      <alignment horizontal="center" vertical="center"/>
    </xf>
    <xf numFmtId="0" fontId="30" fillId="3" borderId="29" xfId="1" quotePrefix="1" applyFont="1" applyFill="1" applyBorder="1" applyAlignment="1">
      <alignment horizontal="center" vertical="center"/>
    </xf>
    <xf numFmtId="3" fontId="30" fillId="3" borderId="28" xfId="1" quotePrefix="1" applyNumberFormat="1" applyFont="1" applyFill="1" applyBorder="1" applyAlignment="1">
      <alignment horizontal="center" vertical="center"/>
    </xf>
    <xf numFmtId="3" fontId="30" fillId="3" borderId="8" xfId="1" quotePrefix="1" applyNumberFormat="1" applyFont="1" applyFill="1" applyBorder="1" applyAlignment="1">
      <alignment horizontal="center" vertical="center"/>
    </xf>
    <xf numFmtId="3" fontId="30" fillId="3" borderId="9" xfId="1" quotePrefix="1" applyNumberFormat="1" applyFont="1" applyFill="1" applyBorder="1" applyAlignment="1">
      <alignment horizontal="center" vertical="center"/>
    </xf>
    <xf numFmtId="3" fontId="30" fillId="3" borderId="74" xfId="1" quotePrefix="1" applyNumberFormat="1" applyFont="1" applyFill="1" applyBorder="1" applyAlignment="1">
      <alignment horizontal="center" vertical="center"/>
    </xf>
    <xf numFmtId="3" fontId="28" fillId="3" borderId="4" xfId="1" quotePrefix="1" applyNumberFormat="1" applyFont="1" applyFill="1" applyBorder="1" applyAlignment="1">
      <alignment horizontal="center" vertical="center"/>
    </xf>
    <xf numFmtId="3" fontId="11" fillId="5" borderId="56" xfId="1" applyNumberFormat="1" applyFont="1" applyFill="1" applyBorder="1" applyAlignment="1">
      <alignment horizontal="center" vertical="center"/>
    </xf>
    <xf numFmtId="1" fontId="11" fillId="3" borderId="26" xfId="1" quotePrefix="1" applyNumberFormat="1" applyFont="1" applyFill="1" applyBorder="1" applyAlignment="1">
      <alignment horizontal="center" vertical="center"/>
    </xf>
    <xf numFmtId="1" fontId="11" fillId="3" borderId="60" xfId="1" quotePrefix="1" applyNumberFormat="1" applyFont="1" applyFill="1" applyBorder="1" applyAlignment="1">
      <alignment horizontal="center" vertical="center"/>
    </xf>
    <xf numFmtId="3" fontId="11" fillId="5" borderId="76" xfId="1" applyNumberFormat="1" applyFont="1" applyFill="1" applyBorder="1" applyAlignment="1">
      <alignment horizontal="center" vertical="center"/>
    </xf>
    <xf numFmtId="3" fontId="11" fillId="5" borderId="57" xfId="1" applyNumberFormat="1" applyFont="1" applyFill="1" applyBorder="1" applyAlignment="1">
      <alignment horizontal="center" vertical="center"/>
    </xf>
    <xf numFmtId="9" fontId="11" fillId="3" borderId="21" xfId="15" applyFont="1" applyFill="1" applyBorder="1" applyAlignment="1">
      <alignment horizontal="center" vertical="center"/>
    </xf>
    <xf numFmtId="9" fontId="11" fillId="3" borderId="32" xfId="15" applyFont="1" applyFill="1" applyBorder="1" applyAlignment="1">
      <alignment horizontal="center" vertical="center"/>
    </xf>
    <xf numFmtId="9" fontId="11" fillId="3" borderId="33" xfId="15" applyFont="1" applyFill="1" applyBorder="1" applyAlignment="1">
      <alignment horizontal="center" vertical="center"/>
    </xf>
    <xf numFmtId="9" fontId="11" fillId="3" borderId="20" xfId="15" applyFont="1" applyFill="1" applyBorder="1" applyAlignment="1">
      <alignment horizontal="center" vertical="center"/>
    </xf>
    <xf numFmtId="9" fontId="11" fillId="3" borderId="21" xfId="15" quotePrefix="1" applyFont="1" applyFill="1" applyBorder="1" applyAlignment="1">
      <alignment horizontal="center" vertical="center"/>
    </xf>
    <xf numFmtId="9" fontId="11" fillId="3" borderId="23" xfId="15" quotePrefix="1" applyFont="1" applyFill="1" applyBorder="1" applyAlignment="1">
      <alignment horizontal="center" vertical="center"/>
    </xf>
    <xf numFmtId="9" fontId="11" fillId="3" borderId="32" xfId="15" quotePrefix="1" applyFont="1" applyFill="1" applyBorder="1" applyAlignment="1">
      <alignment horizontal="center" vertical="center"/>
    </xf>
    <xf numFmtId="9" fontId="11" fillId="3" borderId="33" xfId="15" quotePrefix="1" applyFont="1" applyFill="1" applyBorder="1" applyAlignment="1">
      <alignment horizontal="center" vertical="center"/>
    </xf>
    <xf numFmtId="9" fontId="11" fillId="3" borderId="16" xfId="15" applyFont="1" applyFill="1" applyBorder="1" applyAlignment="1">
      <alignment horizontal="center" vertical="center"/>
    </xf>
    <xf numFmtId="9" fontId="11" fillId="3" borderId="22" xfId="15" applyFont="1" applyFill="1" applyBorder="1" applyAlignment="1">
      <alignment horizontal="center" vertical="center"/>
    </xf>
    <xf numFmtId="0" fontId="40" fillId="0" borderId="11" xfId="12" applyFont="1" applyBorder="1" applyAlignment="1">
      <alignment horizontal="center" vertical="center" wrapText="1"/>
    </xf>
    <xf numFmtId="0" fontId="40" fillId="0" borderId="14" xfId="12" applyFont="1" applyBorder="1" applyAlignment="1">
      <alignment horizontal="center" vertical="center" wrapText="1"/>
    </xf>
    <xf numFmtId="0" fontId="40" fillId="0" borderId="20" xfId="12" applyFont="1" applyBorder="1" applyAlignment="1">
      <alignment horizontal="center" vertical="center" wrapText="1"/>
    </xf>
    <xf numFmtId="3" fontId="28" fillId="3" borderId="25" xfId="1" quotePrefix="1" applyNumberFormat="1" applyFont="1" applyFill="1" applyBorder="1" applyAlignment="1">
      <alignment horizontal="center" vertical="center"/>
    </xf>
    <xf numFmtId="3" fontId="28" fillId="3" borderId="14" xfId="1" quotePrefix="1" applyNumberFormat="1" applyFont="1" applyFill="1" applyBorder="1" applyAlignment="1">
      <alignment horizontal="center" vertical="center"/>
    </xf>
    <xf numFmtId="3" fontId="28" fillId="3" borderId="20" xfId="1" quotePrefix="1" applyNumberFormat="1" applyFont="1" applyFill="1" applyBorder="1" applyAlignment="1">
      <alignment horizontal="center" vertical="center"/>
    </xf>
    <xf numFmtId="3" fontId="28" fillId="3" borderId="74" xfId="1" applyNumberFormat="1" applyFont="1" applyFill="1" applyBorder="1" applyAlignment="1">
      <alignment horizontal="center" vertical="center"/>
    </xf>
    <xf numFmtId="3" fontId="28" fillId="3" borderId="9" xfId="1" applyNumberFormat="1" applyFont="1" applyFill="1" applyBorder="1" applyAlignment="1">
      <alignment horizontal="center" vertical="center"/>
    </xf>
    <xf numFmtId="3" fontId="11" fillId="3" borderId="8" xfId="1" quotePrefix="1" applyNumberFormat="1" applyFont="1" applyFill="1" applyBorder="1" applyAlignment="1">
      <alignment horizontal="center" vertical="center"/>
    </xf>
    <xf numFmtId="3" fontId="11" fillId="3" borderId="9" xfId="1" quotePrefix="1" applyNumberFormat="1" applyFont="1" applyFill="1" applyBorder="1" applyAlignment="1">
      <alignment horizontal="center" vertical="center"/>
    </xf>
    <xf numFmtId="3" fontId="11" fillId="3" borderId="74" xfId="1" quotePrefix="1" applyNumberFormat="1" applyFont="1" applyFill="1" applyBorder="1" applyAlignment="1">
      <alignment horizontal="center" vertical="center"/>
    </xf>
    <xf numFmtId="3" fontId="11" fillId="3" borderId="21" xfId="1" quotePrefix="1" applyNumberFormat="1" applyFont="1" applyFill="1" applyBorder="1" applyAlignment="1">
      <alignment horizontal="center" vertical="center"/>
    </xf>
    <xf numFmtId="3" fontId="11" fillId="3" borderId="24" xfId="1" quotePrefix="1" applyNumberFormat="1" applyFont="1" applyFill="1" applyBorder="1" applyAlignment="1">
      <alignment horizontal="center" vertical="center"/>
    </xf>
    <xf numFmtId="3" fontId="11" fillId="3" borderId="32" xfId="1" quotePrefix="1" applyNumberFormat="1" applyFont="1" applyFill="1" applyBorder="1" applyAlignment="1">
      <alignment horizontal="center" vertical="center"/>
    </xf>
    <xf numFmtId="3" fontId="11" fillId="3" borderId="20" xfId="1" applyNumberFormat="1" applyFont="1" applyFill="1" applyBorder="1" applyAlignment="1">
      <alignment horizontal="center" vertical="center"/>
    </xf>
    <xf numFmtId="3" fontId="11" fillId="3" borderId="61" xfId="1" applyNumberFormat="1" applyFont="1" applyFill="1" applyBorder="1" applyAlignment="1">
      <alignment horizontal="center" vertical="center"/>
    </xf>
    <xf numFmtId="3" fontId="11" fillId="3" borderId="18" xfId="1" quotePrefix="1" applyNumberFormat="1" applyFont="1" applyFill="1" applyBorder="1" applyAlignment="1">
      <alignment horizontal="center" vertical="center"/>
    </xf>
    <xf numFmtId="3" fontId="11" fillId="3" borderId="6" xfId="1" quotePrefix="1" applyNumberFormat="1" applyFont="1" applyFill="1" applyBorder="1" applyAlignment="1">
      <alignment horizontal="center" vertical="center"/>
    </xf>
    <xf numFmtId="3" fontId="11" fillId="3" borderId="7" xfId="1" quotePrefix="1" applyNumberFormat="1" applyFont="1" applyFill="1" applyBorder="1" applyAlignment="1">
      <alignment horizontal="center" vertical="center"/>
    </xf>
    <xf numFmtId="3" fontId="11" fillId="3" borderId="68" xfId="1" quotePrefix="1" applyNumberFormat="1" applyFont="1" applyFill="1" applyBorder="1" applyAlignment="1">
      <alignment horizontal="center" vertical="center"/>
    </xf>
    <xf numFmtId="3" fontId="11" fillId="3" borderId="72" xfId="1" applyNumberFormat="1" applyFont="1" applyFill="1" applyBorder="1" applyAlignment="1">
      <alignment horizontal="center" vertical="center"/>
    </xf>
    <xf numFmtId="3" fontId="11" fillId="5" borderId="37" xfId="1" applyNumberFormat="1" applyFont="1" applyFill="1" applyBorder="1" applyAlignment="1">
      <alignment horizontal="center" vertical="center"/>
    </xf>
    <xf numFmtId="3" fontId="11" fillId="5" borderId="59" xfId="1" applyNumberFormat="1" applyFont="1" applyFill="1" applyBorder="1" applyAlignment="1">
      <alignment horizontal="center" vertical="center"/>
    </xf>
    <xf numFmtId="3" fontId="11" fillId="5" borderId="58" xfId="1" applyNumberFormat="1" applyFont="1" applyFill="1" applyBorder="1" applyAlignment="1">
      <alignment horizontal="center" vertical="center"/>
    </xf>
    <xf numFmtId="3" fontId="11" fillId="3" borderId="13" xfId="1" applyNumberFormat="1" applyFont="1" applyFill="1" applyBorder="1" applyAlignment="1">
      <alignment horizontal="center" vertical="center"/>
    </xf>
    <xf numFmtId="3" fontId="11" fillId="3" borderId="18" xfId="1" applyNumberFormat="1" applyFont="1" applyFill="1" applyBorder="1" applyAlignment="1">
      <alignment horizontal="center" vertical="center"/>
    </xf>
    <xf numFmtId="3" fontId="11" fillId="3" borderId="32" xfId="1" applyNumberFormat="1" applyFont="1" applyFill="1" applyBorder="1" applyAlignment="1">
      <alignment horizontal="center" vertical="center"/>
    </xf>
    <xf numFmtId="3" fontId="11" fillId="3" borderId="24" xfId="1" applyNumberFormat="1" applyFont="1" applyFill="1" applyBorder="1" applyAlignment="1">
      <alignment horizontal="center" vertical="center"/>
    </xf>
    <xf numFmtId="3" fontId="11" fillId="3" borderId="71" xfId="1" quotePrefix="1" applyNumberFormat="1" applyFont="1" applyFill="1" applyBorder="1" applyAlignment="1">
      <alignment horizontal="center" vertical="center"/>
    </xf>
    <xf numFmtId="3" fontId="11" fillId="3" borderId="41" xfId="1" quotePrefix="1" applyNumberFormat="1" applyFont="1" applyFill="1" applyBorder="1" applyAlignment="1">
      <alignment horizontal="center" vertical="center"/>
    </xf>
    <xf numFmtId="164" fontId="38" fillId="4" borderId="56" xfId="2" applyNumberFormat="1" applyFont="1" applyFill="1" applyBorder="1" applyAlignment="1">
      <alignment horizontal="center" vertical="center"/>
    </xf>
    <xf numFmtId="164" fontId="38" fillId="4" borderId="38" xfId="2" applyNumberFormat="1" applyFont="1" applyFill="1" applyBorder="1" applyAlignment="1">
      <alignment horizontal="center" vertical="center"/>
    </xf>
    <xf numFmtId="3" fontId="40" fillId="0" borderId="56" xfId="12" applyNumberFormat="1" applyFont="1" applyBorder="1" applyAlignment="1">
      <alignment horizontal="center" vertical="center" wrapText="1"/>
    </xf>
    <xf numFmtId="3" fontId="40" fillId="0" borderId="58" xfId="12" applyNumberFormat="1" applyFont="1" applyBorder="1" applyAlignment="1">
      <alignment horizontal="center" vertical="center" wrapText="1"/>
    </xf>
    <xf numFmtId="3" fontId="40" fillId="0" borderId="38" xfId="12" applyNumberFormat="1" applyFont="1" applyBorder="1" applyAlignment="1">
      <alignment horizontal="center" vertical="center" wrapText="1"/>
    </xf>
    <xf numFmtId="164" fontId="8" fillId="4" borderId="12" xfId="2" applyNumberFormat="1" applyFont="1" applyFill="1" applyBorder="1" applyAlignment="1">
      <alignment horizontal="center" vertical="center"/>
    </xf>
    <xf numFmtId="164" fontId="8" fillId="4" borderId="4" xfId="2" applyNumberFormat="1" applyFont="1" applyFill="1" applyBorder="1" applyAlignment="1">
      <alignment horizontal="center" vertical="center"/>
    </xf>
    <xf numFmtId="3" fontId="11" fillId="3" borderId="1" xfId="1" quotePrefix="1" applyNumberFormat="1" applyFont="1" applyFill="1" applyBorder="1" applyAlignment="1">
      <alignment horizontal="center" vertical="center"/>
    </xf>
    <xf numFmtId="3" fontId="11" fillId="3" borderId="2" xfId="1" quotePrefix="1" applyNumberFormat="1" applyFont="1" applyFill="1" applyBorder="1" applyAlignment="1">
      <alignment horizontal="center" vertical="center"/>
    </xf>
    <xf numFmtId="3" fontId="11" fillId="3" borderId="39" xfId="1" quotePrefix="1" applyNumberFormat="1" applyFont="1" applyFill="1" applyBorder="1" applyAlignment="1">
      <alignment horizontal="center" vertical="center"/>
    </xf>
    <xf numFmtId="3" fontId="11" fillId="3" borderId="5" xfId="1" applyNumberFormat="1" applyFont="1" applyFill="1" applyBorder="1" applyAlignment="1">
      <alignment horizontal="center" vertical="center"/>
    </xf>
    <xf numFmtId="0" fontId="40" fillId="0" borderId="75" xfId="12" applyFont="1" applyBorder="1" applyAlignment="1">
      <alignment horizontal="center" vertical="center" wrapText="1"/>
    </xf>
    <xf numFmtId="1" fontId="40" fillId="0" borderId="34" xfId="12" applyNumberFormat="1" applyFont="1" applyBorder="1" applyAlignment="1">
      <alignment horizontal="center" vertical="center" wrapText="1"/>
    </xf>
    <xf numFmtId="9" fontId="40" fillId="0" borderId="34" xfId="15" applyFont="1" applyFill="1" applyBorder="1" applyAlignment="1" applyProtection="1">
      <alignment horizontal="center" vertical="center" wrapText="1"/>
    </xf>
    <xf numFmtId="0" fontId="40" fillId="0" borderId="35" xfId="12" applyFont="1" applyBorder="1" applyAlignment="1">
      <alignment horizontal="center" vertical="center" wrapText="1"/>
    </xf>
    <xf numFmtId="1" fontId="40" fillId="0" borderId="30" xfId="12" applyNumberFormat="1" applyFont="1" applyBorder="1" applyAlignment="1">
      <alignment horizontal="center" vertical="center" wrapText="1"/>
    </xf>
    <xf numFmtId="9" fontId="40" fillId="0" borderId="30" xfId="15" applyFont="1" applyFill="1" applyBorder="1" applyAlignment="1" applyProtection="1">
      <alignment horizontal="center" vertical="center" wrapText="1"/>
    </xf>
    <xf numFmtId="0" fontId="40" fillId="0" borderId="32" xfId="12" applyFont="1" applyBorder="1" applyAlignment="1">
      <alignment horizontal="center" vertical="center" wrapText="1"/>
    </xf>
    <xf numFmtId="1" fontId="40" fillId="0" borderId="17" xfId="12" applyNumberFormat="1" applyFont="1" applyBorder="1" applyAlignment="1">
      <alignment horizontal="center" vertical="center" wrapText="1"/>
    </xf>
    <xf numFmtId="9" fontId="40" fillId="0" borderId="17" xfId="15" applyFont="1" applyFill="1" applyBorder="1" applyAlignment="1" applyProtection="1">
      <alignment horizontal="center" vertical="center" wrapText="1"/>
    </xf>
    <xf numFmtId="0" fontId="40" fillId="0" borderId="23" xfId="12" applyFont="1" applyBorder="1" applyAlignment="1">
      <alignment horizontal="center" vertical="center" wrapText="1"/>
    </xf>
    <xf numFmtId="0" fontId="28" fillId="0" borderId="13" xfId="1" applyFont="1" applyBorder="1" applyAlignment="1">
      <alignment horizontal="right" vertical="center"/>
    </xf>
    <xf numFmtId="0" fontId="3" fillId="0" borderId="0" xfId="3" quotePrefix="1"/>
    <xf numFmtId="1" fontId="3" fillId="0" borderId="0" xfId="3" applyNumberFormat="1" applyAlignment="1">
      <alignment horizontal="right"/>
    </xf>
    <xf numFmtId="9" fontId="3" fillId="0" borderId="81" xfId="15" applyFont="1" applyBorder="1" applyAlignment="1">
      <alignment horizontal="center" wrapText="1"/>
    </xf>
    <xf numFmtId="1" fontId="30" fillId="3" borderId="5" xfId="1" applyNumberFormat="1" applyFont="1" applyFill="1" applyBorder="1" applyAlignment="1">
      <alignment vertical="center" wrapText="1"/>
    </xf>
    <xf numFmtId="1" fontId="30" fillId="3" borderId="10" xfId="1" applyNumberFormat="1" applyFont="1" applyFill="1" applyBorder="1" applyAlignment="1">
      <alignment vertical="center" wrapText="1"/>
    </xf>
    <xf numFmtId="0" fontId="28" fillId="3" borderId="44" xfId="1" quotePrefix="1" applyFont="1" applyFill="1" applyBorder="1" applyAlignment="1">
      <alignment horizontal="center" vertical="center"/>
    </xf>
    <xf numFmtId="0" fontId="28" fillId="3" borderId="55" xfId="1" quotePrefix="1" applyFont="1" applyFill="1" applyBorder="1" applyAlignment="1">
      <alignment horizontal="center" vertical="center"/>
    </xf>
    <xf numFmtId="0" fontId="28" fillId="3" borderId="19" xfId="1" applyFont="1" applyFill="1" applyBorder="1" applyAlignment="1">
      <alignment horizontal="center" vertical="center"/>
    </xf>
    <xf numFmtId="1" fontId="29" fillId="0" borderId="44" xfId="12" applyNumberFormat="1" applyFont="1" applyBorder="1" applyAlignment="1">
      <alignment horizontal="center" vertical="center" wrapText="1"/>
    </xf>
    <xf numFmtId="1" fontId="29" fillId="0" borderId="55" xfId="12" applyNumberFormat="1" applyFont="1" applyBorder="1" applyAlignment="1">
      <alignment horizontal="center" vertical="center" wrapText="1"/>
    </xf>
    <xf numFmtId="1" fontId="29" fillId="0" borderId="54" xfId="12" applyNumberFormat="1" applyFont="1" applyBorder="1" applyAlignment="1">
      <alignment horizontal="center" vertical="center" wrapText="1"/>
    </xf>
    <xf numFmtId="1" fontId="30" fillId="5" borderId="21" xfId="1" quotePrefix="1" applyNumberFormat="1" applyFont="1" applyFill="1" applyBorder="1" applyAlignment="1">
      <alignment horizontal="center" vertical="center"/>
    </xf>
    <xf numFmtId="1" fontId="30" fillId="5" borderId="24" xfId="1" quotePrefix="1" applyNumberFormat="1" applyFont="1" applyFill="1" applyBorder="1" applyAlignment="1">
      <alignment horizontal="center" vertical="center"/>
    </xf>
    <xf numFmtId="1" fontId="30" fillId="5" borderId="23" xfId="1" quotePrefix="1" applyNumberFormat="1" applyFont="1" applyFill="1" applyBorder="1" applyAlignment="1">
      <alignment horizontal="center" vertical="center"/>
    </xf>
    <xf numFmtId="1" fontId="30" fillId="5" borderId="22" xfId="1" applyNumberFormat="1" applyFont="1" applyFill="1" applyBorder="1" applyAlignment="1">
      <alignment horizontal="center" vertical="center"/>
    </xf>
    <xf numFmtId="3" fontId="30" fillId="3" borderId="82" xfId="1" applyNumberFormat="1" applyFont="1" applyFill="1" applyBorder="1" applyAlignment="1">
      <alignment horizontal="center" vertical="center"/>
    </xf>
    <xf numFmtId="0" fontId="40" fillId="0" borderId="82" xfId="12" applyFont="1" applyBorder="1" applyAlignment="1">
      <alignment horizontal="center" vertical="center" wrapText="1"/>
    </xf>
    <xf numFmtId="9" fontId="8" fillId="0" borderId="0" xfId="4" applyNumberFormat="1" applyFont="1" applyAlignment="1">
      <alignment vertical="center"/>
    </xf>
    <xf numFmtId="0" fontId="8" fillId="0" borderId="0" xfId="4" applyFont="1" applyAlignment="1">
      <alignment vertical="center"/>
    </xf>
    <xf numFmtId="9" fontId="3" fillId="0" borderId="0" xfId="4" applyNumberFormat="1" applyAlignment="1">
      <alignment horizontal="right" vertical="center"/>
    </xf>
    <xf numFmtId="0" fontId="3" fillId="0" borderId="0" xfId="4" applyAlignment="1">
      <alignment horizontal="right"/>
    </xf>
    <xf numFmtId="0" fontId="6" fillId="0" borderId="0" xfId="4" applyFont="1" applyAlignment="1">
      <alignment horizontal="right" wrapText="1"/>
    </xf>
    <xf numFmtId="0" fontId="49" fillId="0" borderId="0" xfId="0" applyFont="1"/>
    <xf numFmtId="0" fontId="50" fillId="0" borderId="0" xfId="0" applyFont="1"/>
    <xf numFmtId="0" fontId="48" fillId="0" borderId="0" xfId="0" applyFont="1"/>
    <xf numFmtId="3" fontId="30" fillId="3" borderId="77" xfId="1" quotePrefix="1" applyNumberFormat="1" applyFont="1" applyFill="1" applyBorder="1" applyAlignment="1">
      <alignment horizontal="center" vertical="center"/>
    </xf>
    <xf numFmtId="3" fontId="30" fillId="3" borderId="78" xfId="1" quotePrefix="1" applyNumberFormat="1" applyFont="1" applyFill="1" applyBorder="1" applyAlignment="1">
      <alignment horizontal="center" vertical="center"/>
    </xf>
    <xf numFmtId="3" fontId="30" fillId="3" borderId="83" xfId="1" applyNumberFormat="1" applyFont="1" applyFill="1" applyBorder="1" applyAlignment="1">
      <alignment horizontal="center" vertical="center"/>
    </xf>
    <xf numFmtId="3" fontId="30" fillId="3" borderId="84" xfId="1" applyNumberFormat="1" applyFont="1" applyFill="1" applyBorder="1" applyAlignment="1">
      <alignment horizontal="center" vertical="center"/>
    </xf>
    <xf numFmtId="3" fontId="30" fillId="3" borderId="85" xfId="1" applyNumberFormat="1" applyFont="1" applyFill="1" applyBorder="1" applyAlignment="1">
      <alignment horizontal="center" vertical="center"/>
    </xf>
    <xf numFmtId="3" fontId="30" fillId="3" borderId="86" xfId="1" applyNumberFormat="1" applyFont="1" applyFill="1" applyBorder="1" applyAlignment="1">
      <alignment horizontal="center" vertical="center"/>
    </xf>
    <xf numFmtId="3" fontId="30" fillId="3" borderId="87" xfId="1" applyNumberFormat="1" applyFont="1" applyFill="1" applyBorder="1" applyAlignment="1">
      <alignment horizontal="center" vertical="center"/>
    </xf>
    <xf numFmtId="3" fontId="11" fillId="3" borderId="10" xfId="1" applyNumberFormat="1" applyFont="1" applyFill="1" applyBorder="1" applyAlignment="1">
      <alignment horizontal="center" vertical="center"/>
    </xf>
    <xf numFmtId="3" fontId="11" fillId="3" borderId="61" xfId="1" quotePrefix="1" applyNumberFormat="1" applyFont="1" applyFill="1" applyBorder="1" applyAlignment="1">
      <alignment horizontal="center" vertical="center"/>
    </xf>
    <xf numFmtId="3" fontId="32" fillId="5" borderId="56" xfId="12" applyNumberFormat="1" applyFont="1" applyFill="1" applyBorder="1" applyAlignment="1">
      <alignment horizontal="center" vertical="center" wrapText="1"/>
    </xf>
    <xf numFmtId="3" fontId="32" fillId="5" borderId="76" xfId="12" applyNumberFormat="1" applyFont="1" applyFill="1" applyBorder="1" applyAlignment="1">
      <alignment horizontal="center" vertical="center" wrapText="1"/>
    </xf>
    <xf numFmtId="3" fontId="28" fillId="3" borderId="55" xfId="1" applyNumberFormat="1" applyFont="1" applyFill="1" applyBorder="1" applyAlignment="1">
      <alignment horizontal="center" vertical="center"/>
    </xf>
    <xf numFmtId="3" fontId="28" fillId="3" borderId="43" xfId="1" applyNumberFormat="1" applyFont="1" applyFill="1" applyBorder="1" applyAlignment="1">
      <alignment horizontal="center" vertical="center"/>
    </xf>
    <xf numFmtId="3" fontId="28" fillId="3" borderId="7" xfId="1" applyNumberFormat="1" applyFont="1" applyFill="1" applyBorder="1" applyAlignment="1">
      <alignment horizontal="center" vertical="center"/>
    </xf>
    <xf numFmtId="3" fontId="28" fillId="3" borderId="6" xfId="1" applyNumberFormat="1" applyFont="1" applyFill="1" applyBorder="1" applyAlignment="1">
      <alignment horizontal="center" vertical="center"/>
    </xf>
    <xf numFmtId="3" fontId="28" fillId="3" borderId="8" xfId="1" applyNumberFormat="1" applyFont="1" applyFill="1" applyBorder="1" applyAlignment="1">
      <alignment horizontal="center" vertical="center"/>
    </xf>
    <xf numFmtId="0" fontId="28" fillId="3" borderId="23" xfId="1" applyFont="1" applyFill="1" applyBorder="1" applyAlignment="1">
      <alignment horizontal="center" vertical="center"/>
    </xf>
    <xf numFmtId="0" fontId="28" fillId="3" borderId="23" xfId="1" quotePrefix="1" applyFont="1" applyFill="1" applyBorder="1" applyAlignment="1">
      <alignment horizontal="center" vertical="center"/>
    </xf>
    <xf numFmtId="3" fontId="30" fillId="3" borderId="16" xfId="1" applyNumberFormat="1" applyFont="1" applyFill="1" applyBorder="1" applyAlignment="1">
      <alignment horizontal="center" vertical="center"/>
    </xf>
    <xf numFmtId="0" fontId="29" fillId="0" borderId="1" xfId="14" applyFont="1" applyBorder="1" applyAlignment="1">
      <alignment horizontal="center" vertical="center" wrapText="1"/>
    </xf>
    <xf numFmtId="3" fontId="29" fillId="0" borderId="40" xfId="14" applyNumberFormat="1" applyFont="1" applyBorder="1" applyAlignment="1">
      <alignment horizontal="center" vertical="center" wrapText="1"/>
    </xf>
    <xf numFmtId="0" fontId="29" fillId="0" borderId="40" xfId="14" applyFont="1" applyBorder="1" applyAlignment="1">
      <alignment horizontal="center" vertical="center" wrapText="1"/>
    </xf>
    <xf numFmtId="0" fontId="29" fillId="0" borderId="2" xfId="14" applyFont="1" applyBorder="1" applyAlignment="1">
      <alignment horizontal="center" vertical="center" wrapText="1"/>
    </xf>
    <xf numFmtId="0" fontId="29" fillId="0" borderId="5" xfId="14" applyFont="1" applyBorder="1" applyAlignment="1">
      <alignment horizontal="center" vertical="center" wrapText="1"/>
    </xf>
    <xf numFmtId="1" fontId="29" fillId="0" borderId="39" xfId="12" applyNumberFormat="1" applyFont="1" applyBorder="1" applyAlignment="1">
      <alignment horizontal="center" vertical="center" wrapText="1"/>
    </xf>
    <xf numFmtId="1" fontId="29" fillId="0" borderId="2" xfId="12" applyNumberFormat="1" applyFont="1" applyBorder="1" applyAlignment="1">
      <alignment horizontal="center" vertical="center" wrapText="1"/>
    </xf>
    <xf numFmtId="1" fontId="29" fillId="0" borderId="64" xfId="12" applyNumberFormat="1" applyFont="1" applyBorder="1" applyAlignment="1">
      <alignment horizontal="center" vertical="center" wrapText="1"/>
    </xf>
    <xf numFmtId="3" fontId="28" fillId="3" borderId="42" xfId="1" quotePrefix="1" applyNumberFormat="1" applyFont="1" applyFill="1" applyBorder="1" applyAlignment="1">
      <alignment horizontal="center" vertical="center"/>
    </xf>
    <xf numFmtId="3" fontId="29" fillId="10" borderId="43" xfId="12" applyNumberFormat="1" applyFont="1" applyFill="1" applyBorder="1" applyAlignment="1">
      <alignment horizontal="center" vertical="center" wrapText="1"/>
    </xf>
    <xf numFmtId="3" fontId="29" fillId="10" borderId="55" xfId="12" applyNumberFormat="1" applyFont="1" applyFill="1" applyBorder="1" applyAlignment="1">
      <alignment horizontal="center" vertical="center" wrapText="1"/>
    </xf>
    <xf numFmtId="3" fontId="29" fillId="10" borderId="57" xfId="12" applyNumberFormat="1" applyFont="1" applyFill="1" applyBorder="1" applyAlignment="1">
      <alignment horizontal="center" vertical="center" wrapText="1"/>
    </xf>
    <xf numFmtId="3" fontId="29" fillId="10" borderId="45" xfId="12" applyNumberFormat="1" applyFont="1" applyFill="1" applyBorder="1" applyAlignment="1">
      <alignment horizontal="center" vertical="center" wrapText="1"/>
    </xf>
    <xf numFmtId="3" fontId="29" fillId="10" borderId="56" xfId="12" applyNumberFormat="1" applyFont="1" applyFill="1" applyBorder="1" applyAlignment="1">
      <alignment horizontal="center" vertical="center" wrapText="1"/>
    </xf>
    <xf numFmtId="3" fontId="29" fillId="10" borderId="38" xfId="12" applyNumberFormat="1" applyFont="1" applyFill="1" applyBorder="1" applyAlignment="1">
      <alignment horizontal="center" vertical="center" wrapText="1"/>
    </xf>
    <xf numFmtId="3" fontId="29" fillId="10" borderId="59" xfId="12" applyNumberFormat="1" applyFont="1" applyFill="1" applyBorder="1" applyAlignment="1">
      <alignment horizontal="center" vertical="center" wrapText="1"/>
    </xf>
    <xf numFmtId="3" fontId="29" fillId="10" borderId="48" xfId="12" applyNumberFormat="1" applyFont="1" applyFill="1" applyBorder="1" applyAlignment="1">
      <alignment horizontal="center" vertical="center" wrapText="1"/>
    </xf>
    <xf numFmtId="3" fontId="29" fillId="10" borderId="76" xfId="12" applyNumberFormat="1" applyFont="1" applyFill="1" applyBorder="1" applyAlignment="1">
      <alignment horizontal="center" vertical="center" wrapText="1"/>
    </xf>
    <xf numFmtId="3" fontId="28" fillId="10" borderId="45" xfId="1" applyNumberFormat="1" applyFont="1" applyFill="1" applyBorder="1" applyAlignment="1">
      <alignment horizontal="center" vertical="center"/>
    </xf>
    <xf numFmtId="0" fontId="28" fillId="3" borderId="65" xfId="1" applyFont="1" applyFill="1" applyBorder="1" applyAlignment="1">
      <alignment horizontal="center" vertical="center"/>
    </xf>
    <xf numFmtId="164" fontId="38" fillId="4" borderId="30" xfId="2" applyNumberFormat="1" applyFont="1" applyFill="1" applyBorder="1" applyAlignment="1">
      <alignment horizontal="center" vertical="center"/>
    </xf>
    <xf numFmtId="3" fontId="40" fillId="0" borderId="89" xfId="12" applyNumberFormat="1" applyFont="1" applyBorder="1" applyAlignment="1">
      <alignment horizontal="center" vertical="center" wrapText="1"/>
    </xf>
    <xf numFmtId="3" fontId="40" fillId="0" borderId="90" xfId="12" applyNumberFormat="1" applyFont="1" applyBorder="1" applyAlignment="1">
      <alignment horizontal="center" vertical="center" wrapText="1"/>
    </xf>
    <xf numFmtId="3" fontId="40" fillId="0" borderId="91" xfId="12" applyNumberFormat="1" applyFont="1" applyBorder="1" applyAlignment="1">
      <alignment horizontal="center" vertical="center" wrapText="1"/>
    </xf>
    <xf numFmtId="3" fontId="40" fillId="0" borderId="92" xfId="12" applyNumberFormat="1" applyFont="1" applyBorder="1" applyAlignment="1">
      <alignment horizontal="center" vertical="center" wrapText="1"/>
    </xf>
    <xf numFmtId="3" fontId="40" fillId="0" borderId="93" xfId="12" applyNumberFormat="1" applyFont="1" applyBorder="1" applyAlignment="1">
      <alignment horizontal="center" vertical="center" wrapText="1"/>
    </xf>
    <xf numFmtId="3" fontId="30" fillId="3" borderId="94" xfId="1" quotePrefix="1" applyNumberFormat="1" applyFont="1" applyFill="1" applyBorder="1" applyAlignment="1">
      <alignment horizontal="center" vertical="center"/>
    </xf>
    <xf numFmtId="3" fontId="30" fillId="3" borderId="95" xfId="1" quotePrefix="1" applyNumberFormat="1" applyFont="1" applyFill="1" applyBorder="1" applyAlignment="1">
      <alignment horizontal="center" vertical="center"/>
    </xf>
    <xf numFmtId="3" fontId="30" fillId="3" borderId="88" xfId="1" applyNumberFormat="1" applyFont="1" applyFill="1" applyBorder="1" applyAlignment="1">
      <alignment horizontal="center" vertical="center"/>
    </xf>
    <xf numFmtId="3" fontId="30" fillId="3" borderId="96" xfId="1" applyNumberFormat="1" applyFont="1" applyFill="1" applyBorder="1" applyAlignment="1">
      <alignment horizontal="center" vertical="center"/>
    </xf>
    <xf numFmtId="3" fontId="30" fillId="3" borderId="21" xfId="1" applyNumberFormat="1" applyFont="1" applyFill="1" applyBorder="1" applyAlignment="1">
      <alignment horizontal="center" vertical="center"/>
    </xf>
    <xf numFmtId="3" fontId="30" fillId="3" borderId="24" xfId="1" applyNumberFormat="1" applyFont="1" applyFill="1" applyBorder="1" applyAlignment="1">
      <alignment horizontal="center" vertical="center"/>
    </xf>
    <xf numFmtId="1" fontId="28" fillId="3" borderId="28" xfId="1" applyNumberFormat="1" applyFont="1" applyFill="1" applyBorder="1" applyAlignment="1">
      <alignment horizontal="center" vertical="center"/>
    </xf>
    <xf numFmtId="1" fontId="28" fillId="3" borderId="17" xfId="1" applyNumberFormat="1" applyFont="1" applyFill="1" applyBorder="1" applyAlignment="1">
      <alignment horizontal="center" vertical="center"/>
    </xf>
    <xf numFmtId="1" fontId="28" fillId="3" borderId="30" xfId="1" applyNumberFormat="1" applyFont="1" applyFill="1" applyBorder="1" applyAlignment="1">
      <alignment horizontal="center" vertical="center"/>
    </xf>
    <xf numFmtId="1" fontId="28" fillId="3" borderId="15" xfId="1" applyNumberFormat="1" applyFont="1" applyFill="1" applyBorder="1" applyAlignment="1">
      <alignment horizontal="center" vertical="center"/>
    </xf>
    <xf numFmtId="1" fontId="28" fillId="3" borderId="64" xfId="1" applyNumberFormat="1" applyFont="1" applyFill="1" applyBorder="1" applyAlignment="1">
      <alignment horizontal="center" vertical="center"/>
    </xf>
    <xf numFmtId="1" fontId="28" fillId="3" borderId="39" xfId="1" applyNumberFormat="1" applyFont="1" applyFill="1" applyBorder="1" applyAlignment="1">
      <alignment horizontal="center" vertical="center"/>
    </xf>
    <xf numFmtId="1" fontId="28" fillId="3" borderId="2" xfId="1" applyNumberFormat="1" applyFont="1" applyFill="1" applyBorder="1" applyAlignment="1">
      <alignment horizontal="center" vertical="center"/>
    </xf>
    <xf numFmtId="1" fontId="28" fillId="3" borderId="1" xfId="1" applyNumberFormat="1" applyFont="1" applyFill="1" applyBorder="1" applyAlignment="1">
      <alignment horizontal="center" vertical="center"/>
    </xf>
    <xf numFmtId="3" fontId="28" fillId="3" borderId="97" xfId="1" applyNumberFormat="1" applyFont="1" applyFill="1" applyBorder="1" applyAlignment="1">
      <alignment horizontal="center" vertical="center"/>
    </xf>
    <xf numFmtId="3" fontId="28" fillId="3" borderId="98" xfId="1" applyNumberFormat="1" applyFont="1" applyFill="1" applyBorder="1" applyAlignment="1">
      <alignment horizontal="center" vertical="center"/>
    </xf>
    <xf numFmtId="3" fontId="28" fillId="3" borderId="99" xfId="1" applyNumberFormat="1" applyFont="1" applyFill="1" applyBorder="1" applyAlignment="1">
      <alignment horizontal="center" vertical="center"/>
    </xf>
    <xf numFmtId="3" fontId="28" fillId="3" borderId="100" xfId="1" applyNumberFormat="1" applyFont="1" applyFill="1" applyBorder="1" applyAlignment="1">
      <alignment horizontal="center" vertical="center"/>
    </xf>
    <xf numFmtId="3" fontId="28" fillId="3" borderId="100" xfId="1" quotePrefix="1" applyNumberFormat="1" applyFont="1" applyFill="1" applyBorder="1" applyAlignment="1">
      <alignment horizontal="center" vertical="center"/>
    </xf>
    <xf numFmtId="3" fontId="28" fillId="3" borderId="101" xfId="1" quotePrefix="1" applyNumberFormat="1" applyFont="1" applyFill="1" applyBorder="1" applyAlignment="1">
      <alignment horizontal="center" vertical="center"/>
    </xf>
    <xf numFmtId="3" fontId="28" fillId="3" borderId="102" xfId="1" quotePrefix="1" applyNumberFormat="1" applyFont="1" applyFill="1" applyBorder="1" applyAlignment="1">
      <alignment horizontal="center" vertical="center"/>
    </xf>
    <xf numFmtId="3" fontId="28" fillId="3" borderId="103" xfId="1" quotePrefix="1" applyNumberFormat="1" applyFont="1" applyFill="1" applyBorder="1" applyAlignment="1">
      <alignment horizontal="center" vertical="center"/>
    </xf>
    <xf numFmtId="3" fontId="28" fillId="3" borderId="99" xfId="1" quotePrefix="1" applyNumberFormat="1" applyFont="1" applyFill="1" applyBorder="1" applyAlignment="1">
      <alignment horizontal="center" vertical="center"/>
    </xf>
    <xf numFmtId="3" fontId="28" fillId="3" borderId="104" xfId="1" quotePrefix="1" applyNumberFormat="1" applyFont="1" applyFill="1" applyBorder="1" applyAlignment="1">
      <alignment horizontal="center" vertical="center"/>
    </xf>
    <xf numFmtId="3" fontId="30" fillId="7" borderId="105" xfId="1" applyNumberFormat="1" applyFont="1" applyFill="1" applyBorder="1" applyAlignment="1">
      <alignment horizontal="right" vertical="center"/>
    </xf>
    <xf numFmtId="3" fontId="28" fillId="0" borderId="99" xfId="1" applyNumberFormat="1" applyFont="1" applyBorder="1" applyAlignment="1">
      <alignment horizontal="right" vertical="center"/>
    </xf>
    <xf numFmtId="3" fontId="28" fillId="3" borderId="106" xfId="1" applyNumberFormat="1" applyFont="1" applyFill="1" applyBorder="1" applyAlignment="1">
      <alignment horizontal="right" vertical="center"/>
    </xf>
    <xf numFmtId="9" fontId="28" fillId="3" borderId="106" xfId="1" applyNumberFormat="1" applyFont="1" applyFill="1" applyBorder="1" applyAlignment="1">
      <alignment horizontal="right" vertical="center"/>
    </xf>
    <xf numFmtId="0" fontId="28" fillId="3" borderId="107" xfId="1" quotePrefix="1" applyFont="1" applyFill="1" applyBorder="1" applyAlignment="1">
      <alignment horizontal="center" vertical="center"/>
    </xf>
    <xf numFmtId="171" fontId="3" fillId="0" borderId="0" xfId="21" applyNumberFormat="1" applyFont="1" applyAlignment="1">
      <alignment horizontal="center"/>
    </xf>
    <xf numFmtId="0" fontId="7" fillId="0" borderId="0" xfId="3" applyFont="1" applyAlignment="1">
      <alignment horizontal="center" vertical="center"/>
    </xf>
    <xf numFmtId="0" fontId="8" fillId="5" borderId="55" xfId="1" applyFont="1" applyFill="1" applyBorder="1" applyAlignment="1">
      <alignment horizontal="center" vertical="center" wrapText="1"/>
    </xf>
    <xf numFmtId="0" fontId="8" fillId="5" borderId="49" xfId="1" applyFont="1" applyFill="1" applyBorder="1" applyAlignment="1">
      <alignment horizontal="center" vertical="center" wrapText="1"/>
    </xf>
    <xf numFmtId="0" fontId="30" fillId="3" borderId="3" xfId="1" applyFont="1" applyFill="1" applyBorder="1" applyAlignment="1">
      <alignment horizontal="left" vertical="center"/>
    </xf>
    <xf numFmtId="0" fontId="30" fillId="3" borderId="41" xfId="1" applyFont="1" applyFill="1" applyBorder="1" applyAlignment="1">
      <alignment horizontal="left" vertical="center"/>
    </xf>
    <xf numFmtId="0" fontId="30" fillId="3" borderId="34" xfId="1" applyFont="1" applyFill="1" applyBorder="1" applyAlignment="1">
      <alignment horizontal="left" vertical="center"/>
    </xf>
    <xf numFmtId="0" fontId="30" fillId="3" borderId="31" xfId="1" applyFont="1" applyFill="1" applyBorder="1" applyAlignment="1">
      <alignment horizontal="left" vertical="center"/>
    </xf>
    <xf numFmtId="0" fontId="30" fillId="3" borderId="25" xfId="1" applyFont="1" applyFill="1" applyBorder="1" applyAlignment="1">
      <alignment horizontal="center" vertical="center"/>
    </xf>
    <xf numFmtId="0" fontId="30" fillId="3" borderId="19" xfId="1" applyFont="1" applyFill="1" applyBorder="1" applyAlignment="1">
      <alignment horizontal="center" vertical="center"/>
    </xf>
    <xf numFmtId="0" fontId="30" fillId="7" borderId="48" xfId="1" applyFont="1" applyFill="1" applyBorder="1" applyAlignment="1">
      <alignment horizontal="left" vertical="center"/>
    </xf>
    <xf numFmtId="0" fontId="30" fillId="7" borderId="45" xfId="1" applyFont="1" applyFill="1" applyBorder="1" applyAlignment="1">
      <alignment horizontal="left" vertical="center"/>
    </xf>
    <xf numFmtId="0" fontId="30" fillId="3" borderId="35" xfId="1" applyFont="1" applyFill="1" applyBorder="1" applyAlignment="1">
      <alignment horizontal="left" vertical="center"/>
    </xf>
    <xf numFmtId="0" fontId="30" fillId="3" borderId="33" xfId="1" applyFont="1" applyFill="1" applyBorder="1" applyAlignment="1">
      <alignment horizontal="left" vertical="center"/>
    </xf>
    <xf numFmtId="0" fontId="8" fillId="5" borderId="44" xfId="1" applyFont="1" applyFill="1" applyBorder="1" applyAlignment="1">
      <alignment horizontal="center" vertical="center" wrapText="1"/>
    </xf>
    <xf numFmtId="0" fontId="31" fillId="0" borderId="36" xfId="19" applyFont="1" applyBorder="1" applyAlignment="1">
      <alignment horizontal="left"/>
    </xf>
    <xf numFmtId="0" fontId="31" fillId="0" borderId="37" xfId="19" applyFont="1" applyBorder="1" applyAlignment="1">
      <alignment horizontal="left"/>
    </xf>
    <xf numFmtId="0" fontId="31" fillId="0" borderId="38" xfId="19" applyFont="1" applyBorder="1" applyAlignment="1">
      <alignment horizontal="left"/>
    </xf>
    <xf numFmtId="0" fontId="11" fillId="3" borderId="72" xfId="1" applyFont="1" applyFill="1" applyBorder="1" applyAlignment="1">
      <alignment horizontal="center" vertical="center"/>
    </xf>
    <xf numFmtId="0" fontId="40" fillId="0" borderId="25" xfId="12" applyFont="1" applyBorder="1" applyAlignment="1">
      <alignment horizontal="center" vertical="center" wrapText="1"/>
    </xf>
    <xf numFmtId="0" fontId="40" fillId="0" borderId="25" xfId="14" applyFont="1" applyBorder="1" applyAlignment="1">
      <alignment horizontal="center" vertical="center" wrapText="1"/>
    </xf>
    <xf numFmtId="0" fontId="40" fillId="0" borderId="15" xfId="12" applyFont="1" applyBorder="1" applyAlignment="1">
      <alignment horizontal="center" vertical="center" wrapText="1"/>
    </xf>
    <xf numFmtId="0" fontId="40" fillId="0" borderId="26" xfId="12" applyFont="1" applyBorder="1" applyAlignment="1">
      <alignment horizontal="center" vertical="center" wrapText="1"/>
    </xf>
    <xf numFmtId="0" fontId="40" fillId="0" borderId="21" xfId="12" applyFont="1" applyBorder="1" applyAlignment="1">
      <alignment horizontal="center" vertical="center" wrapText="1"/>
    </xf>
    <xf numFmtId="0" fontId="40" fillId="0" borderId="19" xfId="14" applyFont="1" applyBorder="1" applyAlignment="1">
      <alignment horizontal="center" vertical="center" wrapText="1"/>
    </xf>
    <xf numFmtId="165" fontId="25" fillId="0" borderId="36" xfId="4" applyNumberFormat="1" applyFont="1" applyBorder="1" applyAlignment="1">
      <alignment horizontal="center" vertical="center"/>
    </xf>
    <xf numFmtId="165" fontId="25" fillId="0" borderId="38" xfId="4" applyNumberFormat="1" applyFont="1" applyBorder="1" applyAlignment="1">
      <alignment horizontal="center" vertical="center"/>
    </xf>
    <xf numFmtId="0" fontId="10" fillId="2" borderId="41" xfId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0" fontId="21" fillId="0" borderId="48" xfId="19" applyFont="1" applyBorder="1" applyAlignment="1">
      <alignment horizontal="center"/>
    </xf>
    <xf numFmtId="0" fontId="21" fillId="0" borderId="45" xfId="19" applyFont="1" applyBorder="1" applyAlignment="1">
      <alignment horizontal="center"/>
    </xf>
    <xf numFmtId="0" fontId="21" fillId="0" borderId="49" xfId="19" applyFont="1" applyBorder="1" applyAlignment="1">
      <alignment horizontal="center"/>
    </xf>
    <xf numFmtId="0" fontId="8" fillId="5" borderId="1" xfId="1" applyFont="1" applyFill="1" applyBorder="1" applyAlignment="1">
      <alignment horizontal="center" vertical="center" wrapText="1"/>
    </xf>
    <xf numFmtId="0" fontId="8" fillId="5" borderId="43" xfId="1" applyFont="1" applyFill="1" applyBorder="1" applyAlignment="1">
      <alignment horizontal="center" vertical="center" wrapText="1"/>
    </xf>
    <xf numFmtId="0" fontId="8" fillId="5" borderId="2" xfId="1" applyFont="1" applyFill="1" applyBorder="1" applyAlignment="1">
      <alignment horizontal="center" vertical="center" wrapText="1"/>
    </xf>
    <xf numFmtId="0" fontId="8" fillId="5" borderId="55" xfId="1" applyFont="1" applyFill="1" applyBorder="1" applyAlignment="1">
      <alignment horizontal="center" vertical="center" wrapText="1"/>
    </xf>
    <xf numFmtId="0" fontId="8" fillId="5" borderId="3" xfId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8" fillId="5" borderId="5" xfId="1" applyFont="1" applyFill="1" applyBorder="1" applyAlignment="1">
      <alignment horizontal="center" vertical="center" wrapText="1"/>
    </xf>
    <xf numFmtId="0" fontId="8" fillId="5" borderId="49" xfId="1" applyFont="1" applyFill="1" applyBorder="1" applyAlignment="1">
      <alignment horizontal="center" vertical="center" wrapText="1"/>
    </xf>
    <xf numFmtId="0" fontId="30" fillId="3" borderId="3" xfId="1" applyFont="1" applyFill="1" applyBorder="1" applyAlignment="1">
      <alignment horizontal="left" vertical="center"/>
    </xf>
    <xf numFmtId="0" fontId="30" fillId="3" borderId="41" xfId="1" applyFont="1" applyFill="1" applyBorder="1" applyAlignment="1">
      <alignment horizontal="left" vertical="center"/>
    </xf>
    <xf numFmtId="0" fontId="30" fillId="3" borderId="34" xfId="1" applyFont="1" applyFill="1" applyBorder="1" applyAlignment="1">
      <alignment horizontal="left" vertical="center"/>
    </xf>
    <xf numFmtId="0" fontId="30" fillId="3" borderId="31" xfId="1" applyFont="1" applyFill="1" applyBorder="1" applyAlignment="1">
      <alignment horizontal="left" vertical="center"/>
    </xf>
    <xf numFmtId="0" fontId="30" fillId="3" borderId="72" xfId="1" applyFont="1" applyFill="1" applyBorder="1" applyAlignment="1">
      <alignment horizontal="center" vertical="center"/>
    </xf>
    <xf numFmtId="0" fontId="30" fillId="3" borderId="10" xfId="1" applyFont="1" applyFill="1" applyBorder="1" applyAlignment="1">
      <alignment horizontal="center" vertical="center"/>
    </xf>
    <xf numFmtId="0" fontId="30" fillId="3" borderId="25" xfId="1" applyFont="1" applyFill="1" applyBorder="1" applyAlignment="1">
      <alignment horizontal="center" vertical="center"/>
    </xf>
    <xf numFmtId="0" fontId="30" fillId="3" borderId="19" xfId="1" applyFont="1" applyFill="1" applyBorder="1" applyAlignment="1">
      <alignment horizontal="center" vertical="center"/>
    </xf>
    <xf numFmtId="0" fontId="30" fillId="3" borderId="5" xfId="1" applyFont="1" applyFill="1" applyBorder="1" applyAlignment="1">
      <alignment horizontal="center" vertical="center"/>
    </xf>
    <xf numFmtId="0" fontId="30" fillId="7" borderId="48" xfId="1" applyFont="1" applyFill="1" applyBorder="1" applyAlignment="1">
      <alignment horizontal="left" vertical="center"/>
    </xf>
    <xf numFmtId="0" fontId="30" fillId="7" borderId="45" xfId="1" applyFont="1" applyFill="1" applyBorder="1" applyAlignment="1">
      <alignment horizontal="left" vertical="center"/>
    </xf>
    <xf numFmtId="1" fontId="30" fillId="3" borderId="5" xfId="1" applyNumberFormat="1" applyFont="1" applyFill="1" applyBorder="1" applyAlignment="1">
      <alignment horizontal="center" vertical="center" wrapText="1"/>
    </xf>
    <xf numFmtId="1" fontId="30" fillId="3" borderId="10" xfId="1" applyNumberFormat="1" applyFont="1" applyFill="1" applyBorder="1" applyAlignment="1">
      <alignment horizontal="center" vertical="center" wrapText="1"/>
    </xf>
    <xf numFmtId="1" fontId="30" fillId="3" borderId="19" xfId="1" applyNumberFormat="1" applyFont="1" applyFill="1" applyBorder="1" applyAlignment="1">
      <alignment horizontal="center" vertical="center" wrapText="1"/>
    </xf>
    <xf numFmtId="0" fontId="30" fillId="3" borderId="35" xfId="1" applyFont="1" applyFill="1" applyBorder="1" applyAlignment="1">
      <alignment horizontal="left" vertical="center"/>
    </xf>
    <xf numFmtId="0" fontId="30" fillId="3" borderId="33" xfId="1" applyFont="1" applyFill="1" applyBorder="1" applyAlignment="1">
      <alignment horizontal="left" vertical="center"/>
    </xf>
    <xf numFmtId="0" fontId="31" fillId="0" borderId="46" xfId="19" applyFont="1" applyBorder="1" applyAlignment="1">
      <alignment horizontal="left"/>
    </xf>
    <xf numFmtId="0" fontId="31" fillId="0" borderId="40" xfId="19" applyFont="1" applyBorder="1" applyAlignment="1">
      <alignment horizontal="left"/>
    </xf>
    <xf numFmtId="0" fontId="31" fillId="0" borderId="47" xfId="19" applyFont="1" applyBorder="1" applyAlignment="1">
      <alignment horizontal="left"/>
    </xf>
    <xf numFmtId="0" fontId="31" fillId="0" borderId="48" xfId="19" applyFont="1" applyBorder="1" applyAlignment="1">
      <alignment horizontal="left" wrapText="1"/>
    </xf>
    <xf numFmtId="0" fontId="31" fillId="0" borderId="45" xfId="19" applyFont="1" applyBorder="1" applyAlignment="1">
      <alignment horizontal="left" wrapText="1"/>
    </xf>
    <xf numFmtId="0" fontId="31" fillId="0" borderId="49" xfId="19" applyFont="1" applyBorder="1" applyAlignment="1">
      <alignment horizontal="left" wrapText="1"/>
    </xf>
    <xf numFmtId="0" fontId="8" fillId="5" borderId="41" xfId="1" applyFont="1" applyFill="1" applyBorder="1" applyAlignment="1">
      <alignment horizontal="center" vertical="center"/>
    </xf>
    <xf numFmtId="0" fontId="8" fillId="5" borderId="19" xfId="1" applyFont="1" applyFill="1" applyBorder="1" applyAlignment="1">
      <alignment horizontal="center" vertical="center" wrapText="1"/>
    </xf>
    <xf numFmtId="0" fontId="38" fillId="0" borderId="48" xfId="7" applyFont="1" applyBorder="1" applyAlignment="1">
      <alignment horizontal="center"/>
    </xf>
    <xf numFmtId="0" fontId="38" fillId="0" borderId="45" xfId="7" applyFont="1" applyBorder="1" applyAlignment="1">
      <alignment horizontal="center"/>
    </xf>
    <xf numFmtId="0" fontId="8" fillId="5" borderId="39" xfId="1" applyFont="1" applyFill="1" applyBorder="1" applyAlignment="1">
      <alignment horizontal="center" vertical="center" wrapText="1"/>
    </xf>
    <xf numFmtId="0" fontId="8" fillId="5" borderId="44" xfId="1" applyFont="1" applyFill="1" applyBorder="1" applyAlignment="1">
      <alignment horizontal="center" vertical="center" wrapText="1"/>
    </xf>
    <xf numFmtId="0" fontId="8" fillId="5" borderId="47" xfId="1" applyFont="1" applyFill="1" applyBorder="1" applyAlignment="1">
      <alignment horizontal="center" vertical="center" wrapText="1"/>
    </xf>
    <xf numFmtId="0" fontId="25" fillId="0" borderId="48" xfId="4" applyFont="1" applyBorder="1" applyAlignment="1">
      <alignment vertical="center"/>
    </xf>
    <xf numFmtId="0" fontId="25" fillId="0" borderId="49" xfId="4" applyFont="1" applyBorder="1" applyAlignment="1">
      <alignment vertical="center"/>
    </xf>
    <xf numFmtId="0" fontId="26" fillId="0" borderId="36" xfId="4" quotePrefix="1" applyFont="1" applyBorder="1" applyAlignment="1">
      <alignment horizontal="left" vertical="center" wrapText="1"/>
    </xf>
    <xf numFmtId="0" fontId="26" fillId="0" borderId="37" xfId="4" quotePrefix="1" applyFont="1" applyBorder="1" applyAlignment="1">
      <alignment horizontal="left" vertical="center" wrapText="1"/>
    </xf>
    <xf numFmtId="0" fontId="26" fillId="0" borderId="38" xfId="4" quotePrefix="1" applyFont="1" applyBorder="1" applyAlignment="1">
      <alignment horizontal="left" vertical="center" wrapText="1"/>
    </xf>
    <xf numFmtId="0" fontId="23" fillId="0" borderId="53" xfId="4" applyFont="1" applyBorder="1" applyAlignment="1">
      <alignment horizontal="center" vertical="center"/>
    </xf>
    <xf numFmtId="0" fontId="23" fillId="0" borderId="54" xfId="4" applyFont="1" applyBorder="1" applyAlignment="1">
      <alignment horizontal="center" vertical="center"/>
    </xf>
    <xf numFmtId="0" fontId="23" fillId="0" borderId="7" xfId="4" applyFont="1" applyBorder="1" applyAlignment="1">
      <alignment horizontal="center" vertical="center"/>
    </xf>
    <xf numFmtId="0" fontId="23" fillId="0" borderId="55" xfId="4" applyFont="1" applyBorder="1" applyAlignment="1">
      <alignment horizontal="center" vertical="center"/>
    </xf>
    <xf numFmtId="0" fontId="23" fillId="0" borderId="10" xfId="4" applyFont="1" applyBorder="1" applyAlignment="1">
      <alignment horizontal="center" vertical="center"/>
    </xf>
    <xf numFmtId="0" fontId="23" fillId="0" borderId="19" xfId="4" applyFont="1" applyBorder="1" applyAlignment="1">
      <alignment horizontal="center" vertical="center"/>
    </xf>
    <xf numFmtId="0" fontId="8" fillId="0" borderId="36" xfId="4" applyFont="1" applyBorder="1" applyAlignment="1">
      <alignment horizontal="center" vertical="center" wrapText="1"/>
    </xf>
    <xf numFmtId="0" fontId="8" fillId="0" borderId="38" xfId="4" applyFont="1" applyBorder="1" applyAlignment="1">
      <alignment horizontal="center" vertical="center" wrapText="1"/>
    </xf>
    <xf numFmtId="0" fontId="23" fillId="0" borderId="36" xfId="4" applyFont="1" applyBorder="1" applyAlignment="1">
      <alignment horizontal="center" vertical="center" wrapText="1"/>
    </xf>
    <xf numFmtId="0" fontId="23" fillId="0" borderId="38" xfId="4" applyFont="1" applyBorder="1" applyAlignment="1">
      <alignment horizontal="center" vertical="center" wrapText="1"/>
    </xf>
    <xf numFmtId="0" fontId="26" fillId="0" borderId="46" xfId="4" quotePrefix="1" applyFont="1" applyBorder="1" applyAlignment="1">
      <alignment horizontal="left" vertical="center" wrapText="1"/>
    </xf>
    <xf numFmtId="0" fontId="26" fillId="0" borderId="40" xfId="4" applyFont="1" applyBorder="1" applyAlignment="1">
      <alignment horizontal="left" vertical="center" wrapText="1"/>
    </xf>
    <xf numFmtId="0" fontId="26" fillId="0" borderId="47" xfId="4" applyFont="1" applyBorder="1" applyAlignment="1">
      <alignment horizontal="left" vertical="center" wrapText="1"/>
    </xf>
    <xf numFmtId="0" fontId="26" fillId="0" borderId="51" xfId="4" applyFont="1" applyBorder="1" applyAlignment="1">
      <alignment horizontal="left" vertical="center" wrapText="1"/>
    </xf>
    <xf numFmtId="0" fontId="26" fillId="0" borderId="0" xfId="4" applyFont="1" applyAlignment="1">
      <alignment horizontal="left" vertical="center" wrapText="1"/>
    </xf>
    <xf numFmtId="0" fontId="26" fillId="0" borderId="52" xfId="4" applyFont="1" applyBorder="1" applyAlignment="1">
      <alignment horizontal="left" vertical="center" wrapText="1"/>
    </xf>
    <xf numFmtId="0" fontId="26" fillId="0" borderId="48" xfId="4" applyFont="1" applyBorder="1" applyAlignment="1">
      <alignment horizontal="left" vertical="center" wrapText="1"/>
    </xf>
    <xf numFmtId="0" fontId="26" fillId="0" borderId="45" xfId="4" applyFont="1" applyBorder="1" applyAlignment="1">
      <alignment horizontal="left" vertical="center" wrapText="1"/>
    </xf>
    <xf numFmtId="0" fontId="26" fillId="0" borderId="49" xfId="4" applyFont="1" applyBorder="1" applyAlignment="1">
      <alignment horizontal="left" vertical="center" wrapText="1"/>
    </xf>
    <xf numFmtId="0" fontId="23" fillId="0" borderId="46" xfId="4" applyFont="1" applyBorder="1" applyAlignment="1">
      <alignment horizontal="center" vertical="center"/>
    </xf>
    <xf numFmtId="0" fontId="23" fillId="0" borderId="47" xfId="4" applyFont="1" applyBorder="1" applyAlignment="1">
      <alignment horizontal="center" vertical="center"/>
    </xf>
    <xf numFmtId="0" fontId="23" fillId="0" borderId="51" xfId="4" applyFont="1" applyBorder="1" applyAlignment="1">
      <alignment horizontal="center" vertical="center"/>
    </xf>
    <xf numFmtId="0" fontId="23" fillId="0" borderId="52" xfId="4" applyFont="1" applyBorder="1" applyAlignment="1">
      <alignment horizontal="center" vertical="center"/>
    </xf>
    <xf numFmtId="0" fontId="23" fillId="0" borderId="48" xfId="4" applyFont="1" applyBorder="1" applyAlignment="1">
      <alignment horizontal="center" vertical="center"/>
    </xf>
    <xf numFmtId="0" fontId="23" fillId="0" borderId="49" xfId="4" applyFont="1" applyBorder="1" applyAlignment="1">
      <alignment horizontal="center" vertical="center"/>
    </xf>
    <xf numFmtId="0" fontId="23" fillId="0" borderId="40" xfId="4" applyFont="1" applyBorder="1" applyAlignment="1">
      <alignment horizontal="center" vertical="center"/>
    </xf>
    <xf numFmtId="0" fontId="23" fillId="0" borderId="50" xfId="4" applyFont="1" applyBorder="1" applyAlignment="1">
      <alignment horizontal="center" vertical="center"/>
    </xf>
    <xf numFmtId="0" fontId="23" fillId="0" borderId="47" xfId="4" applyFont="1" applyBorder="1" applyAlignment="1">
      <alignment horizontal="center" vertical="center" wrapText="1"/>
    </xf>
    <xf numFmtId="0" fontId="23" fillId="0" borderId="52" xfId="4" applyFont="1" applyBorder="1" applyAlignment="1">
      <alignment horizontal="center" vertical="center" wrapText="1"/>
    </xf>
    <xf numFmtId="0" fontId="23" fillId="0" borderId="49" xfId="4" applyFont="1" applyBorder="1" applyAlignment="1">
      <alignment horizontal="center" vertical="center" wrapText="1"/>
    </xf>
    <xf numFmtId="0" fontId="23" fillId="0" borderId="5" xfId="4" applyFont="1" applyBorder="1" applyAlignment="1">
      <alignment horizontal="center" vertical="center" wrapText="1"/>
    </xf>
    <xf numFmtId="0" fontId="23" fillId="0" borderId="10" xfId="4" applyFont="1" applyBorder="1" applyAlignment="1">
      <alignment horizontal="center" vertical="center" wrapText="1"/>
    </xf>
    <xf numFmtId="0" fontId="23" fillId="0" borderId="19" xfId="4" applyFont="1" applyBorder="1" applyAlignment="1">
      <alignment horizontal="center" vertical="center" wrapText="1"/>
    </xf>
    <xf numFmtId="0" fontId="23" fillId="0" borderId="6" xfId="4" applyFont="1" applyBorder="1" applyAlignment="1">
      <alignment horizontal="center" vertical="center"/>
    </xf>
    <xf numFmtId="0" fontId="23" fillId="0" borderId="43" xfId="4" applyFont="1" applyBorder="1" applyAlignment="1">
      <alignment horizontal="center" vertical="center"/>
    </xf>
    <xf numFmtId="0" fontId="25" fillId="0" borderId="36" xfId="4" applyFont="1" applyBorder="1" applyAlignment="1">
      <alignment vertical="center"/>
    </xf>
    <xf numFmtId="0" fontId="25" fillId="0" borderId="38" xfId="4" applyFont="1" applyBorder="1" applyAlignment="1">
      <alignment vertical="center"/>
    </xf>
    <xf numFmtId="0" fontId="26" fillId="0" borderId="40" xfId="4" quotePrefix="1" applyFont="1" applyBorder="1" applyAlignment="1">
      <alignment horizontal="left" vertical="center" wrapText="1"/>
    </xf>
    <xf numFmtId="0" fontId="26" fillId="0" borderId="47" xfId="4" quotePrefix="1" applyFont="1" applyBorder="1" applyAlignment="1">
      <alignment horizontal="left" vertical="center" wrapText="1"/>
    </xf>
    <xf numFmtId="0" fontId="26" fillId="0" borderId="51" xfId="4" quotePrefix="1" applyFont="1" applyBorder="1" applyAlignment="1">
      <alignment horizontal="left" vertical="center" wrapText="1"/>
    </xf>
    <xf numFmtId="0" fontId="26" fillId="0" borderId="0" xfId="4" quotePrefix="1" applyFont="1" applyAlignment="1">
      <alignment horizontal="left" vertical="center" wrapText="1"/>
    </xf>
    <xf numFmtId="0" fontId="26" fillId="0" borderId="52" xfId="4" quotePrefix="1" applyFont="1" applyBorder="1" applyAlignment="1">
      <alignment horizontal="left" vertical="center" wrapText="1"/>
    </xf>
    <xf numFmtId="0" fontId="18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0" fontId="3" fillId="0" borderId="51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52" xfId="0" applyFont="1" applyBorder="1" applyAlignment="1">
      <alignment horizontal="left" wrapText="1"/>
    </xf>
    <xf numFmtId="0" fontId="3" fillId="0" borderId="48" xfId="0" applyFont="1" applyBorder="1" applyAlignment="1">
      <alignment horizontal="left" wrapText="1"/>
    </xf>
    <xf numFmtId="0" fontId="3" fillId="0" borderId="45" xfId="0" applyFont="1" applyBorder="1" applyAlignment="1">
      <alignment horizontal="left" wrapText="1"/>
    </xf>
    <xf numFmtId="0" fontId="3" fillId="0" borderId="49" xfId="0" applyFont="1" applyBorder="1" applyAlignment="1">
      <alignment horizontal="left" wrapText="1"/>
    </xf>
    <xf numFmtId="0" fontId="8" fillId="0" borderId="0" xfId="4" applyFont="1" applyAlignment="1">
      <alignment horizontal="center" wrapText="1"/>
    </xf>
    <xf numFmtId="0" fontId="8" fillId="0" borderId="46" xfId="4" applyFont="1" applyBorder="1" applyAlignment="1">
      <alignment horizontal="left" vertical="center" wrapText="1"/>
    </xf>
    <xf numFmtId="0" fontId="8" fillId="0" borderId="40" xfId="4" applyFont="1" applyBorder="1" applyAlignment="1">
      <alignment horizontal="left" vertical="center" wrapText="1"/>
    </xf>
    <xf numFmtId="0" fontId="8" fillId="0" borderId="47" xfId="4" applyFont="1" applyBorder="1" applyAlignment="1">
      <alignment horizontal="left" vertical="center" wrapText="1"/>
    </xf>
    <xf numFmtId="0" fontId="8" fillId="0" borderId="48" xfId="4" applyFont="1" applyBorder="1" applyAlignment="1">
      <alignment horizontal="left" vertical="center" wrapText="1"/>
    </xf>
    <xf numFmtId="0" fontId="8" fillId="0" borderId="45" xfId="4" applyFont="1" applyBorder="1" applyAlignment="1">
      <alignment horizontal="left" vertical="center" wrapText="1"/>
    </xf>
    <xf numFmtId="0" fontId="8" fillId="0" borderId="49" xfId="4" applyFont="1" applyBorder="1" applyAlignment="1">
      <alignment horizontal="left" vertical="center" wrapText="1"/>
    </xf>
    <xf numFmtId="0" fontId="31" fillId="0" borderId="36" xfId="19" applyFont="1" applyBorder="1" applyAlignment="1">
      <alignment horizontal="left"/>
    </xf>
    <xf numFmtId="0" fontId="31" fillId="0" borderId="37" xfId="19" applyFont="1" applyBorder="1" applyAlignment="1">
      <alignment horizontal="left"/>
    </xf>
    <xf numFmtId="0" fontId="31" fillId="0" borderId="38" xfId="19" applyFont="1" applyBorder="1" applyAlignment="1">
      <alignment horizontal="left"/>
    </xf>
    <xf numFmtId="0" fontId="8" fillId="0" borderId="36" xfId="4" applyFont="1" applyBorder="1" applyAlignment="1">
      <alignment horizontal="left" vertical="center" wrapText="1"/>
    </xf>
    <xf numFmtId="0" fontId="8" fillId="0" borderId="38" xfId="4" applyFont="1" applyBorder="1" applyAlignment="1">
      <alignment horizontal="left" vertical="center" wrapText="1"/>
    </xf>
    <xf numFmtId="0" fontId="23" fillId="0" borderId="36" xfId="4" applyFont="1" applyBorder="1" applyAlignment="1">
      <alignment horizontal="left" vertical="center" wrapText="1"/>
    </xf>
    <xf numFmtId="0" fontId="23" fillId="0" borderId="38" xfId="4" applyFont="1" applyBorder="1" applyAlignment="1">
      <alignment horizontal="left" vertical="center" wrapText="1"/>
    </xf>
    <xf numFmtId="0" fontId="6" fillId="0" borderId="36" xfId="4" applyFont="1" applyBorder="1" applyAlignment="1">
      <alignment horizontal="left" wrapText="1"/>
    </xf>
    <xf numFmtId="0" fontId="6" fillId="0" borderId="37" xfId="4" applyFont="1" applyBorder="1" applyAlignment="1">
      <alignment horizontal="left" wrapText="1"/>
    </xf>
    <xf numFmtId="0" fontId="6" fillId="0" borderId="38" xfId="4" applyFont="1" applyBorder="1" applyAlignment="1">
      <alignment horizontal="left" wrapText="1"/>
    </xf>
    <xf numFmtId="0" fontId="7" fillId="0" borderId="0" xfId="3" applyFont="1" applyAlignment="1">
      <alignment horizontal="center" vertical="center" wrapText="1"/>
    </xf>
    <xf numFmtId="0" fontId="10" fillId="2" borderId="3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0" fontId="10" fillId="2" borderId="5" xfId="1" applyFont="1" applyFill="1" applyBorder="1" applyAlignment="1">
      <alignment horizontal="center" vertical="center" wrapText="1"/>
    </xf>
    <xf numFmtId="0" fontId="10" fillId="2" borderId="19" xfId="1" applyFont="1" applyFill="1" applyBorder="1" applyAlignment="1">
      <alignment horizontal="center" vertical="center" wrapText="1"/>
    </xf>
    <xf numFmtId="0" fontId="8" fillId="0" borderId="45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70" xfId="0" applyFont="1" applyBorder="1" applyAlignment="1">
      <alignment horizontal="center"/>
    </xf>
    <xf numFmtId="0" fontId="10" fillId="2" borderId="4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 wrapText="1"/>
    </xf>
    <xf numFmtId="0" fontId="10" fillId="2" borderId="43" xfId="1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center" vertical="center" wrapText="1"/>
    </xf>
    <xf numFmtId="0" fontId="10" fillId="2" borderId="55" xfId="1" applyFont="1" applyFill="1" applyBorder="1" applyAlignment="1">
      <alignment horizontal="center" vertical="center" wrapText="1"/>
    </xf>
    <xf numFmtId="0" fontId="12" fillId="3" borderId="3" xfId="1" applyFont="1" applyFill="1" applyBorder="1" applyAlignment="1">
      <alignment horizontal="center" vertical="center"/>
    </xf>
    <xf numFmtId="0" fontId="12" fillId="3" borderId="41" xfId="1" applyFont="1" applyFill="1" applyBorder="1" applyAlignment="1">
      <alignment horizontal="center" vertical="center"/>
    </xf>
    <xf numFmtId="0" fontId="12" fillId="3" borderId="4" xfId="1" applyFont="1" applyFill="1" applyBorder="1" applyAlignment="1">
      <alignment horizontal="center" vertical="center"/>
    </xf>
    <xf numFmtId="0" fontId="12" fillId="3" borderId="34" xfId="1" applyFont="1" applyFill="1" applyBorder="1" applyAlignment="1">
      <alignment horizontal="center" vertical="center"/>
    </xf>
    <xf numFmtId="0" fontId="12" fillId="3" borderId="31" xfId="1" applyFont="1" applyFill="1" applyBorder="1" applyAlignment="1">
      <alignment horizontal="center" vertical="center"/>
    </xf>
    <xf numFmtId="0" fontId="12" fillId="3" borderId="16" xfId="1" applyFont="1" applyFill="1" applyBorder="1" applyAlignment="1">
      <alignment horizontal="center" vertical="center"/>
    </xf>
    <xf numFmtId="0" fontId="12" fillId="3" borderId="35" xfId="1" applyFont="1" applyFill="1" applyBorder="1" applyAlignment="1">
      <alignment horizontal="center" vertical="center"/>
    </xf>
    <xf numFmtId="0" fontId="12" fillId="3" borderId="33" xfId="1" applyFont="1" applyFill="1" applyBorder="1" applyAlignment="1">
      <alignment horizontal="center" vertical="center"/>
    </xf>
    <xf numFmtId="0" fontId="12" fillId="3" borderId="22" xfId="1" applyFont="1" applyFill="1" applyBorder="1" applyAlignment="1">
      <alignment horizontal="center" vertical="center"/>
    </xf>
    <xf numFmtId="0" fontId="12" fillId="2" borderId="36" xfId="1" applyFont="1" applyFill="1" applyBorder="1" applyAlignment="1">
      <alignment horizontal="center" vertical="center"/>
    </xf>
    <xf numFmtId="0" fontId="12" fillId="2" borderId="37" xfId="1" applyFont="1" applyFill="1" applyBorder="1" applyAlignment="1">
      <alignment horizontal="center" vertical="center"/>
    </xf>
    <xf numFmtId="0" fontId="12" fillId="2" borderId="38" xfId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11" fillId="3" borderId="10" xfId="1" applyFont="1" applyFill="1" applyBorder="1" applyAlignment="1">
      <alignment horizontal="center" vertical="center"/>
    </xf>
    <xf numFmtId="0" fontId="11" fillId="3" borderId="25" xfId="1" applyFont="1" applyFill="1" applyBorder="1" applyAlignment="1">
      <alignment horizontal="center" vertical="center"/>
    </xf>
    <xf numFmtId="0" fontId="11" fillId="3" borderId="72" xfId="1" applyFont="1" applyFill="1" applyBorder="1" applyAlignment="1">
      <alignment horizontal="center" vertical="center"/>
    </xf>
    <xf numFmtId="3" fontId="12" fillId="0" borderId="3" xfId="1" applyNumberFormat="1" applyFont="1" applyBorder="1" applyAlignment="1">
      <alignment horizontal="center" vertical="center"/>
    </xf>
    <xf numFmtId="3" fontId="12" fillId="0" borderId="41" xfId="1" applyNumberFormat="1" applyFont="1" applyBorder="1" applyAlignment="1">
      <alignment horizontal="center" vertical="center"/>
    </xf>
    <xf numFmtId="3" fontId="12" fillId="0" borderId="4" xfId="1" applyNumberFormat="1" applyFont="1" applyBorder="1" applyAlignment="1">
      <alignment horizontal="center" vertical="center"/>
    </xf>
    <xf numFmtId="0" fontId="12" fillId="0" borderId="34" xfId="1" applyFont="1" applyBorder="1" applyAlignment="1">
      <alignment horizontal="center" vertical="center"/>
    </xf>
    <xf numFmtId="0" fontId="12" fillId="0" borderId="31" xfId="1" applyFont="1" applyBorder="1" applyAlignment="1">
      <alignment horizontal="center" vertical="center"/>
    </xf>
    <xf numFmtId="0" fontId="12" fillId="0" borderId="16" xfId="1" applyFont="1" applyBorder="1" applyAlignment="1">
      <alignment horizontal="center" vertical="center"/>
    </xf>
    <xf numFmtId="0" fontId="41" fillId="0" borderId="75" xfId="12" applyFont="1" applyBorder="1" applyAlignment="1">
      <alignment horizontal="center" vertical="center" wrapText="1"/>
    </xf>
    <xf numFmtId="0" fontId="41" fillId="0" borderId="34" xfId="12" applyFont="1" applyBorder="1" applyAlignment="1">
      <alignment horizontal="center" vertical="center" wrapText="1"/>
    </xf>
    <xf numFmtId="0" fontId="12" fillId="3" borderId="48" xfId="1" applyFont="1" applyFill="1" applyBorder="1" applyAlignment="1">
      <alignment horizontal="center" vertical="center"/>
    </xf>
    <xf numFmtId="0" fontId="12" fillId="3" borderId="45" xfId="1" applyFont="1" applyFill="1" applyBorder="1" applyAlignment="1">
      <alignment horizontal="center" vertical="center"/>
    </xf>
    <xf numFmtId="0" fontId="12" fillId="3" borderId="49" xfId="1" applyFont="1" applyFill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/>
    </xf>
    <xf numFmtId="0" fontId="41" fillId="0" borderId="72" xfId="12" applyFont="1" applyBorder="1" applyAlignment="1">
      <alignment horizontal="center" vertical="center" wrapText="1"/>
    </xf>
    <xf numFmtId="0" fontId="41" fillId="0" borderId="10" xfId="12" applyFont="1" applyBorder="1" applyAlignment="1">
      <alignment horizontal="center" vertical="center" wrapText="1"/>
    </xf>
    <xf numFmtId="0" fontId="41" fillId="0" borderId="19" xfId="12" applyFont="1" applyBorder="1" applyAlignment="1">
      <alignment horizontal="center" vertical="center" wrapText="1"/>
    </xf>
    <xf numFmtId="0" fontId="26" fillId="0" borderId="46" xfId="4" quotePrefix="1" applyFont="1" applyBorder="1" applyAlignment="1">
      <alignment horizontal="center" vertical="center" wrapText="1"/>
    </xf>
    <xf numFmtId="0" fontId="26" fillId="0" borderId="40" xfId="4" quotePrefix="1" applyFont="1" applyBorder="1" applyAlignment="1">
      <alignment horizontal="center" vertical="center" wrapText="1"/>
    </xf>
    <xf numFmtId="0" fontId="26" fillId="0" borderId="47" xfId="4" quotePrefix="1" applyFont="1" applyBorder="1" applyAlignment="1">
      <alignment horizontal="center" vertical="center" wrapText="1"/>
    </xf>
    <xf numFmtId="0" fontId="8" fillId="8" borderId="36" xfId="4" applyFont="1" applyFill="1" applyBorder="1" applyAlignment="1">
      <alignment horizontal="center" vertical="center" wrapText="1"/>
    </xf>
    <xf numFmtId="0" fontId="8" fillId="8" borderId="38" xfId="4" applyFont="1" applyFill="1" applyBorder="1" applyAlignment="1">
      <alignment horizontal="center" vertical="center" wrapText="1"/>
    </xf>
    <xf numFmtId="0" fontId="23" fillId="8" borderId="36" xfId="4" applyFont="1" applyFill="1" applyBorder="1" applyAlignment="1">
      <alignment horizontal="center" vertical="center" wrapText="1"/>
    </xf>
    <xf numFmtId="0" fontId="23" fillId="8" borderId="38" xfId="4" applyFont="1" applyFill="1" applyBorder="1" applyAlignment="1">
      <alignment horizontal="center" vertical="center" wrapText="1"/>
    </xf>
    <xf numFmtId="0" fontId="18" fillId="0" borderId="0" xfId="4" applyFont="1" applyAlignment="1">
      <alignment horizontal="center" wrapText="1"/>
    </xf>
    <xf numFmtId="0" fontId="30" fillId="7" borderId="49" xfId="1" applyFont="1" applyFill="1" applyBorder="1" applyAlignment="1">
      <alignment horizontal="left" vertical="center"/>
    </xf>
    <xf numFmtId="0" fontId="30" fillId="3" borderId="4" xfId="1" applyFont="1" applyFill="1" applyBorder="1" applyAlignment="1">
      <alignment horizontal="left" vertical="center"/>
    </xf>
    <xf numFmtId="0" fontId="30" fillId="3" borderId="16" xfId="1" applyFont="1" applyFill="1" applyBorder="1" applyAlignment="1">
      <alignment horizontal="left" vertical="center"/>
    </xf>
    <xf numFmtId="0" fontId="30" fillId="3" borderId="22" xfId="1" applyFont="1" applyFill="1" applyBorder="1" applyAlignment="1">
      <alignment horizontal="left" vertical="center"/>
    </xf>
    <xf numFmtId="0" fontId="31" fillId="0" borderId="3" xfId="19" applyFont="1" applyBorder="1" applyAlignment="1">
      <alignment horizontal="left"/>
    </xf>
    <xf numFmtId="0" fontId="31" fillId="0" borderId="41" xfId="19" applyFont="1" applyBorder="1" applyAlignment="1">
      <alignment horizontal="left"/>
    </xf>
    <xf numFmtId="0" fontId="31" fillId="0" borderId="4" xfId="19" applyFont="1" applyBorder="1" applyAlignment="1">
      <alignment horizontal="left"/>
    </xf>
    <xf numFmtId="0" fontId="38" fillId="0" borderId="5" xfId="20" applyFont="1" applyBorder="1" applyAlignment="1">
      <alignment horizontal="center" vertical="center" wrapText="1"/>
    </xf>
    <xf numFmtId="0" fontId="38" fillId="0" borderId="10" xfId="20" applyFont="1" applyBorder="1" applyAlignment="1">
      <alignment horizontal="center" vertical="center" wrapText="1"/>
    </xf>
    <xf numFmtId="0" fontId="38" fillId="0" borderId="19" xfId="20" applyFont="1" applyBorder="1" applyAlignment="1">
      <alignment horizontal="center" vertical="center" wrapText="1"/>
    </xf>
    <xf numFmtId="0" fontId="40" fillId="0" borderId="10" xfId="14" applyFont="1" applyBorder="1" applyAlignment="1">
      <alignment horizontal="center" vertical="center" wrapText="1"/>
    </xf>
    <xf numFmtId="0" fontId="40" fillId="0" borderId="87" xfId="14" applyFont="1" applyBorder="1" applyAlignment="1">
      <alignment horizontal="center" vertical="center" wrapText="1"/>
    </xf>
    <xf numFmtId="0" fontId="40" fillId="0" borderId="5" xfId="12" applyFont="1" applyBorder="1" applyAlignment="1">
      <alignment horizontal="center" vertical="center"/>
    </xf>
    <xf numFmtId="0" fontId="40" fillId="0" borderId="10" xfId="12" applyFont="1" applyBorder="1" applyAlignment="1">
      <alignment horizontal="center" vertical="center"/>
    </xf>
    <xf numFmtId="0" fontId="40" fillId="0" borderId="51" xfId="12" applyFont="1" applyBorder="1" applyAlignment="1">
      <alignment horizontal="center" vertical="center"/>
    </xf>
    <xf numFmtId="0" fontId="40" fillId="0" borderId="87" xfId="12" applyFont="1" applyBorder="1" applyAlignment="1">
      <alignment horizontal="center" vertical="center"/>
    </xf>
    <xf numFmtId="0" fontId="40" fillId="0" borderId="72" xfId="12" applyFont="1" applyBorder="1" applyAlignment="1">
      <alignment horizontal="center" vertical="center" wrapText="1"/>
    </xf>
    <xf numFmtId="0" fontId="40" fillId="0" borderId="10" xfId="12" applyFont="1" applyBorder="1" applyAlignment="1">
      <alignment horizontal="center" vertical="center" wrapText="1"/>
    </xf>
    <xf numFmtId="0" fontId="40" fillId="0" borderId="25" xfId="12" applyFont="1" applyBorder="1" applyAlignment="1">
      <alignment horizontal="center" vertical="center" wrapText="1"/>
    </xf>
    <xf numFmtId="0" fontId="40" fillId="0" borderId="19" xfId="12" applyFont="1" applyBorder="1" applyAlignment="1">
      <alignment horizontal="center" vertical="center"/>
    </xf>
    <xf numFmtId="0" fontId="40" fillId="0" borderId="19" xfId="12" applyFont="1" applyBorder="1" applyAlignment="1">
      <alignment horizontal="center" vertical="center" wrapText="1"/>
    </xf>
    <xf numFmtId="0" fontId="40" fillId="0" borderId="5" xfId="12" applyFont="1" applyBorder="1" applyAlignment="1">
      <alignment horizontal="center" vertical="center" wrapText="1"/>
    </xf>
    <xf numFmtId="0" fontId="40" fillId="0" borderId="88" xfId="12" applyFont="1" applyBorder="1" applyAlignment="1">
      <alignment horizontal="center" vertical="center" wrapText="1"/>
    </xf>
    <xf numFmtId="0" fontId="38" fillId="2" borderId="2" xfId="1" applyFont="1" applyFill="1" applyBorder="1" applyAlignment="1">
      <alignment horizontal="center" vertical="center" wrapText="1"/>
    </xf>
    <xf numFmtId="0" fontId="38" fillId="2" borderId="55" xfId="1" applyFont="1" applyFill="1" applyBorder="1" applyAlignment="1">
      <alignment horizontal="center" vertical="center" wrapText="1"/>
    </xf>
    <xf numFmtId="0" fontId="40" fillId="0" borderId="25" xfId="14" applyFont="1" applyBorder="1" applyAlignment="1">
      <alignment horizontal="center" vertical="center" wrapText="1"/>
    </xf>
    <xf numFmtId="0" fontId="40" fillId="5" borderId="43" xfId="12" applyFont="1" applyFill="1" applyBorder="1" applyAlignment="1">
      <alignment horizontal="center" vertical="center" wrapText="1"/>
    </xf>
    <xf numFmtId="0" fontId="38" fillId="5" borderId="54" xfId="12" applyFont="1" applyFill="1" applyBorder="1" applyAlignment="1">
      <alignment horizontal="center" vertical="center" wrapText="1"/>
    </xf>
    <xf numFmtId="0" fontId="38" fillId="5" borderId="70" xfId="12" applyFont="1" applyFill="1" applyBorder="1" applyAlignment="1">
      <alignment horizontal="center" vertical="center" wrapText="1"/>
    </xf>
    <xf numFmtId="0" fontId="40" fillId="0" borderId="72" xfId="14" applyFont="1" applyBorder="1" applyAlignment="1">
      <alignment horizontal="center" vertical="center" wrapText="1"/>
    </xf>
    <xf numFmtId="0" fontId="40" fillId="0" borderId="15" xfId="12" applyFont="1" applyBorder="1" applyAlignment="1">
      <alignment horizontal="center" vertical="center" wrapText="1"/>
    </xf>
    <xf numFmtId="0" fontId="38" fillId="0" borderId="17" xfId="12" applyFont="1" applyBorder="1" applyAlignment="1">
      <alignment horizontal="center" vertical="center" wrapText="1"/>
    </xf>
    <xf numFmtId="0" fontId="38" fillId="0" borderId="65" xfId="12" applyFont="1" applyBorder="1" applyAlignment="1">
      <alignment horizontal="center" vertical="center" wrapText="1"/>
    </xf>
    <xf numFmtId="0" fontId="15" fillId="0" borderId="40" xfId="3" applyFont="1" applyBorder="1" applyAlignment="1">
      <alignment horizontal="center"/>
    </xf>
    <xf numFmtId="0" fontId="40" fillId="0" borderId="26" xfId="12" applyFont="1" applyBorder="1" applyAlignment="1">
      <alignment horizontal="center" vertical="center" wrapText="1"/>
    </xf>
    <xf numFmtId="0" fontId="38" fillId="0" borderId="60" xfId="12" applyFont="1" applyBorder="1" applyAlignment="1">
      <alignment horizontal="center" vertical="center" wrapText="1"/>
    </xf>
    <xf numFmtId="0" fontId="38" fillId="0" borderId="67" xfId="12" applyFont="1" applyBorder="1" applyAlignment="1">
      <alignment horizontal="center" vertical="center" wrapText="1"/>
    </xf>
    <xf numFmtId="0" fontId="40" fillId="0" borderId="21" xfId="12" applyFont="1" applyBorder="1" applyAlignment="1">
      <alignment horizontal="center" vertical="center" wrapText="1"/>
    </xf>
    <xf numFmtId="0" fontId="38" fillId="0" borderId="23" xfId="12" applyFont="1" applyBorder="1" applyAlignment="1">
      <alignment horizontal="center" vertical="center" wrapText="1"/>
    </xf>
    <xf numFmtId="0" fontId="38" fillId="0" borderId="66" xfId="12" applyFont="1" applyBorder="1" applyAlignment="1">
      <alignment horizontal="center" vertical="center" wrapText="1"/>
    </xf>
    <xf numFmtId="0" fontId="38" fillId="2" borderId="47" xfId="1" applyFont="1" applyFill="1" applyBorder="1" applyAlignment="1">
      <alignment horizontal="center" vertical="center" wrapText="1"/>
    </xf>
    <xf numFmtId="0" fontId="38" fillId="2" borderId="52" xfId="1" applyFont="1" applyFill="1" applyBorder="1" applyAlignment="1">
      <alignment horizontal="center" vertical="center" wrapText="1"/>
    </xf>
    <xf numFmtId="0" fontId="38" fillId="2" borderId="3" xfId="1" applyFont="1" applyFill="1" applyBorder="1" applyAlignment="1">
      <alignment horizontal="center" vertical="center"/>
    </xf>
    <xf numFmtId="0" fontId="38" fillId="2" borderId="4" xfId="1" applyFont="1" applyFill="1" applyBorder="1" applyAlignment="1">
      <alignment horizontal="center" vertical="center"/>
    </xf>
    <xf numFmtId="0" fontId="38" fillId="2" borderId="1" xfId="1" applyFont="1" applyFill="1" applyBorder="1" applyAlignment="1">
      <alignment horizontal="center" vertical="center" wrapText="1"/>
    </xf>
    <xf numFmtId="0" fontId="38" fillId="2" borderId="43" xfId="1" applyFont="1" applyFill="1" applyBorder="1" applyAlignment="1">
      <alignment horizontal="center" vertical="center" wrapText="1"/>
    </xf>
    <xf numFmtId="0" fontId="38" fillId="2" borderId="41" xfId="1" applyFont="1" applyFill="1" applyBorder="1" applyAlignment="1">
      <alignment horizontal="center" vertical="center"/>
    </xf>
    <xf numFmtId="0" fontId="38" fillId="2" borderId="5" xfId="1" applyFont="1" applyFill="1" applyBorder="1" applyAlignment="1">
      <alignment horizontal="center" vertical="center" wrapText="1"/>
    </xf>
    <xf numFmtId="0" fontId="38" fillId="2" borderId="19" xfId="1" applyFont="1" applyFill="1" applyBorder="1" applyAlignment="1">
      <alignment horizontal="center" vertical="center" wrapText="1"/>
    </xf>
    <xf numFmtId="0" fontId="40" fillId="0" borderId="19" xfId="14" applyFont="1" applyBorder="1" applyAlignment="1">
      <alignment horizontal="center" vertical="center" wrapText="1"/>
    </xf>
    <xf numFmtId="0" fontId="40" fillId="0" borderId="5" xfId="14" applyFont="1" applyBorder="1" applyAlignment="1">
      <alignment horizontal="center" vertical="center" wrapText="1"/>
    </xf>
    <xf numFmtId="0" fontId="25" fillId="0" borderId="19" xfId="4" applyFont="1" applyBorder="1" applyAlignment="1">
      <alignment vertical="center"/>
    </xf>
    <xf numFmtId="0" fontId="25" fillId="0" borderId="59" xfId="4" applyFont="1" applyBorder="1" applyAlignment="1">
      <alignment vertical="center"/>
    </xf>
    <xf numFmtId="0" fontId="26" fillId="0" borderId="5" xfId="4" quotePrefix="1" applyFont="1" applyBorder="1" applyAlignment="1">
      <alignment horizontal="left" vertical="center" wrapText="1"/>
    </xf>
    <xf numFmtId="0" fontId="26" fillId="0" borderId="59" xfId="4" quotePrefix="1" applyFont="1" applyBorder="1" applyAlignment="1">
      <alignment horizontal="left" vertical="center" wrapText="1"/>
    </xf>
    <xf numFmtId="0" fontId="8" fillId="0" borderId="0" xfId="4" applyFont="1" applyAlignment="1">
      <alignment horizontal="left"/>
    </xf>
    <xf numFmtId="0" fontId="8" fillId="0" borderId="0" xfId="4" applyFont="1" applyAlignment="1">
      <alignment horizontal="center" vertical="center"/>
    </xf>
    <xf numFmtId="0" fontId="6" fillId="0" borderId="46" xfId="4" applyFont="1" applyBorder="1" applyAlignment="1">
      <alignment horizontal="left" wrapText="1"/>
    </xf>
    <xf numFmtId="0" fontId="6" fillId="0" borderId="40" xfId="4" applyFont="1" applyBorder="1" applyAlignment="1">
      <alignment horizontal="left" wrapText="1"/>
    </xf>
    <xf numFmtId="0" fontId="6" fillId="0" borderId="47" xfId="4" applyFont="1" applyBorder="1" applyAlignment="1">
      <alignment horizontal="left" wrapText="1"/>
    </xf>
    <xf numFmtId="0" fontId="6" fillId="0" borderId="48" xfId="4" applyFont="1" applyBorder="1" applyAlignment="1">
      <alignment horizontal="left" wrapText="1"/>
    </xf>
    <xf numFmtId="0" fontId="6" fillId="0" borderId="45" xfId="4" applyFont="1" applyBorder="1" applyAlignment="1">
      <alignment horizontal="left" wrapText="1"/>
    </xf>
    <xf numFmtId="0" fontId="6" fillId="0" borderId="49" xfId="4" applyFont="1" applyBorder="1" applyAlignment="1">
      <alignment horizontal="left" wrapText="1"/>
    </xf>
    <xf numFmtId="0" fontId="19" fillId="0" borderId="15" xfId="12" applyFont="1" applyBorder="1" applyAlignment="1">
      <alignment horizontal="center" vertical="center" wrapText="1"/>
    </xf>
    <xf numFmtId="0" fontId="10" fillId="0" borderId="17" xfId="12" applyFont="1" applyBorder="1" applyAlignment="1">
      <alignment horizontal="center" vertical="center" wrapText="1"/>
    </xf>
    <xf numFmtId="0" fontId="10" fillId="0" borderId="65" xfId="12" applyFont="1" applyBorder="1" applyAlignment="1">
      <alignment horizontal="center" vertical="center" wrapText="1"/>
    </xf>
    <xf numFmtId="0" fontId="19" fillId="0" borderId="21" xfId="12" applyFont="1" applyBorder="1" applyAlignment="1">
      <alignment horizontal="center" vertical="center" wrapText="1"/>
    </xf>
    <xf numFmtId="0" fontId="10" fillId="0" borderId="23" xfId="12" applyFont="1" applyBorder="1" applyAlignment="1">
      <alignment horizontal="center" vertical="center" wrapText="1"/>
    </xf>
    <xf numFmtId="0" fontId="10" fillId="0" borderId="66" xfId="12" applyFont="1" applyBorder="1" applyAlignment="1">
      <alignment horizontal="center" vertical="center" wrapText="1"/>
    </xf>
    <xf numFmtId="0" fontId="19" fillId="5" borderId="56" xfId="12" applyFont="1" applyFill="1" applyBorder="1" applyAlignment="1">
      <alignment horizontal="center" vertical="center" wrapText="1"/>
    </xf>
    <xf numFmtId="0" fontId="10" fillId="5" borderId="57" xfId="12" applyFont="1" applyFill="1" applyBorder="1" applyAlignment="1">
      <alignment horizontal="center" vertical="center" wrapText="1"/>
    </xf>
    <xf numFmtId="0" fontId="10" fillId="5" borderId="58" xfId="12" applyFont="1" applyFill="1" applyBorder="1" applyAlignment="1">
      <alignment horizontal="center" vertical="center" wrapText="1"/>
    </xf>
    <xf numFmtId="0" fontId="19" fillId="0" borderId="26" xfId="12" applyFont="1" applyBorder="1" applyAlignment="1">
      <alignment horizontal="center" vertical="center" wrapText="1"/>
    </xf>
    <xf numFmtId="0" fontId="10" fillId="0" borderId="60" xfId="12" applyFont="1" applyBorder="1" applyAlignment="1">
      <alignment horizontal="center" vertical="center" wrapText="1"/>
    </xf>
    <xf numFmtId="0" fontId="10" fillId="0" borderId="67" xfId="12" applyFont="1" applyBorder="1" applyAlignment="1">
      <alignment horizontal="center" vertical="center" wrapText="1"/>
    </xf>
    <xf numFmtId="0" fontId="10" fillId="2" borderId="47" xfId="1" applyFont="1" applyFill="1" applyBorder="1" applyAlignment="1">
      <alignment horizontal="center" vertical="center" wrapText="1"/>
    </xf>
    <xf numFmtId="0" fontId="10" fillId="2" borderId="49" xfId="1" applyFont="1" applyFill="1" applyBorder="1" applyAlignment="1">
      <alignment horizontal="center" vertical="center" wrapText="1"/>
    </xf>
    <xf numFmtId="0" fontId="10" fillId="2" borderId="46" xfId="1" applyFont="1" applyFill="1" applyBorder="1" applyAlignment="1">
      <alignment horizontal="center" vertical="center"/>
    </xf>
    <xf numFmtId="0" fontId="10" fillId="2" borderId="40" xfId="1" applyFont="1" applyFill="1" applyBorder="1" applyAlignment="1">
      <alignment horizontal="center" vertical="center"/>
    </xf>
    <xf numFmtId="0" fontId="10" fillId="2" borderId="47" xfId="1" applyFont="1" applyFill="1" applyBorder="1" applyAlignment="1">
      <alignment horizontal="center" vertical="center"/>
    </xf>
    <xf numFmtId="0" fontId="26" fillId="0" borderId="48" xfId="4" quotePrefix="1" applyFont="1" applyBorder="1" applyAlignment="1">
      <alignment horizontal="left" vertical="center" wrapText="1"/>
    </xf>
    <xf numFmtId="0" fontId="26" fillId="0" borderId="45" xfId="4" quotePrefix="1" applyFont="1" applyBorder="1" applyAlignment="1">
      <alignment horizontal="left" vertical="center" wrapText="1"/>
    </xf>
    <xf numFmtId="0" fontId="26" fillId="0" borderId="49" xfId="4" quotePrefix="1" applyFont="1" applyBorder="1" applyAlignment="1">
      <alignment horizontal="left" vertical="center" wrapText="1"/>
    </xf>
    <xf numFmtId="0" fontId="8" fillId="0" borderId="51" xfId="7" applyFont="1" applyBorder="1" applyAlignment="1">
      <alignment horizontal="center" wrapText="1"/>
    </xf>
    <xf numFmtId="0" fontId="8" fillId="0" borderId="52" xfId="7" applyFont="1" applyBorder="1" applyAlignment="1">
      <alignment horizontal="center" wrapText="1"/>
    </xf>
    <xf numFmtId="0" fontId="8" fillId="0" borderId="46" xfId="4" applyFont="1" applyBorder="1" applyAlignment="1">
      <alignment horizontal="center" vertical="center" wrapText="1"/>
    </xf>
    <xf numFmtId="0" fontId="8" fillId="0" borderId="40" xfId="4" applyFont="1" applyBorder="1" applyAlignment="1">
      <alignment horizontal="center" vertical="center" wrapText="1"/>
    </xf>
    <xf numFmtId="0" fontId="8" fillId="0" borderId="47" xfId="4" applyFont="1" applyBorder="1" applyAlignment="1">
      <alignment horizontal="center" vertical="center" wrapText="1"/>
    </xf>
    <xf numFmtId="0" fontId="8" fillId="0" borderId="48" xfId="4" applyFont="1" applyBorder="1" applyAlignment="1">
      <alignment horizontal="center" vertical="center" wrapText="1"/>
    </xf>
    <xf numFmtId="0" fontId="8" fillId="0" borderId="45" xfId="4" applyFont="1" applyBorder="1" applyAlignment="1">
      <alignment horizontal="center" vertical="center" wrapText="1"/>
    </xf>
    <xf numFmtId="0" fontId="8" fillId="0" borderId="49" xfId="4" applyFont="1" applyBorder="1" applyAlignment="1">
      <alignment horizontal="center" vertical="center" wrapText="1"/>
    </xf>
    <xf numFmtId="0" fontId="8" fillId="0" borderId="5" xfId="7" applyFont="1" applyBorder="1" applyAlignment="1">
      <alignment horizontal="center" vertical="center" wrapText="1"/>
    </xf>
    <xf numFmtId="0" fontId="8" fillId="0" borderId="10" xfId="7" applyFont="1" applyBorder="1" applyAlignment="1">
      <alignment horizontal="center" vertical="center" wrapText="1"/>
    </xf>
    <xf numFmtId="0" fontId="8" fillId="0" borderId="19" xfId="7" applyFont="1" applyBorder="1" applyAlignment="1">
      <alignment horizontal="center" vertical="center" wrapText="1"/>
    </xf>
    <xf numFmtId="1" fontId="30" fillId="3" borderId="47" xfId="1" applyNumberFormat="1" applyFont="1" applyFill="1" applyBorder="1" applyAlignment="1">
      <alignment horizontal="center" vertical="center" wrapText="1"/>
    </xf>
    <xf numFmtId="1" fontId="30" fillId="3" borderId="52" xfId="1" applyNumberFormat="1" applyFont="1" applyFill="1" applyBorder="1" applyAlignment="1">
      <alignment horizontal="center" vertical="center" wrapText="1"/>
    </xf>
    <xf numFmtId="1" fontId="30" fillId="3" borderId="49" xfId="1" applyNumberFormat="1" applyFont="1" applyFill="1" applyBorder="1" applyAlignment="1">
      <alignment horizontal="center" vertical="center" wrapText="1"/>
    </xf>
    <xf numFmtId="0" fontId="10" fillId="2" borderId="10" xfId="1" applyFont="1" applyFill="1" applyBorder="1" applyAlignment="1">
      <alignment horizontal="center" vertical="center" wrapText="1"/>
    </xf>
    <xf numFmtId="0" fontId="10" fillId="2" borderId="6" xfId="1" applyFont="1" applyFill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 wrapText="1"/>
    </xf>
    <xf numFmtId="0" fontId="38" fillId="0" borderId="52" xfId="20" applyFont="1" applyBorder="1" applyAlignment="1">
      <alignment horizontal="center" vertical="center" wrapText="1"/>
    </xf>
    <xf numFmtId="0" fontId="38" fillId="0" borderId="49" xfId="20" applyFont="1" applyBorder="1" applyAlignment="1">
      <alignment horizontal="center" vertical="center" wrapText="1"/>
    </xf>
    <xf numFmtId="0" fontId="38" fillId="0" borderId="47" xfId="20" applyFont="1" applyBorder="1" applyAlignment="1">
      <alignment horizontal="center" vertical="center" wrapText="1"/>
    </xf>
    <xf numFmtId="165" fontId="25" fillId="0" borderId="36" xfId="4" applyNumberFormat="1" applyFont="1" applyBorder="1" applyAlignment="1">
      <alignment horizontal="center" vertical="center"/>
    </xf>
    <xf numFmtId="165" fontId="25" fillId="0" borderId="37" xfId="4" applyNumberFormat="1" applyFont="1" applyBorder="1" applyAlignment="1">
      <alignment horizontal="center" vertical="center"/>
    </xf>
    <xf numFmtId="165" fontId="25" fillId="0" borderId="38" xfId="4" applyNumberFormat="1" applyFont="1" applyBorder="1" applyAlignment="1">
      <alignment horizontal="center" vertical="center"/>
    </xf>
    <xf numFmtId="0" fontId="25" fillId="0" borderId="36" xfId="4" applyFont="1" applyBorder="1" applyAlignment="1">
      <alignment horizontal="center" vertical="center"/>
    </xf>
    <xf numFmtId="0" fontId="25" fillId="0" borderId="38" xfId="4" applyFont="1" applyBorder="1" applyAlignment="1">
      <alignment horizontal="center" vertical="center"/>
    </xf>
    <xf numFmtId="0" fontId="10" fillId="2" borderId="69" xfId="1" applyFont="1" applyFill="1" applyBorder="1" applyAlignment="1">
      <alignment horizontal="center" vertical="center"/>
    </xf>
    <xf numFmtId="3" fontId="28" fillId="3" borderId="41" xfId="1" applyNumberFormat="1" applyFont="1" applyFill="1" applyBorder="1" applyAlignment="1">
      <alignment horizontal="center" vertical="center"/>
    </xf>
    <xf numFmtId="3" fontId="28" fillId="3" borderId="29" xfId="1" applyNumberFormat="1" applyFont="1" applyFill="1" applyBorder="1" applyAlignment="1">
      <alignment horizontal="center" vertical="center"/>
    </xf>
    <xf numFmtId="3" fontId="28" fillId="3" borderId="41" xfId="1" quotePrefix="1" applyNumberFormat="1" applyFont="1" applyFill="1" applyBorder="1" applyAlignment="1">
      <alignment horizontal="center" vertical="center"/>
    </xf>
  </cellXfs>
  <cellStyles count="39">
    <cellStyle name="Comma" xfId="21" builtinId="3"/>
    <cellStyle name="Comma 2" xfId="18" xr:uid="{00000000-0005-0000-0000-000001000000}"/>
    <cellStyle name="Normal" xfId="0" builtinId="0"/>
    <cellStyle name="Normal 10 2" xfId="3" xr:uid="{00000000-0005-0000-0000-000003000000}"/>
    <cellStyle name="Normal 10 2 2" xfId="8" xr:uid="{00000000-0005-0000-0000-000004000000}"/>
    <cellStyle name="Normal 2" xfId="4" xr:uid="{00000000-0005-0000-0000-000005000000}"/>
    <cellStyle name="Normal 2 2" xfId="5" xr:uid="{00000000-0005-0000-0000-000006000000}"/>
    <cellStyle name="Normal 2 3" xfId="19" xr:uid="{00000000-0005-0000-0000-000007000000}"/>
    <cellStyle name="Normal 3" xfId="6" xr:uid="{00000000-0005-0000-0000-000008000000}"/>
    <cellStyle name="Normal 3 2" xfId="20" xr:uid="{00000000-0005-0000-0000-000009000000}"/>
    <cellStyle name="Normal 4" xfId="7" xr:uid="{00000000-0005-0000-0000-00000A000000}"/>
    <cellStyle name="Normal 4 2" xfId="14" xr:uid="{00000000-0005-0000-0000-00000B000000}"/>
    <cellStyle name="Normal 4 2 2" xfId="24" xr:uid="{E821D49D-DD46-4082-8447-BBB4557800EA}"/>
    <cellStyle name="Normal 4 2 2 2" xfId="38" xr:uid="{83F27339-4434-47C0-93DD-A895D9E71B17}"/>
    <cellStyle name="Normal 4 2 2 3" xfId="32" xr:uid="{69EB21B0-4FA8-4895-A02D-045D66A4B518}"/>
    <cellStyle name="Normal 4 2 3" xfId="35" xr:uid="{B4D2DE9C-8380-492C-A2FB-3521E28BA836}"/>
    <cellStyle name="Normal 4 2 4" xfId="29" xr:uid="{0F38A2FB-4AB4-441C-B51B-0825E119D078}"/>
    <cellStyle name="Normal 4 3" xfId="13" xr:uid="{00000000-0005-0000-0000-00000C000000}"/>
    <cellStyle name="Normal 4 4" xfId="11" xr:uid="{00000000-0005-0000-0000-00000D000000}"/>
    <cellStyle name="Normal 4 4 2" xfId="23" xr:uid="{E6F1570A-74B1-430A-A021-44E5D46EAD2C}"/>
    <cellStyle name="Normal 4 4 2 2" xfId="37" xr:uid="{F7B56BEF-92DB-467E-B539-8509BDF651ED}"/>
    <cellStyle name="Normal 4 4 2 3" xfId="31" xr:uid="{DC03E15C-04F2-409E-9B17-6D4875B5443D}"/>
    <cellStyle name="Normal 4 4 3" xfId="34" xr:uid="{C8E8D76F-5976-42A5-B325-0BA236965110}"/>
    <cellStyle name="Normal 4 4 4" xfId="28" xr:uid="{64406FFD-651F-45F5-87F0-24F9F9E7E02F}"/>
    <cellStyle name="Normal 5" xfId="10" xr:uid="{00000000-0005-0000-0000-00000E000000}"/>
    <cellStyle name="Normal 5 2" xfId="22" xr:uid="{D96E97C6-9DCB-48C5-B8C4-C3BF1441E43D}"/>
    <cellStyle name="Normal 5 2 2" xfId="36" xr:uid="{92EED0D3-18BF-4754-B23C-14C53FA331D4}"/>
    <cellStyle name="Normal 5 2 3" xfId="30" xr:uid="{8B46A4B8-471D-46BB-8075-6F36F2D58CC2}"/>
    <cellStyle name="Normal 5 3" xfId="33" xr:uid="{7B06E689-3F26-49FB-9F5C-D335BF397D9F}"/>
    <cellStyle name="Normal 5 4" xfId="27" xr:uid="{B7AFD4CC-866C-4D0E-9A80-8E210E09A829}"/>
    <cellStyle name="Normal 6" xfId="12" xr:uid="{00000000-0005-0000-0000-00000F000000}"/>
    <cellStyle name="Normal 7" xfId="16" xr:uid="{00000000-0005-0000-0000-000010000000}"/>
    <cellStyle name="Normal_EstArea 6 2023" xfId="25" xr:uid="{0340CD0A-A189-4BD5-9D99-54E1B5245A6D}"/>
    <cellStyle name="Normal_EstArea 82 2023" xfId="26" xr:uid="{8E22621D-43D5-49E5-93C8-381485B9C85E}"/>
    <cellStyle name="Normal_EstArea5&amp;6_July1-4" xfId="2" xr:uid="{00000000-0005-0000-0000-000011000000}"/>
    <cellStyle name="Normal_Sheet1" xfId="1" xr:uid="{00000000-0005-0000-0000-000012000000}"/>
    <cellStyle name="Percent" xfId="15" builtinId="5"/>
    <cellStyle name="Percent 2" xfId="9" xr:uid="{00000000-0005-0000-0000-000014000000}"/>
    <cellStyle name="Percent 3" xfId="17" xr:uid="{00000000-0005-0000-0000-00001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loempken, Karen A (DFW)" id="{12C018BD-70B7-4524-82B4-013A6F9D8CED}" userId="Kloempken, Karen A (DFW)" providerId="None"/>
  <person displayName="Garber, Tyler J (DFW)" id="{160A86A1-AB2D-4882-9DF0-05EC79E76C8A}" userId="S::Tyler.Garber@dfw.wa.gov::7488566e-cbda-4d10-9bbf-433b28b1ff10" providerId="AD"/>
  <person displayName="Richardson, Sarah (DFW)" id="{8B8D7765-201A-4AC0-B11B-3563784F847C}" userId="S::Sarah.Richardson@dfw.wa.gov::2e834bb1-5174-4851-9e71-b29f57fbfca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1-07-19T20:02:26.90" personId="{160A86A1-AB2D-4882-9DF0-05EC79E76C8A}" id="{08E3B4CC-D1B4-4F6C-AE1E-77A744E1FBC8}">
    <text>Will change encounter method from TF/VTR to dockside... Valid variables (TF, VTR/STR, DS)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3" dT="2023-08-22T20:23:52.74" personId="{8B8D7765-201A-4AC0-B11B-3563784F847C}" id="{6E2E2428-3D49-41BC-8E41-82789EC04B7B}">
    <text>Chinook closes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87" dT="2023-08-29T17:40:18.20" personId="{12C018BD-70B7-4524-82B4-013A6F9D8CED}" id="{7DC26C89-EEF7-4B45-AD35-6FE9E016360B}">
    <text>Chinook retention opens July 13th.</text>
  </threadedComment>
  <threadedComment ref="D99" dT="2023-08-29T17:41:08.15" personId="{12C018BD-70B7-4524-82B4-013A6F9D8CED}" id="{0BCFE76D-72F0-41E3-B406-65CBDF211B4C}">
    <text>Chinook closed Aug 3 @11:59 pm.</text>
  </threadedComment>
  <threadedComment ref="D104" dT="2023-08-14T17:14:51.17" personId="{8B8D7765-201A-4AC0-B11B-3563784F847C}" id="{094A6646-206C-4EB4-822E-E6AB20D9FF23}" done="1">
    <text>Opens for Chinook on 11th</text>
  </threadedComment>
  <threadedComment ref="D106" dT="2023-08-14T17:15:22.22" personId="{8B8D7765-201A-4AC0-B11B-3563784F847C}" id="{0D426571-868F-463F-B665-77AE07620C62}">
    <text>Closed for chinook at 11:59pm on 13th</text>
  </threadedComment>
  <threadedComment ref="D108" dT="2023-08-21T20:35:02.44" personId="{8B8D7765-201A-4AC0-B11B-3563784F847C}" id="{CF84B9D5-4AC3-43E3-B34C-DE2BDFDD5169}">
    <text>Opens for chinook on the 18th</text>
  </threadedComment>
  <threadedComment ref="D110" dT="2023-08-21T20:35:30.45" personId="{8B8D7765-201A-4AC0-B11B-3563784F847C}" id="{0E5BD639-5989-405B-A690-CD630DFF1F76}">
    <text>Closed for Chinook on 11:59 on the 20th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3" dT="2023-09-06T20:30:44.98" personId="{12C018BD-70B7-4524-82B4-013A6F9D8CED}" id="{A17CCF4E-33A3-4A46-AE7A-A89D1900B5DF}">
    <text>Fishery closed.</text>
  </threadedComment>
  <threadedComment ref="D26" dT="2023-09-06T20:32:33.32" personId="{12C018BD-70B7-4524-82B4-013A6F9D8CED}" id="{DFBABC1A-9895-4530-AE9A-721826C847F4}">
    <text>Fishery closed on 7/15/2023.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Relationship Id="rId4" Type="http://schemas.microsoft.com/office/2017/10/relationships/threadedComment" Target="../threadedComments/threadedComment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P37"/>
  <sheetViews>
    <sheetView topLeftCell="A11" workbookViewId="0">
      <selection activeCell="M34" sqref="M34"/>
    </sheetView>
  </sheetViews>
  <sheetFormatPr defaultColWidth="8.83203125" defaultRowHeight="12.75"/>
  <cols>
    <col min="1" max="1" width="16" style="24" bestFit="1" customWidth="1"/>
    <col min="2" max="2" width="11" style="24" bestFit="1" customWidth="1"/>
    <col min="3" max="3" width="15.83203125" style="24" bestFit="1" customWidth="1"/>
    <col min="4" max="4" width="13.83203125" style="24" customWidth="1"/>
    <col min="5" max="5" width="10.33203125" style="24" customWidth="1"/>
    <col min="6" max="6" width="13.1640625" style="24" customWidth="1"/>
    <col min="7" max="7" width="11" style="24" bestFit="1" customWidth="1"/>
    <col min="8" max="8" width="13.33203125" style="24" bestFit="1" customWidth="1"/>
    <col min="9" max="9" width="15.1640625" style="24" bestFit="1" customWidth="1"/>
    <col min="10" max="10" width="13.1640625" style="24" customWidth="1"/>
    <col min="11" max="11" width="23.5" style="24" bestFit="1" customWidth="1"/>
    <col min="12" max="12" width="25.1640625" style="24" customWidth="1"/>
    <col min="13" max="13" width="27.83203125" style="24" customWidth="1"/>
    <col min="14" max="14" width="31.5" style="24" customWidth="1"/>
    <col min="15" max="15" width="28.5" style="24" bestFit="1" customWidth="1"/>
    <col min="16" max="16384" width="8.83203125" style="24"/>
  </cols>
  <sheetData>
    <row r="1" spans="1:16" ht="37.5" customHeight="1">
      <c r="A1" s="22" t="s">
        <v>0</v>
      </c>
      <c r="B1" s="22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3" t="s">
        <v>7</v>
      </c>
      <c r="I1" s="23" t="s">
        <v>8</v>
      </c>
      <c r="J1" s="290" t="s">
        <v>9</v>
      </c>
      <c r="K1" s="901" t="s">
        <v>10</v>
      </c>
      <c r="L1" s="901"/>
      <c r="M1" s="901"/>
      <c r="N1" s="901"/>
    </row>
    <row r="2" spans="1:16">
      <c r="A2" s="25">
        <v>5</v>
      </c>
      <c r="B2" s="25" t="s">
        <v>11</v>
      </c>
      <c r="C2" s="25">
        <f>'EstArea 5 2023'!K34 *'Area 5 Test Fishing'!C24</f>
        <v>4015.5420560747662</v>
      </c>
      <c r="D2" s="25">
        <f>'EstArea 5 2023'!K34 *'Area 5 Test Fishing'!D24</f>
        <v>3500.7289719626165</v>
      </c>
      <c r="E2" s="25">
        <f>'EstArea 5 2023'!K34 *'Area 5 Test Fishing'!E24</f>
        <v>11531.813084112149</v>
      </c>
      <c r="F2" s="25">
        <f>'EstArea 5 2023'!K34 *'Area 5 Test Fishing'!F24</f>
        <v>2985.9158878504668</v>
      </c>
      <c r="G2" s="25">
        <f>SUM(C2:F2)</f>
        <v>22034</v>
      </c>
      <c r="H2" s="25">
        <f>C2+D2</f>
        <v>7516.2710280373831</v>
      </c>
      <c r="I2" s="25">
        <f>D2+F2</f>
        <v>6486.6448598130828</v>
      </c>
      <c r="J2" s="25"/>
      <c r="K2" s="245">
        <f>H2</f>
        <v>7516.2710280373831</v>
      </c>
      <c r="L2" s="59" t="s">
        <v>12</v>
      </c>
    </row>
    <row r="3" spans="1:16">
      <c r="A3" s="26">
        <v>5</v>
      </c>
      <c r="B3" s="26" t="s">
        <v>13</v>
      </c>
      <c r="C3" s="26">
        <v>4458</v>
      </c>
      <c r="D3" s="26">
        <v>2797</v>
      </c>
      <c r="E3" s="26">
        <v>9061</v>
      </c>
      <c r="F3" s="26">
        <v>5796</v>
      </c>
      <c r="G3" s="26">
        <v>22111</v>
      </c>
      <c r="H3" s="26">
        <v>7254</v>
      </c>
      <c r="I3" s="26">
        <v>8592</v>
      </c>
      <c r="J3" s="25" t="s">
        <v>14</v>
      </c>
      <c r="K3" s="245">
        <v>7254</v>
      </c>
      <c r="L3" s="59" t="s">
        <v>13</v>
      </c>
    </row>
    <row r="4" spans="1:16" ht="14.25">
      <c r="A4" s="25"/>
      <c r="B4" s="25" t="s">
        <v>15</v>
      </c>
      <c r="C4" s="27">
        <f t="shared" ref="C4:I4" si="0">C3-C2</f>
        <v>442.45794392523385</v>
      </c>
      <c r="D4" s="27">
        <f t="shared" si="0"/>
        <v>-703.72897196261647</v>
      </c>
      <c r="E4" s="25">
        <f t="shared" si="0"/>
        <v>-2470.8130841121492</v>
      </c>
      <c r="F4" s="27">
        <f t="shared" si="0"/>
        <v>2810.0841121495332</v>
      </c>
      <c r="G4" s="27">
        <f t="shared" si="0"/>
        <v>77</v>
      </c>
      <c r="H4" s="27">
        <f t="shared" si="0"/>
        <v>-262.27102803738308</v>
      </c>
      <c r="I4" s="27">
        <f t="shared" si="0"/>
        <v>2105.3551401869172</v>
      </c>
      <c r="J4" s="27"/>
      <c r="K4" s="68">
        <f>H2/H3</f>
        <v>1.0361553664236811</v>
      </c>
      <c r="L4" s="59" t="s">
        <v>16</v>
      </c>
    </row>
    <row r="5" spans="1:16">
      <c r="B5" s="28" t="s">
        <v>17</v>
      </c>
      <c r="C5" s="29">
        <f t="shared" ref="C5:I5" si="1">C2/C3</f>
        <v>0.90074967610470302</v>
      </c>
      <c r="D5" s="30">
        <f t="shared" si="1"/>
        <v>1.2516013485744071</v>
      </c>
      <c r="E5" s="30">
        <f t="shared" si="1"/>
        <v>1.2726865780942667</v>
      </c>
      <c r="F5" s="30">
        <f t="shared" si="1"/>
        <v>0.51516837264500803</v>
      </c>
      <c r="G5" s="30">
        <f t="shared" si="1"/>
        <v>0.99651757044005251</v>
      </c>
      <c r="H5" s="30">
        <f t="shared" si="1"/>
        <v>1.0361553664236811</v>
      </c>
      <c r="I5" s="30">
        <f t="shared" si="1"/>
        <v>0.75496332167284486</v>
      </c>
      <c r="J5" s="30"/>
      <c r="K5" s="56" t="s">
        <v>18</v>
      </c>
    </row>
    <row r="6" spans="1:16" ht="17.25" customHeight="1">
      <c r="B6" s="28"/>
      <c r="C6" s="25"/>
      <c r="D6" s="31"/>
      <c r="E6" s="31"/>
      <c r="F6" s="31"/>
      <c r="G6" s="28"/>
      <c r="H6" s="31"/>
      <c r="I6" s="31"/>
      <c r="J6" s="31"/>
      <c r="K6" s="28"/>
    </row>
    <row r="7" spans="1:16">
      <c r="A7" s="25">
        <v>6</v>
      </c>
      <c r="B7" s="25" t="s">
        <v>11</v>
      </c>
      <c r="C7" s="25">
        <f>'EstArea 6 2023'!$K$34 * 'Area 6 STR'!M8</f>
        <v>6217.5384615384619</v>
      </c>
      <c r="D7" s="25">
        <f>'EstArea 6 2023'!$K$34 * 'Area 6 STR'!N8</f>
        <v>3691.6634615384614</v>
      </c>
      <c r="E7" s="25">
        <f>'EstArea 6 2023'!$K$34 * 'Area 6 STR'!O8</f>
        <v>6994.7307692307695</v>
      </c>
      <c r="F7" s="25">
        <f>'EstArea 6 2023'!$K$34 * 'Area 6 STR'!P8</f>
        <v>3303.0673076923076</v>
      </c>
      <c r="G7" s="25">
        <f>SUM(C7:F7)</f>
        <v>20207.000000000004</v>
      </c>
      <c r="H7" s="25">
        <f>C7+D7</f>
        <v>9909.2019230769238</v>
      </c>
      <c r="I7" s="25">
        <f>D7+F7</f>
        <v>6994.7307692307695</v>
      </c>
      <c r="J7" s="25"/>
      <c r="K7" s="245">
        <f>H7</f>
        <v>9909.2019230769238</v>
      </c>
      <c r="L7" s="59" t="s">
        <v>12</v>
      </c>
    </row>
    <row r="8" spans="1:16">
      <c r="A8" s="26">
        <v>6</v>
      </c>
      <c r="B8" s="26" t="s">
        <v>13</v>
      </c>
      <c r="C8" s="26">
        <v>8305.6249489999991</v>
      </c>
      <c r="D8" s="26">
        <v>3210.6293549999996</v>
      </c>
      <c r="E8" s="26">
        <v>4936.2081849999995</v>
      </c>
      <c r="F8" s="26">
        <v>1662.0627549999999</v>
      </c>
      <c r="G8" s="26">
        <f>SUM(C8:F8)</f>
        <v>18114.525243999997</v>
      </c>
      <c r="H8" s="26">
        <f>C8+D8</f>
        <v>11516.254303999998</v>
      </c>
      <c r="I8" s="26">
        <f>D8+F8</f>
        <v>4872.69211</v>
      </c>
      <c r="J8" s="25" t="s">
        <v>14</v>
      </c>
      <c r="K8" s="245">
        <v>11516</v>
      </c>
      <c r="L8" s="59" t="s">
        <v>13</v>
      </c>
      <c r="N8" s="581"/>
    </row>
    <row r="9" spans="1:16" ht="14.25">
      <c r="A9" s="25"/>
      <c r="B9" s="25" t="s">
        <v>15</v>
      </c>
      <c r="C9" s="27">
        <f t="shared" ref="C9:I9" si="2">C8-C7</f>
        <v>2088.0864874615372</v>
      </c>
      <c r="D9" s="27">
        <f t="shared" si="2"/>
        <v>-481.03410653846186</v>
      </c>
      <c r="E9" s="25">
        <f t="shared" si="2"/>
        <v>-2058.52258423077</v>
      </c>
      <c r="F9" s="27">
        <f t="shared" si="2"/>
        <v>-1641.0045526923077</v>
      </c>
      <c r="G9" s="27">
        <f t="shared" si="2"/>
        <v>-2092.4747560000069</v>
      </c>
      <c r="H9" s="27">
        <f t="shared" si="2"/>
        <v>1607.0523809230745</v>
      </c>
      <c r="I9" s="27">
        <f t="shared" si="2"/>
        <v>-2122.0386592307696</v>
      </c>
      <c r="J9" s="27"/>
      <c r="K9" s="68">
        <f>H7/H8</f>
        <v>0.86045355212719743</v>
      </c>
      <c r="L9" s="59" t="s">
        <v>16</v>
      </c>
    </row>
    <row r="10" spans="1:16">
      <c r="B10" s="28" t="s">
        <v>17</v>
      </c>
      <c r="C10" s="29">
        <f t="shared" ref="C10:I10" si="3">C7/C8</f>
        <v>0.74859369399855413</v>
      </c>
      <c r="D10" s="30">
        <f t="shared" si="3"/>
        <v>1.1498254869529971</v>
      </c>
      <c r="E10" s="30">
        <f t="shared" si="3"/>
        <v>1.4170250741219033</v>
      </c>
      <c r="F10" s="30">
        <f t="shared" si="3"/>
        <v>1.9873300798996052</v>
      </c>
      <c r="G10" s="30">
        <f t="shared" si="3"/>
        <v>1.1155136404523265</v>
      </c>
      <c r="H10" s="30">
        <f t="shared" si="3"/>
        <v>0.86045355212719743</v>
      </c>
      <c r="I10" s="30">
        <f t="shared" si="3"/>
        <v>1.4354961510652002</v>
      </c>
      <c r="J10" s="30"/>
      <c r="K10" s="56" t="s">
        <v>18</v>
      </c>
    </row>
    <row r="11" spans="1:16" ht="17.25" customHeight="1">
      <c r="B11" s="28"/>
      <c r="C11" s="25"/>
      <c r="D11" s="31"/>
      <c r="E11" s="31"/>
      <c r="F11" s="31"/>
      <c r="G11" s="28"/>
      <c r="H11" s="31"/>
      <c r="I11" s="31"/>
      <c r="J11" s="31"/>
      <c r="K11" s="28"/>
    </row>
    <row r="12" spans="1:16">
      <c r="A12" s="186" t="s">
        <v>19</v>
      </c>
      <c r="B12" s="25" t="s">
        <v>11</v>
      </c>
      <c r="C12" s="25">
        <f>'EstArea 7 2023'!$K$12*'Area7 test fishing'!C9</f>
        <v>2389</v>
      </c>
      <c r="D12" s="25">
        <f>'EstArea 7 2023'!$K$12*'Area7 test fishing'!D9</f>
        <v>2090.375</v>
      </c>
      <c r="E12" s="25">
        <f>'EstArea 7 2023'!$K$12*'Area7 test fishing'!E9</f>
        <v>2090.375</v>
      </c>
      <c r="F12" s="25">
        <f>'EstArea 7 2023'!$K$12*'Area7 test fishing'!F9</f>
        <v>597.25</v>
      </c>
      <c r="G12" s="25">
        <f>SUM(C12:F12)</f>
        <v>7167</v>
      </c>
      <c r="H12" s="25">
        <f>C12+D12</f>
        <v>4479.375</v>
      </c>
      <c r="I12" s="25">
        <f>D12+F12</f>
        <v>2687.625</v>
      </c>
      <c r="J12" s="25"/>
      <c r="K12" s="69">
        <f>SUM('EstArea 7 2023'!G62:H62)</f>
        <v>2088</v>
      </c>
      <c r="L12" s="59" t="s">
        <v>20</v>
      </c>
      <c r="M12" s="60">
        <f>SUM(D12,F12)</f>
        <v>2687.625</v>
      </c>
      <c r="N12" s="59" t="s">
        <v>8</v>
      </c>
      <c r="O12" s="60">
        <f>SUM(E12:F12)</f>
        <v>2687.625</v>
      </c>
      <c r="P12" s="59" t="s">
        <v>21</v>
      </c>
    </row>
    <row r="13" spans="1:16">
      <c r="A13" s="26">
        <v>7</v>
      </c>
      <c r="B13" s="26" t="s">
        <v>13</v>
      </c>
      <c r="C13" s="26">
        <v>2470.6003099999998</v>
      </c>
      <c r="D13" s="26">
        <v>3157.772915</v>
      </c>
      <c r="E13" s="26">
        <v>1443.6728749999997</v>
      </c>
      <c r="F13" s="26">
        <v>1100.08734</v>
      </c>
      <c r="G13" s="26">
        <f>SUM(C13:F13)</f>
        <v>8172.1334399999996</v>
      </c>
      <c r="H13" s="26">
        <f>C13+D13</f>
        <v>5628.3732249999994</v>
      </c>
      <c r="I13" s="26">
        <f>D13+F13</f>
        <v>4257.8602549999996</v>
      </c>
      <c r="J13" s="25" t="s">
        <v>14</v>
      </c>
      <c r="K13" s="69">
        <v>2181</v>
      </c>
      <c r="L13" s="59" t="s">
        <v>22</v>
      </c>
      <c r="M13" s="60">
        <v>4258</v>
      </c>
      <c r="N13" s="59" t="s">
        <v>13</v>
      </c>
      <c r="O13" s="60">
        <v>2544</v>
      </c>
      <c r="P13" s="59" t="s">
        <v>13</v>
      </c>
    </row>
    <row r="14" spans="1:16" ht="14.25">
      <c r="A14" s="25"/>
      <c r="B14" s="25" t="s">
        <v>15</v>
      </c>
      <c r="C14" s="27">
        <f t="shared" ref="C14:I14" si="4">C13-SUM(C12:C12)</f>
        <v>81.600309999999808</v>
      </c>
      <c r="D14" s="27">
        <f t="shared" si="4"/>
        <v>1067.397915</v>
      </c>
      <c r="E14" s="27">
        <f t="shared" si="4"/>
        <v>-646.70212500000025</v>
      </c>
      <c r="F14" s="27">
        <f t="shared" si="4"/>
        <v>502.83734000000004</v>
      </c>
      <c r="G14" s="27">
        <f t="shared" si="4"/>
        <v>1005.1334399999996</v>
      </c>
      <c r="H14" s="27">
        <f t="shared" si="4"/>
        <v>1148.9982249999994</v>
      </c>
      <c r="I14" s="27">
        <f t="shared" si="4"/>
        <v>1570.2352549999996</v>
      </c>
      <c r="J14" s="27"/>
      <c r="K14" s="68">
        <f>K12/K13</f>
        <v>0.95735900962861076</v>
      </c>
      <c r="L14" s="59" t="s">
        <v>23</v>
      </c>
      <c r="M14" s="61">
        <f>M12/M13</f>
        <v>0.63119422263973701</v>
      </c>
      <c r="N14" s="59" t="s">
        <v>24</v>
      </c>
      <c r="O14" s="61">
        <f>O12/O13</f>
        <v>1.0564563679245282</v>
      </c>
      <c r="P14" s="59" t="s">
        <v>25</v>
      </c>
    </row>
    <row r="15" spans="1:16">
      <c r="B15" s="28" t="s">
        <v>17</v>
      </c>
      <c r="C15" s="29">
        <f t="shared" ref="C15:I15" si="5">SUM(C12:C12)/C13</f>
        <v>0.96697146451827332</v>
      </c>
      <c r="D15" s="187">
        <f t="shared" si="5"/>
        <v>0.66197762038883023</v>
      </c>
      <c r="E15" s="187">
        <f t="shared" si="5"/>
        <v>1.447956137570293</v>
      </c>
      <c r="F15" s="187">
        <f t="shared" si="5"/>
        <v>0.54291143828634547</v>
      </c>
      <c r="G15" s="187">
        <f t="shared" si="5"/>
        <v>0.87700476902638536</v>
      </c>
      <c r="H15" s="187">
        <f t="shared" si="5"/>
        <v>0.79585607082764143</v>
      </c>
      <c r="I15" s="187">
        <f t="shared" si="5"/>
        <v>0.6312149387345265</v>
      </c>
      <c r="J15" s="187"/>
      <c r="K15" s="56" t="s">
        <v>26</v>
      </c>
      <c r="M15" s="137" t="s">
        <v>8</v>
      </c>
      <c r="O15" s="137" t="s">
        <v>27</v>
      </c>
    </row>
    <row r="16" spans="1:16">
      <c r="B16" s="28"/>
      <c r="C16" s="31"/>
      <c r="D16" s="31"/>
      <c r="E16" s="31"/>
      <c r="F16" s="31"/>
      <c r="G16" s="28"/>
      <c r="H16" s="31"/>
      <c r="I16" s="31"/>
      <c r="J16" s="31"/>
      <c r="K16" s="28"/>
    </row>
    <row r="17" spans="1:16">
      <c r="A17" s="332" t="s">
        <v>28</v>
      </c>
      <c r="B17" s="25" t="s">
        <v>11</v>
      </c>
      <c r="C17" s="25">
        <f>'EstAreas9&amp;10 2023'!$K$52 * 'Area9&amp;10 test fishing'!C7</f>
        <v>5223.5820895522393</v>
      </c>
      <c r="D17" s="25">
        <f>'EstAreas9&amp;10 2023'!$K$52 * 'Area9&amp;10 test fishing'!D7</f>
        <v>1191.3432835820895</v>
      </c>
      <c r="E17" s="25">
        <f>'EstAreas9&amp;10 2023'!$K$52 * 'Area9&amp;10 test fishing'!E7</f>
        <v>4765.373134328358</v>
      </c>
      <c r="F17" s="25">
        <f>'EstAreas9&amp;10 2023'!$K$52 * 'Area9&amp;10 test fishing'!F7</f>
        <v>1099.7014925373135</v>
      </c>
      <c r="G17" s="25">
        <f>SUM(C17:F17)</f>
        <v>12280</v>
      </c>
      <c r="H17" s="25">
        <f>C17+D17</f>
        <v>6414.9253731343288</v>
      </c>
      <c r="I17" s="25">
        <f>D17+F17</f>
        <v>2291.0447761194027</v>
      </c>
      <c r="J17" s="25"/>
      <c r="K17" s="69">
        <f>SUM('EstAreas9&amp;10 2023'!G52:H52)</f>
        <v>4558</v>
      </c>
      <c r="L17" s="59" t="s">
        <v>29</v>
      </c>
      <c r="M17" s="60"/>
      <c r="O17" s="60"/>
    </row>
    <row r="18" spans="1:16">
      <c r="A18" s="26">
        <v>9</v>
      </c>
      <c r="B18" s="26" t="s">
        <v>13</v>
      </c>
      <c r="C18" s="26">
        <v>4928.5701730000001</v>
      </c>
      <c r="D18" s="26">
        <v>1214.3949749999999</v>
      </c>
      <c r="E18" s="26">
        <v>7455.3745499999986</v>
      </c>
      <c r="F18" s="26">
        <v>1384.2186049999998</v>
      </c>
      <c r="G18" s="26">
        <f>SUM(C18:F18)</f>
        <v>14982.558303</v>
      </c>
      <c r="H18" s="26">
        <f>C18+D18</f>
        <v>6142.9651480000002</v>
      </c>
      <c r="I18" s="26">
        <f>D18+F18</f>
        <v>2598.6135799999997</v>
      </c>
      <c r="J18" s="25" t="s">
        <v>14</v>
      </c>
      <c r="K18" s="69">
        <v>4300</v>
      </c>
      <c r="L18" s="59" t="s">
        <v>22</v>
      </c>
      <c r="M18" s="60"/>
      <c r="O18" s="60"/>
    </row>
    <row r="19" spans="1:16" ht="14.25">
      <c r="A19" s="25"/>
      <c r="B19" s="25" t="s">
        <v>15</v>
      </c>
      <c r="C19" s="27">
        <f>C18-C17</f>
        <v>-295.0119165522392</v>
      </c>
      <c r="D19" s="27">
        <f t="shared" ref="D19:I19" si="6">D18-D17</f>
        <v>23.051691417910433</v>
      </c>
      <c r="E19" s="27">
        <f t="shared" si="6"/>
        <v>2690.0014156716406</v>
      </c>
      <c r="F19" s="27">
        <f t="shared" si="6"/>
        <v>284.51711246268633</v>
      </c>
      <c r="G19" s="27">
        <f t="shared" si="6"/>
        <v>2702.5583029999998</v>
      </c>
      <c r="H19" s="27">
        <f t="shared" si="6"/>
        <v>-271.96022513432854</v>
      </c>
      <c r="I19" s="27">
        <f t="shared" si="6"/>
        <v>307.56880388059699</v>
      </c>
      <c r="J19" s="27"/>
      <c r="K19" s="68">
        <f>K17/K18</f>
        <v>1.06</v>
      </c>
      <c r="L19" s="59" t="s">
        <v>23</v>
      </c>
      <c r="M19" s="588"/>
      <c r="O19" s="588"/>
    </row>
    <row r="20" spans="1:16">
      <c r="B20" s="28" t="s">
        <v>17</v>
      </c>
      <c r="C20" s="29">
        <f>C17/C18</f>
        <v>1.0598575055638635</v>
      </c>
      <c r="D20" s="30">
        <f t="shared" ref="D20:I20" si="7">D17/D18</f>
        <v>0.98101796211902936</v>
      </c>
      <c r="E20" s="30">
        <f t="shared" si="7"/>
        <v>0.63918628130203847</v>
      </c>
      <c r="F20" s="30">
        <f t="shared" si="7"/>
        <v>0.79445651760858516</v>
      </c>
      <c r="G20" s="30">
        <f t="shared" si="7"/>
        <v>0.81961970390204597</v>
      </c>
      <c r="H20" s="30">
        <f t="shared" si="7"/>
        <v>1.0442718163919378</v>
      </c>
      <c r="I20" s="30">
        <f t="shared" si="7"/>
        <v>0.88164119273147301</v>
      </c>
      <c r="J20" s="30"/>
      <c r="K20" s="56" t="s">
        <v>26</v>
      </c>
    </row>
    <row r="21" spans="1:16">
      <c r="B21" s="28"/>
      <c r="C21" s="31"/>
      <c r="D21" s="31"/>
      <c r="E21" s="31"/>
      <c r="F21" s="31"/>
      <c r="G21" s="28"/>
      <c r="H21" s="31"/>
      <c r="I21" s="31"/>
      <c r="J21" s="31"/>
      <c r="K21" s="28"/>
    </row>
    <row r="22" spans="1:16">
      <c r="A22" s="25">
        <v>10</v>
      </c>
      <c r="B22" s="25" t="s">
        <v>11</v>
      </c>
      <c r="C22" s="25">
        <f>'Area9&amp;10 test fishing'!C24 * 'EstAreas9&amp;10 2023'!$K$153</f>
        <v>3925.0961538461538</v>
      </c>
      <c r="D22" s="25">
        <f>'Area9&amp;10 test fishing'!D24 * 'EstAreas9&amp;10 2023'!$K$153</f>
        <v>1855.5</v>
      </c>
      <c r="E22" s="25">
        <f>'Area9&amp;10 test fishing'!E24 * 'EstAreas9&amp;10 2023'!$K$153</f>
        <v>6708.3461538461543</v>
      </c>
      <c r="F22" s="25">
        <f>'Area9&amp;10 test fishing'!F24 * 'EstAreas9&amp;10 2023'!$K$153</f>
        <v>2355.0576923076924</v>
      </c>
      <c r="G22" s="25">
        <f>SUM(C22:F22)</f>
        <v>14844</v>
      </c>
      <c r="H22" s="25">
        <f>C22+D22</f>
        <v>5780.5961538461543</v>
      </c>
      <c r="I22" s="25">
        <f>D22+F22</f>
        <v>4210.5576923076924</v>
      </c>
      <c r="J22" s="25"/>
      <c r="K22" s="69">
        <f>SUM('EstAreas9&amp;10 2023'!G153:H153)</f>
        <v>3420</v>
      </c>
      <c r="L22" s="59" t="s">
        <v>29</v>
      </c>
      <c r="M22" s="60">
        <f>SUM(E22:F22)</f>
        <v>9063.4038461538476</v>
      </c>
      <c r="N22" s="59" t="s">
        <v>21</v>
      </c>
    </row>
    <row r="23" spans="1:16">
      <c r="A23" s="26">
        <v>10</v>
      </c>
      <c r="B23" s="26" t="s">
        <v>13</v>
      </c>
      <c r="C23" s="26">
        <v>4069.7735989999992</v>
      </c>
      <c r="D23" s="26">
        <v>1264.8484879999999</v>
      </c>
      <c r="E23" s="26">
        <v>5430.2039650000006</v>
      </c>
      <c r="F23" s="26">
        <v>2318.1046399999991</v>
      </c>
      <c r="G23" s="26">
        <f>SUM(C23:F23)</f>
        <v>13082.930692</v>
      </c>
      <c r="H23" s="26">
        <f>C23+D23</f>
        <v>5334.6220869999988</v>
      </c>
      <c r="I23" s="26">
        <f>D23+F23</f>
        <v>3582.9531279999992</v>
      </c>
      <c r="J23" s="25" t="s">
        <v>14</v>
      </c>
      <c r="K23" s="69">
        <v>3566</v>
      </c>
      <c r="L23" s="59" t="s">
        <v>22</v>
      </c>
      <c r="M23" s="60">
        <v>7748</v>
      </c>
      <c r="N23" s="59" t="s">
        <v>13</v>
      </c>
    </row>
    <row r="24" spans="1:16" ht="14.25">
      <c r="A24" s="25"/>
      <c r="B24" s="25" t="s">
        <v>15</v>
      </c>
      <c r="C24" s="27">
        <f>C23-C22</f>
        <v>144.67744515384538</v>
      </c>
      <c r="D24" s="27">
        <f t="shared" ref="D24:I24" si="8">D23-D22</f>
        <v>-590.65151200000014</v>
      </c>
      <c r="E24" s="27">
        <f t="shared" si="8"/>
        <v>-1278.1421888461537</v>
      </c>
      <c r="F24" s="27">
        <f t="shared" si="8"/>
        <v>-36.95305230769327</v>
      </c>
      <c r="G24" s="27">
        <f t="shared" si="8"/>
        <v>-1761.0693080000001</v>
      </c>
      <c r="H24" s="27">
        <f t="shared" si="8"/>
        <v>-445.97406684615544</v>
      </c>
      <c r="I24" s="27">
        <f t="shared" si="8"/>
        <v>-627.60456430769318</v>
      </c>
      <c r="J24" s="27"/>
      <c r="K24" s="68">
        <f>K22/K23</f>
        <v>0.95905776780706675</v>
      </c>
      <c r="L24" s="59" t="s">
        <v>23</v>
      </c>
      <c r="M24" s="68">
        <f>M22/M23</f>
        <v>1.16977334101108</v>
      </c>
      <c r="N24" s="59" t="s">
        <v>25</v>
      </c>
    </row>
    <row r="25" spans="1:16">
      <c r="B25" s="28" t="s">
        <v>17</v>
      </c>
      <c r="C25" s="29">
        <f>C22/C23</f>
        <v>0.96445073868743103</v>
      </c>
      <c r="D25" s="30">
        <f t="shared" ref="D25:I25" si="9">D22/D23</f>
        <v>1.466974121883917</v>
      </c>
      <c r="E25" s="30">
        <f t="shared" si="9"/>
        <v>1.2353764604578998</v>
      </c>
      <c r="F25" s="30">
        <f t="shared" si="9"/>
        <v>1.0159410630866488</v>
      </c>
      <c r="G25" s="30">
        <f t="shared" si="9"/>
        <v>1.1346081661257188</v>
      </c>
      <c r="H25" s="30">
        <f t="shared" si="9"/>
        <v>1.0835999363353133</v>
      </c>
      <c r="I25" s="30">
        <f t="shared" si="9"/>
        <v>1.1751640453800805</v>
      </c>
      <c r="J25" s="30"/>
      <c r="K25" s="56" t="s">
        <v>26</v>
      </c>
      <c r="M25" s="137" t="s">
        <v>27</v>
      </c>
    </row>
    <row r="26" spans="1:16">
      <c r="B26" s="28"/>
      <c r="C26" s="29"/>
      <c r="D26" s="30"/>
      <c r="E26" s="30"/>
      <c r="F26" s="30"/>
      <c r="G26" s="30"/>
      <c r="H26" s="30"/>
      <c r="I26" s="30"/>
      <c r="J26" s="30"/>
      <c r="K26" s="28"/>
    </row>
    <row r="27" spans="1:16">
      <c r="A27" s="333" t="s">
        <v>30</v>
      </c>
      <c r="B27" s="25" t="s">
        <v>11</v>
      </c>
      <c r="C27" s="25">
        <f>'EstArea 11 2023'!$L$14 * 'Area 11 Encounters'!C24</f>
        <v>1129.9354838709678</v>
      </c>
      <c r="D27" s="25">
        <f>'EstArea 11 2023'!$L$14 * 'Area 11 Encounters'!D24</f>
        <v>659.12903225806451</v>
      </c>
      <c r="E27" s="25">
        <f>'EstArea 11 2023'!$L$14 * 'Area 11 Encounters'!E24</f>
        <v>753.29032258064512</v>
      </c>
      <c r="F27" s="25">
        <f>'EstArea 11 2023'!$L$14 * 'Area 11 Encounters'!F24</f>
        <v>376.64516129032256</v>
      </c>
      <c r="G27" s="25">
        <f>SUM(C27:F27)</f>
        <v>2918.9999999999995</v>
      </c>
      <c r="H27" s="25">
        <f>C27+D27</f>
        <v>1789.0645161290322</v>
      </c>
      <c r="I27" s="25">
        <f>D27+F27</f>
        <v>1035.7741935483871</v>
      </c>
      <c r="J27" s="25"/>
      <c r="K27" s="69">
        <f>SUM('EstArea 11 2023'!H14:I14)</f>
        <v>988</v>
      </c>
      <c r="L27" s="59" t="s">
        <v>29</v>
      </c>
      <c r="M27" s="60">
        <f>SUM(D27,F27)</f>
        <v>1035.7741935483871</v>
      </c>
      <c r="N27" s="59" t="s">
        <v>8</v>
      </c>
      <c r="O27" s="60">
        <f>SUM(E27:F27)</f>
        <v>1129.9354838709678</v>
      </c>
      <c r="P27" s="59" t="s">
        <v>21</v>
      </c>
    </row>
    <row r="28" spans="1:16">
      <c r="A28" s="26">
        <v>11</v>
      </c>
      <c r="B28" s="26" t="s">
        <v>13</v>
      </c>
      <c r="C28" s="26">
        <v>1623.4744840000001</v>
      </c>
      <c r="D28" s="26">
        <v>528.85996800000009</v>
      </c>
      <c r="E28" s="26">
        <v>1324.4161199999996</v>
      </c>
      <c r="F28" s="26">
        <v>372.51904999999999</v>
      </c>
      <c r="G28" s="26">
        <f>SUM(C28:F28)</f>
        <v>3849.2696219999998</v>
      </c>
      <c r="H28" s="26">
        <f>SUM(C28:D28)</f>
        <v>2152.3344520000001</v>
      </c>
      <c r="I28" s="26">
        <f>SUM(D28,F28)</f>
        <v>901.37901800000009</v>
      </c>
      <c r="J28" s="25" t="s">
        <v>14</v>
      </c>
      <c r="K28" s="69">
        <v>1423</v>
      </c>
      <c r="L28" s="59" t="s">
        <v>22</v>
      </c>
      <c r="M28" s="60">
        <v>901</v>
      </c>
      <c r="N28" s="59" t="s">
        <v>13</v>
      </c>
      <c r="O28" s="60">
        <v>1697</v>
      </c>
      <c r="P28" s="59" t="s">
        <v>13</v>
      </c>
    </row>
    <row r="29" spans="1:16" ht="14.25">
      <c r="A29" s="333"/>
      <c r="B29" s="25" t="s">
        <v>15</v>
      </c>
      <c r="C29" s="27">
        <f>C28-C27</f>
        <v>493.53900012903227</v>
      </c>
      <c r="D29" s="27">
        <f t="shared" ref="D29:E29" si="10">D28-D27</f>
        <v>-130.26906425806442</v>
      </c>
      <c r="E29" s="27">
        <f t="shared" si="10"/>
        <v>571.12579741935451</v>
      </c>
      <c r="F29" s="27">
        <f>F28-F27</f>
        <v>-4.1261112903225694</v>
      </c>
      <c r="G29" s="27">
        <f t="shared" ref="G29:I29" si="11">G28-G27</f>
        <v>930.26962200000025</v>
      </c>
      <c r="H29" s="27">
        <f t="shared" si="11"/>
        <v>363.26993587096786</v>
      </c>
      <c r="I29" s="27">
        <f t="shared" si="11"/>
        <v>-134.39517554838699</v>
      </c>
      <c r="J29" s="27"/>
      <c r="K29" s="61">
        <f>K27/K28</f>
        <v>0.69430780042164442</v>
      </c>
      <c r="L29" s="59" t="s">
        <v>23</v>
      </c>
      <c r="M29" s="68">
        <f>M27/M28</f>
        <v>1.1495829007196305</v>
      </c>
      <c r="N29" s="59" t="s">
        <v>24</v>
      </c>
      <c r="O29" s="68">
        <f>O27/O28</f>
        <v>0.66584294865702287</v>
      </c>
      <c r="P29" s="59" t="s">
        <v>25</v>
      </c>
    </row>
    <row r="30" spans="1:16">
      <c r="A30" s="333"/>
      <c r="B30" s="25" t="s">
        <v>17</v>
      </c>
      <c r="C30" s="32">
        <f t="shared" ref="C30:I30" si="12">C27/C28</f>
        <v>0.6959983017946636</v>
      </c>
      <c r="D30" s="32">
        <f t="shared" si="12"/>
        <v>1.2463205236552606</v>
      </c>
      <c r="E30" s="32">
        <f t="shared" si="12"/>
        <v>0.56877163544388554</v>
      </c>
      <c r="F30" s="32">
        <f t="shared" si="12"/>
        <v>1.0110762423836379</v>
      </c>
      <c r="G30" s="32">
        <f t="shared" si="12"/>
        <v>0.7583256790630708</v>
      </c>
      <c r="H30" s="32">
        <f t="shared" si="12"/>
        <v>0.83122049849947399</v>
      </c>
      <c r="I30" s="32">
        <f t="shared" si="12"/>
        <v>1.1490995162574185</v>
      </c>
      <c r="J30" s="32"/>
      <c r="K30" s="56" t="s">
        <v>26</v>
      </c>
      <c r="M30" s="137" t="s">
        <v>8</v>
      </c>
      <c r="O30" s="137" t="s">
        <v>27</v>
      </c>
    </row>
    <row r="31" spans="1:16">
      <c r="A31" s="333"/>
      <c r="B31" s="25"/>
      <c r="C31" s="32"/>
      <c r="D31" s="32"/>
      <c r="E31" s="32"/>
      <c r="F31" s="32"/>
      <c r="G31" s="32"/>
      <c r="H31" s="32"/>
      <c r="I31" s="32"/>
      <c r="J31" s="32"/>
      <c r="K31" s="28"/>
    </row>
    <row r="32" spans="1:16">
      <c r="A32" s="332" t="s">
        <v>31</v>
      </c>
      <c r="B32" s="25" t="s">
        <v>11</v>
      </c>
      <c r="C32" s="25">
        <f>'EstArea 11 2023'!$L$63 * 'Area 11 Encounters'!C27</f>
        <v>929.8850574712643</v>
      </c>
      <c r="D32" s="25">
        <f>'EstArea 11 2023'!$L$63 * 'Area 11 Encounters'!D27</f>
        <v>1046.1206896551723</v>
      </c>
      <c r="E32" s="25">
        <f>'EstArea 11 2023'!$L$63 * 'Area 11 Encounters'!E27</f>
        <v>2324.7126436781605</v>
      </c>
      <c r="F32" s="25">
        <f>'EstArea 11 2023'!$L$63 * 'Area 11 Encounters'!F27</f>
        <v>581.17816091954012</v>
      </c>
      <c r="G32" s="25">
        <f>SUM(C32:F32)</f>
        <v>4881.8965517241377</v>
      </c>
      <c r="H32" s="25">
        <f>C32+D32</f>
        <v>1976.0057471264367</v>
      </c>
      <c r="I32" s="25">
        <f>D32+F32</f>
        <v>1627.2988505747126</v>
      </c>
      <c r="J32" s="25"/>
      <c r="K32" s="69">
        <f>SUM('EstArea 11 2023'!H63:I63)</f>
        <v>820</v>
      </c>
      <c r="L32" s="59" t="s">
        <v>29</v>
      </c>
      <c r="M32" s="60">
        <f>SUM(E32:F32)</f>
        <v>2905.8908045977005</v>
      </c>
      <c r="N32" s="59" t="s">
        <v>21</v>
      </c>
    </row>
    <row r="33" spans="1:14">
      <c r="A33" s="26">
        <v>11</v>
      </c>
      <c r="B33" s="26" t="s">
        <v>13</v>
      </c>
      <c r="C33" s="26">
        <v>3860.5615710000006</v>
      </c>
      <c r="D33" s="26">
        <v>1015.5717260000001</v>
      </c>
      <c r="E33" s="26">
        <v>2858.6680000000001</v>
      </c>
      <c r="F33" s="26">
        <v>986.01297999999997</v>
      </c>
      <c r="G33" s="26">
        <f>SUM(C33:F33)</f>
        <v>8720.8142769999995</v>
      </c>
      <c r="H33" s="26">
        <f>SUM(C33:D33)</f>
        <v>4876.1332970000003</v>
      </c>
      <c r="I33" s="26">
        <f>D33+F33</f>
        <v>2001.5847060000001</v>
      </c>
      <c r="J33" s="25" t="s">
        <v>14</v>
      </c>
      <c r="K33" s="69">
        <v>3379</v>
      </c>
      <c r="L33" s="59" t="s">
        <v>22</v>
      </c>
      <c r="M33" s="60">
        <f>SUM(E33:F33)</f>
        <v>3844.6809800000001</v>
      </c>
      <c r="N33" s="59" t="s">
        <v>13</v>
      </c>
    </row>
    <row r="34" spans="1:14" ht="14.25">
      <c r="A34" s="25"/>
      <c r="B34" s="25" t="s">
        <v>15</v>
      </c>
      <c r="C34" s="27">
        <f>C33-C32</f>
        <v>2930.6765135287365</v>
      </c>
      <c r="D34" s="27">
        <f t="shared" ref="D34:I34" si="13">D33-D32</f>
        <v>-30.548963655172201</v>
      </c>
      <c r="E34" s="27">
        <f t="shared" si="13"/>
        <v>533.95535632183964</v>
      </c>
      <c r="F34" s="27">
        <f>F33-F32</f>
        <v>404.83481908045985</v>
      </c>
      <c r="G34" s="27">
        <f t="shared" si="13"/>
        <v>3838.9177252758618</v>
      </c>
      <c r="H34" s="27">
        <f t="shared" si="13"/>
        <v>2900.1275498735636</v>
      </c>
      <c r="I34" s="27">
        <f t="shared" si="13"/>
        <v>374.28585542528754</v>
      </c>
      <c r="J34" s="27"/>
      <c r="K34" s="61">
        <f>K32/K33</f>
        <v>0.24267534773601657</v>
      </c>
      <c r="L34" s="59" t="s">
        <v>23</v>
      </c>
      <c r="M34" s="61">
        <f>M32/M33</f>
        <v>0.75582104723750065</v>
      </c>
      <c r="N34" s="59" t="s">
        <v>25</v>
      </c>
    </row>
    <row r="35" spans="1:14">
      <c r="A35" s="25"/>
      <c r="B35" s="25" t="s">
        <v>17</v>
      </c>
      <c r="C35" s="32">
        <f t="shared" ref="C35:I35" si="14">C32/C33</f>
        <v>0.24086782204341228</v>
      </c>
      <c r="D35" s="32">
        <f t="shared" si="14"/>
        <v>1.0300805574565319</v>
      </c>
      <c r="E35" s="32">
        <f t="shared" si="14"/>
        <v>0.81321533094369836</v>
      </c>
      <c r="F35" s="32">
        <f t="shared" si="14"/>
        <v>0.58942242415463952</v>
      </c>
      <c r="G35" s="32">
        <f t="shared" si="14"/>
        <v>0.55979824780806275</v>
      </c>
      <c r="H35" s="32">
        <f t="shared" si="14"/>
        <v>0.40524030553925944</v>
      </c>
      <c r="I35" s="32">
        <f t="shared" si="14"/>
        <v>0.81300523814789405</v>
      </c>
      <c r="J35" s="32"/>
      <c r="K35" s="56" t="s">
        <v>26</v>
      </c>
      <c r="M35" s="137" t="s">
        <v>27</v>
      </c>
    </row>
    <row r="36" spans="1:14" ht="14.25">
      <c r="A36" s="25"/>
      <c r="B36" s="25"/>
      <c r="C36" s="27"/>
      <c r="D36" s="27"/>
      <c r="E36" s="27"/>
      <c r="F36" s="27"/>
      <c r="G36" s="27"/>
      <c r="H36" s="27"/>
      <c r="I36" s="27"/>
      <c r="J36" s="27"/>
    </row>
    <row r="37" spans="1:14">
      <c r="A37" s="25"/>
      <c r="B37" s="25"/>
      <c r="C37" s="32"/>
      <c r="D37" s="32"/>
      <c r="E37" s="32"/>
      <c r="F37" s="32"/>
      <c r="G37" s="32"/>
      <c r="H37" s="32"/>
      <c r="I37" s="32"/>
      <c r="J37" s="32"/>
    </row>
  </sheetData>
  <mergeCells count="1">
    <mergeCell ref="K1:N1"/>
  </mergeCells>
  <pageMargins left="0.7" right="0.7" top="0.75" bottom="0.75" header="0.3" footer="0.3"/>
  <pageSetup scale="44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56EFD-21ED-4A2A-8B56-007E77374B3F}">
  <dimension ref="A1:AG56"/>
  <sheetViews>
    <sheetView workbookViewId="0">
      <selection activeCell="G7" sqref="G7:H11"/>
    </sheetView>
  </sheetViews>
  <sheetFormatPr defaultColWidth="8.83203125" defaultRowHeight="12.75"/>
  <cols>
    <col min="1" max="1" width="13.33203125" style="33" customWidth="1"/>
    <col min="2" max="2" width="16.5" style="33" customWidth="1"/>
    <col min="3" max="3" width="12.83203125" style="33" customWidth="1"/>
    <col min="4" max="4" width="13.1640625" style="33" customWidth="1"/>
    <col min="5" max="5" width="15.5" style="33" bestFit="1" customWidth="1"/>
    <col min="6" max="6" width="17.33203125" style="33" customWidth="1"/>
    <col min="7" max="7" width="15.1640625" style="33" customWidth="1"/>
    <col min="8" max="8" width="13.83203125" style="33" customWidth="1"/>
    <col min="9" max="9" width="11.1640625" style="33" customWidth="1"/>
    <col min="10" max="10" width="13.33203125" style="33" customWidth="1"/>
    <col min="11" max="11" width="13.83203125" style="33" customWidth="1"/>
    <col min="12" max="12" width="12.5" style="33" customWidth="1"/>
    <col min="13" max="13" width="15.6640625" style="33" customWidth="1"/>
    <col min="14" max="14" width="16.5" style="33" customWidth="1"/>
    <col min="15" max="15" width="18.33203125" style="33" customWidth="1"/>
    <col min="16" max="16" width="12.6640625" style="33" customWidth="1"/>
    <col min="17" max="17" width="12" style="33" customWidth="1"/>
    <col min="18" max="18" width="17.5" style="33" customWidth="1"/>
    <col min="19" max="19" width="17.33203125" style="33" customWidth="1"/>
    <col min="20" max="20" width="14.1640625" style="217" customWidth="1"/>
    <col min="21" max="24" width="14.1640625" style="33" customWidth="1"/>
    <col min="25" max="25" width="12.83203125" style="33" customWidth="1"/>
    <col min="26" max="29" width="14.1640625" style="33" customWidth="1"/>
    <col min="30" max="30" width="14.1640625" style="33" bestFit="1" customWidth="1"/>
    <col min="31" max="31" width="13.1640625" style="33" bestFit="1" customWidth="1"/>
    <col min="32" max="16384" width="8.83203125" style="33"/>
  </cols>
  <sheetData>
    <row r="1" spans="1:33" ht="15" customHeight="1">
      <c r="A1" s="902" t="s">
        <v>54</v>
      </c>
      <c r="B1" s="902"/>
      <c r="C1" s="902"/>
      <c r="D1" s="902"/>
      <c r="E1" s="902"/>
      <c r="F1" s="902"/>
      <c r="G1" s="902"/>
      <c r="H1" s="902"/>
      <c r="I1" s="902"/>
      <c r="J1" s="902"/>
      <c r="K1" s="902"/>
      <c r="S1" s="592"/>
      <c r="T1" s="33">
        <v>66</v>
      </c>
    </row>
    <row r="2" spans="1:33" ht="15.75">
      <c r="A2" s="902" t="s">
        <v>220</v>
      </c>
      <c r="B2" s="902"/>
      <c r="C2" s="902"/>
      <c r="D2" s="902"/>
      <c r="E2" s="902"/>
      <c r="F2" s="902"/>
      <c r="G2" s="902"/>
      <c r="H2" s="902"/>
      <c r="I2" s="902"/>
      <c r="J2" s="902"/>
      <c r="K2" s="902"/>
      <c r="S2" s="593">
        <v>11</v>
      </c>
      <c r="T2" s="33">
        <v>11</v>
      </c>
    </row>
    <row r="3" spans="1:33" ht="12.6" customHeight="1">
      <c r="A3" s="874"/>
      <c r="B3" s="874"/>
      <c r="C3" s="874"/>
      <c r="D3" s="874"/>
      <c r="E3" s="874"/>
      <c r="F3" s="874"/>
      <c r="G3" s="874"/>
      <c r="H3" s="874"/>
      <c r="I3" s="874"/>
      <c r="J3" s="874"/>
      <c r="S3" s="593">
        <v>5</v>
      </c>
      <c r="T3" s="33">
        <v>5</v>
      </c>
    </row>
    <row r="4" spans="1:33" ht="17.649999999999999" customHeight="1" thickBot="1">
      <c r="A4" s="42"/>
      <c r="B4" s="43"/>
      <c r="C4" s="43"/>
      <c r="D4" s="43"/>
      <c r="E4" s="43"/>
      <c r="F4" s="43"/>
      <c r="G4" s="903" t="s">
        <v>86</v>
      </c>
      <c r="H4" s="904"/>
      <c r="I4" s="904"/>
      <c r="J4" s="904"/>
      <c r="K4" s="904"/>
      <c r="L4" s="904"/>
      <c r="M4" s="905"/>
      <c r="N4" s="938" t="s">
        <v>87</v>
      </c>
      <c r="O4" s="939"/>
      <c r="P4" s="939"/>
      <c r="Q4" s="939"/>
      <c r="R4" s="939"/>
      <c r="S4" s="593">
        <v>1</v>
      </c>
      <c r="T4" s="33">
        <v>119</v>
      </c>
    </row>
    <row r="5" spans="1:33" ht="19.149999999999999" customHeight="1">
      <c r="A5" s="906" t="s">
        <v>57</v>
      </c>
      <c r="B5" s="906" t="s">
        <v>58</v>
      </c>
      <c r="C5" s="906" t="s">
        <v>59</v>
      </c>
      <c r="D5" s="908" t="s">
        <v>60</v>
      </c>
      <c r="E5" s="910" t="s">
        <v>61</v>
      </c>
      <c r="F5" s="911"/>
      <c r="G5" s="910" t="s">
        <v>88</v>
      </c>
      <c r="H5" s="936"/>
      <c r="I5" s="911"/>
      <c r="J5" s="910" t="s">
        <v>89</v>
      </c>
      <c r="K5" s="936"/>
      <c r="L5" s="911"/>
      <c r="M5" s="912" t="s">
        <v>90</v>
      </c>
      <c r="N5" s="906" t="s">
        <v>91</v>
      </c>
      <c r="O5" s="940" t="s">
        <v>92</v>
      </c>
      <c r="P5" s="906" t="s">
        <v>93</v>
      </c>
      <c r="Q5" s="942" t="s">
        <v>94</v>
      </c>
      <c r="R5" s="912" t="s">
        <v>95</v>
      </c>
      <c r="S5" s="593">
        <v>119</v>
      </c>
      <c r="T5" s="33">
        <v>48</v>
      </c>
    </row>
    <row r="6" spans="1:33" ht="19.149999999999999" customHeight="1">
      <c r="A6" s="907"/>
      <c r="B6" s="907"/>
      <c r="C6" s="907"/>
      <c r="D6" s="909"/>
      <c r="E6" s="44" t="s">
        <v>65</v>
      </c>
      <c r="F6" s="45" t="s">
        <v>66</v>
      </c>
      <c r="G6" s="44" t="s">
        <v>67</v>
      </c>
      <c r="H6" s="158" t="s">
        <v>68</v>
      </c>
      <c r="I6" s="876" t="s">
        <v>96</v>
      </c>
      <c r="J6" s="887" t="s">
        <v>67</v>
      </c>
      <c r="K6" s="875" t="s">
        <v>68</v>
      </c>
      <c r="L6" s="876" t="s">
        <v>96</v>
      </c>
      <c r="M6" s="937"/>
      <c r="N6" s="907"/>
      <c r="O6" s="941"/>
      <c r="P6" s="907"/>
      <c r="Q6" s="913"/>
      <c r="R6" s="937"/>
      <c r="S6" s="593">
        <v>48</v>
      </c>
      <c r="T6" s="33">
        <v>156</v>
      </c>
    </row>
    <row r="7" spans="1:33" s="217" customFormat="1" ht="16.149999999999999" customHeight="1">
      <c r="A7" s="1080" t="s">
        <v>70</v>
      </c>
      <c r="B7" s="394">
        <v>32</v>
      </c>
      <c r="C7" s="377">
        <v>45139</v>
      </c>
      <c r="D7" s="378">
        <v>45144</v>
      </c>
      <c r="E7" s="410">
        <v>864</v>
      </c>
      <c r="F7" s="600">
        <v>2158</v>
      </c>
      <c r="G7" s="410">
        <v>133</v>
      </c>
      <c r="H7" s="514">
        <v>178</v>
      </c>
      <c r="I7" s="76">
        <v>0</v>
      </c>
      <c r="J7" s="80">
        <v>28</v>
      </c>
      <c r="K7" s="76">
        <v>92</v>
      </c>
      <c r="L7" s="515">
        <v>41</v>
      </c>
      <c r="M7" s="516">
        <f>SUM(G7:L7)</f>
        <v>472</v>
      </c>
      <c r="N7" s="618">
        <v>1399</v>
      </c>
      <c r="O7" s="622">
        <v>215</v>
      </c>
      <c r="P7" s="627">
        <v>0</v>
      </c>
      <c r="Q7" s="622">
        <v>0</v>
      </c>
      <c r="R7" s="284">
        <f>SUM(N7:Q7)</f>
        <v>1614</v>
      </c>
      <c r="S7" s="593">
        <v>13</v>
      </c>
      <c r="T7" s="590">
        <f>SUM(T1:T6)</f>
        <v>405</v>
      </c>
      <c r="U7" s="217">
        <f>T7/M7</f>
        <v>0.85805084745762716</v>
      </c>
      <c r="V7" s="33"/>
      <c r="W7" s="33"/>
      <c r="X7" s="33"/>
      <c r="Y7" s="33"/>
      <c r="Z7" s="33"/>
      <c r="AA7" s="33"/>
      <c r="AB7" s="33"/>
      <c r="AC7" s="33"/>
      <c r="AD7" s="33"/>
      <c r="AE7" s="33"/>
    </row>
    <row r="8" spans="1:33" s="217" customFormat="1" ht="14.65" customHeight="1">
      <c r="A8" s="1081"/>
      <c r="B8" s="393">
        <v>33</v>
      </c>
      <c r="C8" s="667">
        <v>45145</v>
      </c>
      <c r="D8" s="668">
        <v>45151</v>
      </c>
      <c r="E8" s="99">
        <v>1277</v>
      </c>
      <c r="F8" s="101">
        <v>3256</v>
      </c>
      <c r="G8" s="83">
        <v>56</v>
      </c>
      <c r="H8" s="84">
        <v>105</v>
      </c>
      <c r="I8" s="85">
        <v>0</v>
      </c>
      <c r="J8" s="221">
        <v>14</v>
      </c>
      <c r="K8" s="85">
        <v>124</v>
      </c>
      <c r="L8" s="222">
        <v>67</v>
      </c>
      <c r="M8" s="229">
        <f t="shared" ref="M8:M14" si="0">SUM(G8:L8)</f>
        <v>366</v>
      </c>
      <c r="N8" s="619">
        <v>4221</v>
      </c>
      <c r="O8" s="623">
        <v>1337</v>
      </c>
      <c r="P8" s="629">
        <v>0</v>
      </c>
      <c r="Q8" s="623">
        <v>0</v>
      </c>
      <c r="R8" s="402">
        <f t="shared" ref="R8:R14" si="1">SUM(N8:Q8)</f>
        <v>5558</v>
      </c>
      <c r="S8" s="593">
        <v>3</v>
      </c>
      <c r="T8" s="590">
        <f>SUM(S1:S6)</f>
        <v>184</v>
      </c>
      <c r="U8" s="217">
        <f>T8/M8</f>
        <v>0.50273224043715847</v>
      </c>
      <c r="V8" s="33"/>
      <c r="W8" s="33"/>
      <c r="X8" s="33"/>
      <c r="Y8" s="33"/>
      <c r="Z8" s="33"/>
      <c r="AA8" s="33"/>
      <c r="AB8" s="33"/>
      <c r="AC8" s="33"/>
      <c r="AD8" s="33"/>
      <c r="AE8" s="33"/>
    </row>
    <row r="9" spans="1:33" s="217" customFormat="1" ht="14.65" customHeight="1">
      <c r="A9" s="1081"/>
      <c r="B9" s="393">
        <v>34</v>
      </c>
      <c r="C9" s="667">
        <v>45152</v>
      </c>
      <c r="D9" s="668">
        <v>45158</v>
      </c>
      <c r="E9" s="99">
        <v>1954</v>
      </c>
      <c r="F9" s="100">
        <v>5325</v>
      </c>
      <c r="G9" s="83">
        <v>114</v>
      </c>
      <c r="H9" s="84">
        <v>215</v>
      </c>
      <c r="I9" s="85">
        <v>0</v>
      </c>
      <c r="J9" s="221">
        <v>16</v>
      </c>
      <c r="K9" s="85">
        <v>95</v>
      </c>
      <c r="L9" s="222">
        <v>90</v>
      </c>
      <c r="M9" s="229">
        <f t="shared" si="0"/>
        <v>530</v>
      </c>
      <c r="N9" s="619">
        <v>7881</v>
      </c>
      <c r="O9" s="623">
        <v>2852</v>
      </c>
      <c r="P9" s="629">
        <v>0</v>
      </c>
      <c r="Q9" s="623">
        <v>0</v>
      </c>
      <c r="R9" s="402">
        <f t="shared" si="1"/>
        <v>10733</v>
      </c>
      <c r="S9" s="593">
        <v>156</v>
      </c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</row>
    <row r="10" spans="1:33" s="217" customFormat="1" ht="14.65" customHeight="1">
      <c r="A10" s="1081"/>
      <c r="B10" s="393">
        <v>35</v>
      </c>
      <c r="C10" s="667">
        <v>45159</v>
      </c>
      <c r="D10" s="668">
        <v>45165</v>
      </c>
      <c r="E10" s="99">
        <v>1999</v>
      </c>
      <c r="F10" s="100">
        <v>5184</v>
      </c>
      <c r="G10" s="83">
        <v>96</v>
      </c>
      <c r="H10" s="84">
        <v>201</v>
      </c>
      <c r="I10" s="85">
        <v>0</v>
      </c>
      <c r="J10" s="221">
        <v>29</v>
      </c>
      <c r="K10" s="85">
        <v>63</v>
      </c>
      <c r="L10" s="222">
        <v>139</v>
      </c>
      <c r="M10" s="229">
        <f t="shared" si="0"/>
        <v>528</v>
      </c>
      <c r="N10" s="619">
        <v>7863</v>
      </c>
      <c r="O10" s="623">
        <v>3890</v>
      </c>
      <c r="P10" s="629">
        <v>3</v>
      </c>
      <c r="Q10" s="623">
        <v>0</v>
      </c>
      <c r="R10" s="402">
        <f t="shared" si="1"/>
        <v>11756</v>
      </c>
      <c r="S10" s="593">
        <v>66</v>
      </c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</row>
    <row r="11" spans="1:33" s="217" customFormat="1" ht="14.65" customHeight="1">
      <c r="A11" s="1082"/>
      <c r="B11" s="409">
        <v>36</v>
      </c>
      <c r="C11" s="383">
        <v>45166</v>
      </c>
      <c r="D11" s="384">
        <v>45173</v>
      </c>
      <c r="E11" s="413">
        <v>1920</v>
      </c>
      <c r="F11" s="97">
        <v>5025</v>
      </c>
      <c r="G11" s="90">
        <v>543</v>
      </c>
      <c r="H11" s="91">
        <v>642</v>
      </c>
      <c r="I11" s="92">
        <v>3</v>
      </c>
      <c r="J11" s="234">
        <v>30</v>
      </c>
      <c r="K11" s="92">
        <v>171</v>
      </c>
      <c r="L11" s="235">
        <v>128</v>
      </c>
      <c r="M11" s="517">
        <f t="shared" si="0"/>
        <v>1517</v>
      </c>
      <c r="N11" s="279">
        <v>6047</v>
      </c>
      <c r="O11" s="555">
        <v>5355</v>
      </c>
      <c r="P11" s="556">
        <v>0</v>
      </c>
      <c r="Q11" s="555">
        <v>0</v>
      </c>
      <c r="R11" s="139">
        <f t="shared" si="1"/>
        <v>11402</v>
      </c>
      <c r="S11" s="593">
        <v>47</v>
      </c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</row>
    <row r="12" spans="1:33" ht="14.65" customHeight="1">
      <c r="A12" s="1080" t="s">
        <v>53</v>
      </c>
      <c r="B12" s="893">
        <v>37</v>
      </c>
      <c r="C12" s="379">
        <v>45174</v>
      </c>
      <c r="D12" s="380">
        <v>44814</v>
      </c>
      <c r="E12" s="86">
        <v>1241</v>
      </c>
      <c r="F12" s="98">
        <v>2980</v>
      </c>
      <c r="G12" s="86">
        <v>593</v>
      </c>
      <c r="H12" s="87">
        <v>679</v>
      </c>
      <c r="I12" s="88">
        <v>2</v>
      </c>
      <c r="J12" s="512">
        <v>114</v>
      </c>
      <c r="K12" s="88">
        <v>209</v>
      </c>
      <c r="L12" s="513">
        <v>198</v>
      </c>
      <c r="M12" s="231">
        <f t="shared" si="0"/>
        <v>1795</v>
      </c>
      <c r="N12" s="619">
        <v>2318</v>
      </c>
      <c r="O12" s="623">
        <v>1736</v>
      </c>
      <c r="P12" s="629">
        <v>0</v>
      </c>
      <c r="Q12" s="623">
        <v>0</v>
      </c>
      <c r="R12" s="402">
        <f t="shared" si="1"/>
        <v>4054</v>
      </c>
      <c r="S12" s="593">
        <v>4</v>
      </c>
    </row>
    <row r="13" spans="1:33" ht="14.65" customHeight="1">
      <c r="A13" s="1081"/>
      <c r="B13" s="393">
        <v>38</v>
      </c>
      <c r="C13" s="667">
        <v>45180</v>
      </c>
      <c r="D13" s="668">
        <v>45186</v>
      </c>
      <c r="E13" s="83">
        <v>1007</v>
      </c>
      <c r="F13" s="100">
        <v>2196</v>
      </c>
      <c r="G13" s="83">
        <v>563</v>
      </c>
      <c r="H13" s="84">
        <v>664</v>
      </c>
      <c r="I13" s="85">
        <v>0</v>
      </c>
      <c r="J13" s="221">
        <v>77</v>
      </c>
      <c r="K13" s="85">
        <v>172</v>
      </c>
      <c r="L13" s="222">
        <v>114</v>
      </c>
      <c r="M13" s="232">
        <f t="shared" si="0"/>
        <v>1590</v>
      </c>
      <c r="N13" s="221">
        <v>401</v>
      </c>
      <c r="O13" s="85">
        <v>622</v>
      </c>
      <c r="P13" s="221">
        <v>0</v>
      </c>
      <c r="Q13" s="85">
        <v>0</v>
      </c>
      <c r="R13" s="232">
        <f t="shared" si="1"/>
        <v>1023</v>
      </c>
      <c r="S13" s="593">
        <v>111</v>
      </c>
    </row>
    <row r="14" spans="1:33" ht="14.65" customHeight="1" thickBot="1">
      <c r="A14" s="1082"/>
      <c r="B14" s="409">
        <v>39</v>
      </c>
      <c r="C14" s="383">
        <v>45187</v>
      </c>
      <c r="D14" s="384">
        <v>45193</v>
      </c>
      <c r="E14" s="90">
        <v>668</v>
      </c>
      <c r="F14" s="97">
        <v>1503</v>
      </c>
      <c r="G14" s="90">
        <v>339</v>
      </c>
      <c r="H14" s="91">
        <v>383</v>
      </c>
      <c r="I14" s="92">
        <v>0</v>
      </c>
      <c r="J14" s="234">
        <v>67</v>
      </c>
      <c r="K14" s="92">
        <v>70</v>
      </c>
      <c r="L14" s="235">
        <v>86</v>
      </c>
      <c r="M14" s="233">
        <f t="shared" si="0"/>
        <v>945</v>
      </c>
      <c r="N14" s="423">
        <v>188</v>
      </c>
      <c r="O14" s="224">
        <v>295</v>
      </c>
      <c r="P14" s="423">
        <v>4</v>
      </c>
      <c r="Q14" s="224">
        <v>0</v>
      </c>
      <c r="R14" s="230">
        <f t="shared" si="1"/>
        <v>487</v>
      </c>
      <c r="S14" s="593">
        <v>34</v>
      </c>
    </row>
    <row r="15" spans="1:33" s="48" customFormat="1" ht="30.75" thickBot="1">
      <c r="A15" s="483"/>
      <c r="B15" s="484" t="s">
        <v>221</v>
      </c>
      <c r="C15" s="446">
        <v>45192</v>
      </c>
      <c r="D15" s="447">
        <v>45192</v>
      </c>
      <c r="E15" s="827">
        <v>706</v>
      </c>
      <c r="F15" s="828">
        <v>2118</v>
      </c>
      <c r="G15" s="827">
        <v>68</v>
      </c>
      <c r="H15" s="829">
        <v>95</v>
      </c>
      <c r="I15" s="830">
        <v>0</v>
      </c>
      <c r="J15" s="831"/>
      <c r="K15" s="832"/>
      <c r="L15" s="833"/>
      <c r="M15" s="830">
        <f>SUM(G15:L15)</f>
        <v>163</v>
      </c>
      <c r="N15" s="834"/>
      <c r="O15" s="833"/>
      <c r="P15" s="835"/>
      <c r="Q15" s="836"/>
      <c r="R15" s="833"/>
      <c r="S15" s="593">
        <v>11</v>
      </c>
      <c r="T15" s="217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</row>
    <row r="16" spans="1:33" ht="16.149999999999999" customHeight="1" thickBot="1">
      <c r="A16" s="923" t="s">
        <v>71</v>
      </c>
      <c r="B16" s="924"/>
      <c r="C16" s="924"/>
      <c r="D16" s="1073"/>
      <c r="E16" s="64">
        <f t="shared" ref="E16:M16" si="2">SUM(E7:E15)</f>
        <v>11636</v>
      </c>
      <c r="F16" s="65">
        <f t="shared" si="2"/>
        <v>29745</v>
      </c>
      <c r="G16" s="64">
        <f t="shared" si="2"/>
        <v>2505</v>
      </c>
      <c r="H16" s="329">
        <f t="shared" si="2"/>
        <v>3162</v>
      </c>
      <c r="I16" s="66">
        <f t="shared" si="2"/>
        <v>5</v>
      </c>
      <c r="J16" s="65">
        <f t="shared" si="2"/>
        <v>375</v>
      </c>
      <c r="K16" s="64">
        <f t="shared" si="2"/>
        <v>996</v>
      </c>
      <c r="L16" s="64">
        <f t="shared" si="2"/>
        <v>863</v>
      </c>
      <c r="M16" s="140">
        <f t="shared" si="2"/>
        <v>7906</v>
      </c>
      <c r="N16" s="65">
        <f>SUM(N7:N14)</f>
        <v>30318</v>
      </c>
      <c r="O16" s="64">
        <f>SUM(O7:O14)</f>
        <v>16302</v>
      </c>
      <c r="P16" s="65">
        <f>SUM(P7:P14)</f>
        <v>7</v>
      </c>
      <c r="Q16" s="64">
        <f>SUM(Q7:Q14)</f>
        <v>0</v>
      </c>
      <c r="R16" s="140">
        <f>SUM(R7:R14)</f>
        <v>46627</v>
      </c>
      <c r="S16" s="593">
        <v>6</v>
      </c>
    </row>
    <row r="17" spans="1:20" ht="15">
      <c r="A17" s="914" t="s">
        <v>72</v>
      </c>
      <c r="B17" s="915"/>
      <c r="C17" s="915"/>
      <c r="D17" s="1074"/>
      <c r="E17" s="647">
        <v>99831</v>
      </c>
      <c r="F17" s="648">
        <v>799030</v>
      </c>
      <c r="G17" s="225">
        <v>14531</v>
      </c>
      <c r="H17" s="81">
        <v>47099</v>
      </c>
      <c r="I17" s="226">
        <v>19</v>
      </c>
      <c r="J17" s="227">
        <v>944</v>
      </c>
      <c r="K17" s="226">
        <v>7535</v>
      </c>
      <c r="L17" s="228">
        <v>30387</v>
      </c>
      <c r="M17" s="637">
        <f>SUM(G17:L17)</f>
        <v>100515</v>
      </c>
      <c r="N17" s="642">
        <v>1390674</v>
      </c>
      <c r="O17" s="633">
        <v>788101</v>
      </c>
      <c r="P17" s="641">
        <v>9</v>
      </c>
      <c r="Q17" s="633">
        <v>0</v>
      </c>
      <c r="R17" s="637">
        <f>SUM(N17:Q17)</f>
        <v>2178784</v>
      </c>
      <c r="S17" s="593">
        <v>394</v>
      </c>
    </row>
    <row r="18" spans="1:20" ht="15">
      <c r="A18" s="916" t="s">
        <v>73</v>
      </c>
      <c r="B18" s="917"/>
      <c r="C18" s="917"/>
      <c r="D18" s="1075"/>
      <c r="E18" s="650">
        <v>316</v>
      </c>
      <c r="F18" s="115">
        <v>894</v>
      </c>
      <c r="G18" s="650">
        <v>121</v>
      </c>
      <c r="H18" s="142">
        <v>217</v>
      </c>
      <c r="I18" s="157">
        <v>4</v>
      </c>
      <c r="J18" s="142">
        <v>31</v>
      </c>
      <c r="K18" s="142">
        <v>87</v>
      </c>
      <c r="L18" s="650">
        <v>174</v>
      </c>
      <c r="M18" s="141">
        <f t="shared" ref="M18:R18" si="3">SQRT(M17)</f>
        <v>317.04100681142177</v>
      </c>
      <c r="N18" s="642">
        <v>1179</v>
      </c>
      <c r="O18" s="331">
        <v>888</v>
      </c>
      <c r="P18" s="642">
        <v>3</v>
      </c>
      <c r="Q18" s="642">
        <f t="shared" si="3"/>
        <v>0</v>
      </c>
      <c r="R18" s="141">
        <f t="shared" si="3"/>
        <v>1476.0704590228747</v>
      </c>
      <c r="S18" s="593">
        <v>171</v>
      </c>
    </row>
    <row r="19" spans="1:20" ht="15">
      <c r="A19" s="916" t="s">
        <v>74</v>
      </c>
      <c r="B19" s="917"/>
      <c r="C19" s="917"/>
      <c r="D19" s="1075"/>
      <c r="E19" s="634">
        <v>2.9000000000000001E-2</v>
      </c>
      <c r="F19" s="93">
        <v>3.2000000000000001E-2</v>
      </c>
      <c r="G19" s="634">
        <v>0.4</v>
      </c>
      <c r="H19" s="640">
        <v>0.56999999999999995</v>
      </c>
      <c r="I19" s="94">
        <v>6.76</v>
      </c>
      <c r="J19" s="640">
        <v>0.66</v>
      </c>
      <c r="K19" s="640">
        <v>0.7</v>
      </c>
      <c r="L19" s="634">
        <v>1.62</v>
      </c>
      <c r="M19" s="638">
        <f t="shared" ref="M19:R19" si="4">M18/M16</f>
        <v>4.0101316318166172E-2</v>
      </c>
      <c r="N19" s="640">
        <v>0.31</v>
      </c>
      <c r="O19" s="94">
        <v>0.44</v>
      </c>
      <c r="P19" s="640">
        <v>0.43</v>
      </c>
      <c r="Q19" s="640" t="e">
        <f t="shared" si="4"/>
        <v>#DIV/0!</v>
      </c>
      <c r="R19" s="638">
        <f t="shared" si="4"/>
        <v>3.1656989706026012E-2</v>
      </c>
      <c r="S19" s="593">
        <v>141</v>
      </c>
    </row>
    <row r="20" spans="1:20" ht="15.75" thickBot="1">
      <c r="A20" s="928" t="s">
        <v>75</v>
      </c>
      <c r="B20" s="929"/>
      <c r="C20" s="929"/>
      <c r="D20" s="1076"/>
      <c r="E20" s="649" t="s">
        <v>222</v>
      </c>
      <c r="F20" s="71" t="s">
        <v>223</v>
      </c>
      <c r="G20" s="73" t="s">
        <v>224</v>
      </c>
      <c r="H20" s="816" t="s">
        <v>225</v>
      </c>
      <c r="I20" s="646" t="s">
        <v>226</v>
      </c>
      <c r="J20" s="73" t="s">
        <v>227</v>
      </c>
      <c r="K20" s="646" t="s">
        <v>228</v>
      </c>
      <c r="L20" s="658" t="s">
        <v>229</v>
      </c>
      <c r="M20" s="658" t="str">
        <f t="shared" ref="M20:R20" si="5">CONCATENATE(TEXT(ROUND(M16-1.96*SQRT(M17),0),"#,###"),"-",TEXT(ROUND(M16+1.96*SQRT(M17),0),"#,###"))</f>
        <v>7,285-8,527</v>
      </c>
      <c r="N20" s="73" t="s">
        <v>230</v>
      </c>
      <c r="O20" s="658" t="s">
        <v>231</v>
      </c>
      <c r="P20" s="644" t="s">
        <v>232</v>
      </c>
      <c r="Q20" s="646" t="str">
        <f t="shared" si="5"/>
        <v>-</v>
      </c>
      <c r="R20" s="658" t="str">
        <f t="shared" si="5"/>
        <v>43,734-49,520</v>
      </c>
      <c r="S20" s="593">
        <v>64</v>
      </c>
    </row>
    <row r="21" spans="1:20" ht="15">
      <c r="A21" s="1077" t="s">
        <v>83</v>
      </c>
      <c r="B21" s="1078"/>
      <c r="C21" s="1078"/>
      <c r="D21" s="1078"/>
      <c r="E21" s="1078"/>
      <c r="F21" s="1078"/>
      <c r="G21" s="1078"/>
      <c r="H21" s="1078"/>
      <c r="I21" s="1078"/>
      <c r="J21" s="1078"/>
      <c r="K21" s="1079"/>
      <c r="S21" s="593">
        <v>632</v>
      </c>
    </row>
    <row r="22" spans="1:20" ht="15">
      <c r="K22"/>
      <c r="M22"/>
      <c r="S22" s="593">
        <v>259</v>
      </c>
      <c r="T22" s="33"/>
    </row>
    <row r="23" spans="1:20" ht="15">
      <c r="S23" s="593">
        <v>151</v>
      </c>
      <c r="T23" s="33"/>
    </row>
    <row r="24" spans="1:20" ht="15">
      <c r="N24" s="798"/>
      <c r="O24" s="798"/>
      <c r="S24" s="593">
        <v>105</v>
      </c>
      <c r="T24" s="33"/>
    </row>
    <row r="25" spans="1:20" ht="15">
      <c r="G25" s="798"/>
      <c r="H25" s="798"/>
      <c r="I25" s="798"/>
      <c r="J25" s="798"/>
      <c r="K25" s="798"/>
      <c r="L25" s="798"/>
      <c r="N25" s="796"/>
      <c r="O25" s="796"/>
      <c r="T25" s="33"/>
    </row>
    <row r="26" spans="1:20" ht="15">
      <c r="G26" s="796"/>
      <c r="H26" s="796"/>
      <c r="I26" s="796"/>
      <c r="J26" s="796"/>
      <c r="K26" s="796"/>
      <c r="L26" s="796"/>
      <c r="N26" s="797"/>
      <c r="O26" s="797"/>
      <c r="T26" s="33"/>
    </row>
    <row r="27" spans="1:20" ht="15">
      <c r="G27" s="797"/>
      <c r="H27" s="797"/>
      <c r="I27" s="797"/>
      <c r="J27" s="797"/>
      <c r="K27" s="797"/>
      <c r="L27" s="797"/>
      <c r="N27" s="797"/>
      <c r="O27" s="797"/>
      <c r="T27" s="33"/>
    </row>
    <row r="28" spans="1:20" ht="15">
      <c r="G28" s="797"/>
      <c r="H28" s="797"/>
      <c r="I28" s="797"/>
      <c r="J28" s="797"/>
      <c r="K28" s="797"/>
      <c r="L28" s="797"/>
      <c r="N28" s="797"/>
      <c r="O28" s="797"/>
      <c r="T28" s="33"/>
    </row>
    <row r="29" spans="1:20" ht="15">
      <c r="G29" s="797"/>
      <c r="H29" s="797"/>
      <c r="I29" s="797"/>
      <c r="J29" s="797"/>
      <c r="K29" s="797"/>
      <c r="L29" s="797"/>
      <c r="N29" s="797"/>
      <c r="O29" s="797"/>
      <c r="T29" s="33"/>
    </row>
    <row r="30" spans="1:20" ht="15">
      <c r="G30" s="797"/>
      <c r="H30" s="797"/>
      <c r="I30" s="797"/>
      <c r="J30" s="797"/>
      <c r="K30" s="797"/>
      <c r="L30" s="797"/>
      <c r="N30" s="797"/>
      <c r="O30" s="797"/>
      <c r="T30" s="33"/>
    </row>
    <row r="31" spans="1:20" ht="15">
      <c r="G31" s="797"/>
      <c r="H31" s="797"/>
      <c r="I31" s="797"/>
      <c r="J31" s="797"/>
      <c r="K31" s="797"/>
      <c r="L31" s="797"/>
      <c r="N31" s="797"/>
      <c r="O31" s="797"/>
      <c r="T31" s="33"/>
    </row>
    <row r="32" spans="1:20" ht="15">
      <c r="G32" s="797"/>
      <c r="H32" s="797"/>
      <c r="I32" s="797"/>
      <c r="J32" s="797"/>
      <c r="K32" s="797"/>
      <c r="L32" s="797"/>
      <c r="N32" s="797"/>
      <c r="O32" s="797"/>
      <c r="T32" s="33"/>
    </row>
    <row r="33" spans="3:20" ht="15">
      <c r="N33" s="797"/>
      <c r="O33" s="797"/>
      <c r="T33" s="33"/>
    </row>
    <row r="34" spans="3:20" ht="15">
      <c r="N34" s="797"/>
      <c r="O34" s="797"/>
      <c r="T34" s="33"/>
    </row>
    <row r="35" spans="3:20" ht="15">
      <c r="N35" s="797"/>
      <c r="O35" s="797"/>
      <c r="T35" s="33"/>
    </row>
    <row r="36" spans="3:20" ht="15">
      <c r="N36" s="797"/>
      <c r="O36" s="797"/>
      <c r="T36" s="33"/>
    </row>
    <row r="37" spans="3:20">
      <c r="T37" s="33"/>
    </row>
    <row r="38" spans="3:20">
      <c r="T38" s="33"/>
    </row>
    <row r="39" spans="3:20">
      <c r="T39" s="33"/>
    </row>
    <row r="40" spans="3:20">
      <c r="C40" s="217"/>
      <c r="D40" s="217"/>
      <c r="E40" s="236"/>
      <c r="T40" s="33"/>
    </row>
    <row r="41" spans="3:20">
      <c r="T41" s="33"/>
    </row>
    <row r="42" spans="3:20">
      <c r="T42" s="33"/>
    </row>
    <row r="43" spans="3:20">
      <c r="T43" s="33"/>
    </row>
    <row r="44" spans="3:20">
      <c r="T44" s="33"/>
    </row>
    <row r="45" spans="3:20">
      <c r="T45" s="33"/>
    </row>
    <row r="46" spans="3:20">
      <c r="T46" s="33"/>
    </row>
    <row r="47" spans="3:20">
      <c r="T47" s="33"/>
    </row>
    <row r="48" spans="3:20">
      <c r="T48" s="33"/>
    </row>
    <row r="49" spans="3:20">
      <c r="T49" s="33"/>
    </row>
    <row r="50" spans="3:20">
      <c r="T50" s="33"/>
    </row>
    <row r="51" spans="3:20">
      <c r="T51" s="33"/>
    </row>
    <row r="52" spans="3:20">
      <c r="T52" s="33"/>
    </row>
    <row r="53" spans="3:20">
      <c r="C53" s="217"/>
      <c r="T53" s="33"/>
    </row>
    <row r="54" spans="3:20">
      <c r="C54" s="217"/>
      <c r="T54" s="33"/>
    </row>
    <row r="55" spans="3:20">
      <c r="C55" s="217"/>
      <c r="T55" s="33"/>
    </row>
    <row r="56" spans="3:20">
      <c r="C56" s="217"/>
    </row>
  </sheetData>
  <mergeCells count="25">
    <mergeCell ref="N4:R4"/>
    <mergeCell ref="N5:N6"/>
    <mergeCell ref="O5:O6"/>
    <mergeCell ref="P5:P6"/>
    <mergeCell ref="Q5:Q6"/>
    <mergeCell ref="R5:R6"/>
    <mergeCell ref="A1:K1"/>
    <mergeCell ref="A2:K2"/>
    <mergeCell ref="A5:A6"/>
    <mergeCell ref="B5:B6"/>
    <mergeCell ref="C5:C6"/>
    <mergeCell ref="D5:D6"/>
    <mergeCell ref="E5:F5"/>
    <mergeCell ref="A20:D20"/>
    <mergeCell ref="A21:K21"/>
    <mergeCell ref="A7:A11"/>
    <mergeCell ref="G4:M4"/>
    <mergeCell ref="G5:I5"/>
    <mergeCell ref="J5:L5"/>
    <mergeCell ref="M5:M6"/>
    <mergeCell ref="A16:D16"/>
    <mergeCell ref="A17:D17"/>
    <mergeCell ref="A18:D18"/>
    <mergeCell ref="A19:D19"/>
    <mergeCell ref="A12:A14"/>
  </mergeCells>
  <pageMargins left="0.75" right="0.75" top="1" bottom="1" header="0.5" footer="0.5"/>
  <pageSetup scale="4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77"/>
  <sheetViews>
    <sheetView zoomScale="84" zoomScaleNormal="89" workbookViewId="0">
      <pane xSplit="4" ySplit="5" topLeftCell="E135" activePane="bottomRight" state="frozen"/>
      <selection pane="topRight" activeCell="E1" sqref="E1"/>
      <selection pane="bottomLeft" activeCell="A6" sqref="A6"/>
      <selection pane="bottomRight" activeCell="K148" sqref="K148"/>
    </sheetView>
  </sheetViews>
  <sheetFormatPr defaultColWidth="9.1640625" defaultRowHeight="12.75"/>
  <cols>
    <col min="1" max="1" width="11.83203125" style="48" customWidth="1"/>
    <col min="2" max="2" width="16" style="48" customWidth="1"/>
    <col min="3" max="3" width="15.1640625" style="48" customWidth="1"/>
    <col min="4" max="4" width="14" style="48" customWidth="1"/>
    <col min="5" max="5" width="18.33203125" style="48" customWidth="1"/>
    <col min="6" max="6" width="18.5" style="48" customWidth="1"/>
    <col min="7" max="10" width="14.83203125" style="48" customWidth="1"/>
    <col min="11" max="11" width="19" style="48" customWidth="1"/>
    <col min="12" max="12" width="18.83203125" style="49" customWidth="1"/>
    <col min="13" max="13" width="18" style="48" customWidth="1"/>
    <col min="14" max="16" width="14.83203125" style="48" customWidth="1"/>
    <col min="17" max="17" width="18.83203125" style="48" customWidth="1"/>
    <col min="18" max="18" width="18.1640625" style="48" customWidth="1"/>
    <col min="19" max="19" width="18.33203125" style="48" customWidth="1"/>
    <col min="20" max="20" width="11.83203125" style="48" customWidth="1"/>
    <col min="21" max="21" width="12.1640625" style="48" customWidth="1"/>
    <col min="22" max="22" width="18.5" style="48" customWidth="1"/>
    <col min="23" max="227" width="9.1640625" style="48"/>
    <col min="228" max="228" width="8.5" style="48" customWidth="1"/>
    <col min="229" max="229" width="8.6640625" style="48" customWidth="1"/>
    <col min="230" max="230" width="7.5" style="48" customWidth="1"/>
    <col min="231" max="231" width="8" style="48" customWidth="1"/>
    <col min="232" max="232" width="9" style="48" customWidth="1"/>
    <col min="233" max="233" width="8" style="48" customWidth="1"/>
    <col min="234" max="234" width="7.1640625" style="48" customWidth="1"/>
    <col min="235" max="235" width="8.5" style="48" customWidth="1"/>
    <col min="236" max="236" width="8.33203125" style="48" customWidth="1"/>
    <col min="237" max="238" width="9.1640625" style="48"/>
    <col min="239" max="239" width="8.83203125" style="48" customWidth="1"/>
    <col min="240" max="240" width="9.1640625" style="48" customWidth="1"/>
    <col min="241" max="242" width="8.5" style="48" customWidth="1"/>
    <col min="243" max="243" width="7.83203125" style="48" customWidth="1"/>
    <col min="244" max="244" width="8" style="48" customWidth="1"/>
    <col min="245" max="245" width="7.5" style="48" customWidth="1"/>
    <col min="246" max="246" width="8.33203125" style="48" customWidth="1"/>
    <col min="247" max="247" width="7.6640625" style="48" customWidth="1"/>
    <col min="248" max="483" width="9.1640625" style="48"/>
    <col min="484" max="484" width="8.5" style="48" customWidth="1"/>
    <col min="485" max="485" width="8.6640625" style="48" customWidth="1"/>
    <col min="486" max="486" width="7.5" style="48" customWidth="1"/>
    <col min="487" max="487" width="8" style="48" customWidth="1"/>
    <col min="488" max="488" width="9" style="48" customWidth="1"/>
    <col min="489" max="489" width="8" style="48" customWidth="1"/>
    <col min="490" max="490" width="7.1640625" style="48" customWidth="1"/>
    <col min="491" max="491" width="8.5" style="48" customWidth="1"/>
    <col min="492" max="492" width="8.33203125" style="48" customWidth="1"/>
    <col min="493" max="494" width="9.1640625" style="48"/>
    <col min="495" max="495" width="8.83203125" style="48" customWidth="1"/>
    <col min="496" max="496" width="9.1640625" style="48" customWidth="1"/>
    <col min="497" max="498" width="8.5" style="48" customWidth="1"/>
    <col min="499" max="499" width="7.83203125" style="48" customWidth="1"/>
    <col min="500" max="500" width="8" style="48" customWidth="1"/>
    <col min="501" max="501" width="7.5" style="48" customWidth="1"/>
    <col min="502" max="502" width="8.33203125" style="48" customWidth="1"/>
    <col min="503" max="503" width="7.6640625" style="48" customWidth="1"/>
    <col min="504" max="739" width="9.1640625" style="48"/>
    <col min="740" max="740" width="8.5" style="48" customWidth="1"/>
    <col min="741" max="741" width="8.6640625" style="48" customWidth="1"/>
    <col min="742" max="742" width="7.5" style="48" customWidth="1"/>
    <col min="743" max="743" width="8" style="48" customWidth="1"/>
    <col min="744" max="744" width="9" style="48" customWidth="1"/>
    <col min="745" max="745" width="8" style="48" customWidth="1"/>
    <col min="746" max="746" width="7.1640625" style="48" customWidth="1"/>
    <col min="747" max="747" width="8.5" style="48" customWidth="1"/>
    <col min="748" max="748" width="8.33203125" style="48" customWidth="1"/>
    <col min="749" max="750" width="9.1640625" style="48"/>
    <col min="751" max="751" width="8.83203125" style="48" customWidth="1"/>
    <col min="752" max="752" width="9.1640625" style="48" customWidth="1"/>
    <col min="753" max="754" width="8.5" style="48" customWidth="1"/>
    <col min="755" max="755" width="7.83203125" style="48" customWidth="1"/>
    <col min="756" max="756" width="8" style="48" customWidth="1"/>
    <col min="757" max="757" width="7.5" style="48" customWidth="1"/>
    <col min="758" max="758" width="8.33203125" style="48" customWidth="1"/>
    <col min="759" max="759" width="7.6640625" style="48" customWidth="1"/>
    <col min="760" max="995" width="9.1640625" style="48"/>
    <col min="996" max="996" width="8.5" style="48" customWidth="1"/>
    <col min="997" max="997" width="8.6640625" style="48" customWidth="1"/>
    <col min="998" max="998" width="7.5" style="48" customWidth="1"/>
    <col min="999" max="999" width="8" style="48" customWidth="1"/>
    <col min="1000" max="1000" width="9" style="48" customWidth="1"/>
    <col min="1001" max="1001" width="8" style="48" customWidth="1"/>
    <col min="1002" max="1002" width="7.1640625" style="48" customWidth="1"/>
    <col min="1003" max="1003" width="8.5" style="48" customWidth="1"/>
    <col min="1004" max="1004" width="8.33203125" style="48" customWidth="1"/>
    <col min="1005" max="1006" width="9.1640625" style="48"/>
    <col min="1007" max="1007" width="8.83203125" style="48" customWidth="1"/>
    <col min="1008" max="1008" width="9.1640625" style="48" customWidth="1"/>
    <col min="1009" max="1010" width="8.5" style="48" customWidth="1"/>
    <col min="1011" max="1011" width="7.83203125" style="48" customWidth="1"/>
    <col min="1012" max="1012" width="8" style="48" customWidth="1"/>
    <col min="1013" max="1013" width="7.5" style="48" customWidth="1"/>
    <col min="1014" max="1014" width="8.33203125" style="48" customWidth="1"/>
    <col min="1015" max="1015" width="7.6640625" style="48" customWidth="1"/>
    <col min="1016" max="1251" width="9.1640625" style="48"/>
    <col min="1252" max="1252" width="8.5" style="48" customWidth="1"/>
    <col min="1253" max="1253" width="8.6640625" style="48" customWidth="1"/>
    <col min="1254" max="1254" width="7.5" style="48" customWidth="1"/>
    <col min="1255" max="1255" width="8" style="48" customWidth="1"/>
    <col min="1256" max="1256" width="9" style="48" customWidth="1"/>
    <col min="1257" max="1257" width="8" style="48" customWidth="1"/>
    <col min="1258" max="1258" width="7.1640625" style="48" customWidth="1"/>
    <col min="1259" max="1259" width="8.5" style="48" customWidth="1"/>
    <col min="1260" max="1260" width="8.33203125" style="48" customWidth="1"/>
    <col min="1261" max="1262" width="9.1640625" style="48"/>
    <col min="1263" max="1263" width="8.83203125" style="48" customWidth="1"/>
    <col min="1264" max="1264" width="9.1640625" style="48" customWidth="1"/>
    <col min="1265" max="1266" width="8.5" style="48" customWidth="1"/>
    <col min="1267" max="1267" width="7.83203125" style="48" customWidth="1"/>
    <col min="1268" max="1268" width="8" style="48" customWidth="1"/>
    <col min="1269" max="1269" width="7.5" style="48" customWidth="1"/>
    <col min="1270" max="1270" width="8.33203125" style="48" customWidth="1"/>
    <col min="1271" max="1271" width="7.6640625" style="48" customWidth="1"/>
    <col min="1272" max="1507" width="9.1640625" style="48"/>
    <col min="1508" max="1508" width="8.5" style="48" customWidth="1"/>
    <col min="1509" max="1509" width="8.6640625" style="48" customWidth="1"/>
    <col min="1510" max="1510" width="7.5" style="48" customWidth="1"/>
    <col min="1511" max="1511" width="8" style="48" customWidth="1"/>
    <col min="1512" max="1512" width="9" style="48" customWidth="1"/>
    <col min="1513" max="1513" width="8" style="48" customWidth="1"/>
    <col min="1514" max="1514" width="7.1640625" style="48" customWidth="1"/>
    <col min="1515" max="1515" width="8.5" style="48" customWidth="1"/>
    <col min="1516" max="1516" width="8.33203125" style="48" customWidth="1"/>
    <col min="1517" max="1518" width="9.1640625" style="48"/>
    <col min="1519" max="1519" width="8.83203125" style="48" customWidth="1"/>
    <col min="1520" max="1520" width="9.1640625" style="48" customWidth="1"/>
    <col min="1521" max="1522" width="8.5" style="48" customWidth="1"/>
    <col min="1523" max="1523" width="7.83203125" style="48" customWidth="1"/>
    <col min="1524" max="1524" width="8" style="48" customWidth="1"/>
    <col min="1525" max="1525" width="7.5" style="48" customWidth="1"/>
    <col min="1526" max="1526" width="8.33203125" style="48" customWidth="1"/>
    <col min="1527" max="1527" width="7.6640625" style="48" customWidth="1"/>
    <col min="1528" max="1763" width="9.1640625" style="48"/>
    <col min="1764" max="1764" width="8.5" style="48" customWidth="1"/>
    <col min="1765" max="1765" width="8.6640625" style="48" customWidth="1"/>
    <col min="1766" max="1766" width="7.5" style="48" customWidth="1"/>
    <col min="1767" max="1767" width="8" style="48" customWidth="1"/>
    <col min="1768" max="1768" width="9" style="48" customWidth="1"/>
    <col min="1769" max="1769" width="8" style="48" customWidth="1"/>
    <col min="1770" max="1770" width="7.1640625" style="48" customWidth="1"/>
    <col min="1771" max="1771" width="8.5" style="48" customWidth="1"/>
    <col min="1772" max="1772" width="8.33203125" style="48" customWidth="1"/>
    <col min="1773" max="1774" width="9.1640625" style="48"/>
    <col min="1775" max="1775" width="8.83203125" style="48" customWidth="1"/>
    <col min="1776" max="1776" width="9.1640625" style="48" customWidth="1"/>
    <col min="1777" max="1778" width="8.5" style="48" customWidth="1"/>
    <col min="1779" max="1779" width="7.83203125" style="48" customWidth="1"/>
    <col min="1780" max="1780" width="8" style="48" customWidth="1"/>
    <col min="1781" max="1781" width="7.5" style="48" customWidth="1"/>
    <col min="1782" max="1782" width="8.33203125" style="48" customWidth="1"/>
    <col min="1783" max="1783" width="7.6640625" style="48" customWidth="1"/>
    <col min="1784" max="2019" width="9.1640625" style="48"/>
    <col min="2020" max="2020" width="8.5" style="48" customWidth="1"/>
    <col min="2021" max="2021" width="8.6640625" style="48" customWidth="1"/>
    <col min="2022" max="2022" width="7.5" style="48" customWidth="1"/>
    <col min="2023" max="2023" width="8" style="48" customWidth="1"/>
    <col min="2024" max="2024" width="9" style="48" customWidth="1"/>
    <col min="2025" max="2025" width="8" style="48" customWidth="1"/>
    <col min="2026" max="2026" width="7.1640625" style="48" customWidth="1"/>
    <col min="2027" max="2027" width="8.5" style="48" customWidth="1"/>
    <col min="2028" max="2028" width="8.33203125" style="48" customWidth="1"/>
    <col min="2029" max="2030" width="9.1640625" style="48"/>
    <col min="2031" max="2031" width="8.83203125" style="48" customWidth="1"/>
    <col min="2032" max="2032" width="9.1640625" style="48" customWidth="1"/>
    <col min="2033" max="2034" width="8.5" style="48" customWidth="1"/>
    <col min="2035" max="2035" width="7.83203125" style="48" customWidth="1"/>
    <col min="2036" max="2036" width="8" style="48" customWidth="1"/>
    <col min="2037" max="2037" width="7.5" style="48" customWidth="1"/>
    <col min="2038" max="2038" width="8.33203125" style="48" customWidth="1"/>
    <col min="2039" max="2039" width="7.6640625" style="48" customWidth="1"/>
    <col min="2040" max="2275" width="9.1640625" style="48"/>
    <col min="2276" max="2276" width="8.5" style="48" customWidth="1"/>
    <col min="2277" max="2277" width="8.6640625" style="48" customWidth="1"/>
    <col min="2278" max="2278" width="7.5" style="48" customWidth="1"/>
    <col min="2279" max="2279" width="8" style="48" customWidth="1"/>
    <col min="2280" max="2280" width="9" style="48" customWidth="1"/>
    <col min="2281" max="2281" width="8" style="48" customWidth="1"/>
    <col min="2282" max="2282" width="7.1640625" style="48" customWidth="1"/>
    <col min="2283" max="2283" width="8.5" style="48" customWidth="1"/>
    <col min="2284" max="2284" width="8.33203125" style="48" customWidth="1"/>
    <col min="2285" max="2286" width="9.1640625" style="48"/>
    <col min="2287" max="2287" width="8.83203125" style="48" customWidth="1"/>
    <col min="2288" max="2288" width="9.1640625" style="48" customWidth="1"/>
    <col min="2289" max="2290" width="8.5" style="48" customWidth="1"/>
    <col min="2291" max="2291" width="7.83203125" style="48" customWidth="1"/>
    <col min="2292" max="2292" width="8" style="48" customWidth="1"/>
    <col min="2293" max="2293" width="7.5" style="48" customWidth="1"/>
    <col min="2294" max="2294" width="8.33203125" style="48" customWidth="1"/>
    <col min="2295" max="2295" width="7.6640625" style="48" customWidth="1"/>
    <col min="2296" max="2531" width="9.1640625" style="48"/>
    <col min="2532" max="2532" width="8.5" style="48" customWidth="1"/>
    <col min="2533" max="2533" width="8.6640625" style="48" customWidth="1"/>
    <col min="2534" max="2534" width="7.5" style="48" customWidth="1"/>
    <col min="2535" max="2535" width="8" style="48" customWidth="1"/>
    <col min="2536" max="2536" width="9" style="48" customWidth="1"/>
    <col min="2537" max="2537" width="8" style="48" customWidth="1"/>
    <col min="2538" max="2538" width="7.1640625" style="48" customWidth="1"/>
    <col min="2539" max="2539" width="8.5" style="48" customWidth="1"/>
    <col min="2540" max="2540" width="8.33203125" style="48" customWidth="1"/>
    <col min="2541" max="2542" width="9.1640625" style="48"/>
    <col min="2543" max="2543" width="8.83203125" style="48" customWidth="1"/>
    <col min="2544" max="2544" width="9.1640625" style="48" customWidth="1"/>
    <col min="2545" max="2546" width="8.5" style="48" customWidth="1"/>
    <col min="2547" max="2547" width="7.83203125" style="48" customWidth="1"/>
    <col min="2548" max="2548" width="8" style="48" customWidth="1"/>
    <col min="2549" max="2549" width="7.5" style="48" customWidth="1"/>
    <col min="2550" max="2550" width="8.33203125" style="48" customWidth="1"/>
    <col min="2551" max="2551" width="7.6640625" style="48" customWidth="1"/>
    <col min="2552" max="2787" width="9.1640625" style="48"/>
    <col min="2788" max="2788" width="8.5" style="48" customWidth="1"/>
    <col min="2789" max="2789" width="8.6640625" style="48" customWidth="1"/>
    <col min="2790" max="2790" width="7.5" style="48" customWidth="1"/>
    <col min="2791" max="2791" width="8" style="48" customWidth="1"/>
    <col min="2792" max="2792" width="9" style="48" customWidth="1"/>
    <col min="2793" max="2793" width="8" style="48" customWidth="1"/>
    <col min="2794" max="2794" width="7.1640625" style="48" customWidth="1"/>
    <col min="2795" max="2795" width="8.5" style="48" customWidth="1"/>
    <col min="2796" max="2796" width="8.33203125" style="48" customWidth="1"/>
    <col min="2797" max="2798" width="9.1640625" style="48"/>
    <col min="2799" max="2799" width="8.83203125" style="48" customWidth="1"/>
    <col min="2800" max="2800" width="9.1640625" style="48" customWidth="1"/>
    <col min="2801" max="2802" width="8.5" style="48" customWidth="1"/>
    <col min="2803" max="2803" width="7.83203125" style="48" customWidth="1"/>
    <col min="2804" max="2804" width="8" style="48" customWidth="1"/>
    <col min="2805" max="2805" width="7.5" style="48" customWidth="1"/>
    <col min="2806" max="2806" width="8.33203125" style="48" customWidth="1"/>
    <col min="2807" max="2807" width="7.6640625" style="48" customWidth="1"/>
    <col min="2808" max="3043" width="9.1640625" style="48"/>
    <col min="3044" max="3044" width="8.5" style="48" customWidth="1"/>
    <col min="3045" max="3045" width="8.6640625" style="48" customWidth="1"/>
    <col min="3046" max="3046" width="7.5" style="48" customWidth="1"/>
    <col min="3047" max="3047" width="8" style="48" customWidth="1"/>
    <col min="3048" max="3048" width="9" style="48" customWidth="1"/>
    <col min="3049" max="3049" width="8" style="48" customWidth="1"/>
    <col min="3050" max="3050" width="7.1640625" style="48" customWidth="1"/>
    <col min="3051" max="3051" width="8.5" style="48" customWidth="1"/>
    <col min="3052" max="3052" width="8.33203125" style="48" customWidth="1"/>
    <col min="3053" max="3054" width="9.1640625" style="48"/>
    <col min="3055" max="3055" width="8.83203125" style="48" customWidth="1"/>
    <col min="3056" max="3056" width="9.1640625" style="48" customWidth="1"/>
    <col min="3057" max="3058" width="8.5" style="48" customWidth="1"/>
    <col min="3059" max="3059" width="7.83203125" style="48" customWidth="1"/>
    <col min="3060" max="3060" width="8" style="48" customWidth="1"/>
    <col min="3061" max="3061" width="7.5" style="48" customWidth="1"/>
    <col min="3062" max="3062" width="8.33203125" style="48" customWidth="1"/>
    <col min="3063" max="3063" width="7.6640625" style="48" customWidth="1"/>
    <col min="3064" max="3299" width="9.1640625" style="48"/>
    <col min="3300" max="3300" width="8.5" style="48" customWidth="1"/>
    <col min="3301" max="3301" width="8.6640625" style="48" customWidth="1"/>
    <col min="3302" max="3302" width="7.5" style="48" customWidth="1"/>
    <col min="3303" max="3303" width="8" style="48" customWidth="1"/>
    <col min="3304" max="3304" width="9" style="48" customWidth="1"/>
    <col min="3305" max="3305" width="8" style="48" customWidth="1"/>
    <col min="3306" max="3306" width="7.1640625" style="48" customWidth="1"/>
    <col min="3307" max="3307" width="8.5" style="48" customWidth="1"/>
    <col min="3308" max="3308" width="8.33203125" style="48" customWidth="1"/>
    <col min="3309" max="3310" width="9.1640625" style="48"/>
    <col min="3311" max="3311" width="8.83203125" style="48" customWidth="1"/>
    <col min="3312" max="3312" width="9.1640625" style="48" customWidth="1"/>
    <col min="3313" max="3314" width="8.5" style="48" customWidth="1"/>
    <col min="3315" max="3315" width="7.83203125" style="48" customWidth="1"/>
    <col min="3316" max="3316" width="8" style="48" customWidth="1"/>
    <col min="3317" max="3317" width="7.5" style="48" customWidth="1"/>
    <col min="3318" max="3318" width="8.33203125" style="48" customWidth="1"/>
    <col min="3319" max="3319" width="7.6640625" style="48" customWidth="1"/>
    <col min="3320" max="3555" width="9.1640625" style="48"/>
    <col min="3556" max="3556" width="8.5" style="48" customWidth="1"/>
    <col min="3557" max="3557" width="8.6640625" style="48" customWidth="1"/>
    <col min="3558" max="3558" width="7.5" style="48" customWidth="1"/>
    <col min="3559" max="3559" width="8" style="48" customWidth="1"/>
    <col min="3560" max="3560" width="9" style="48" customWidth="1"/>
    <col min="3561" max="3561" width="8" style="48" customWidth="1"/>
    <col min="3562" max="3562" width="7.1640625" style="48" customWidth="1"/>
    <col min="3563" max="3563" width="8.5" style="48" customWidth="1"/>
    <col min="3564" max="3564" width="8.33203125" style="48" customWidth="1"/>
    <col min="3565" max="3566" width="9.1640625" style="48"/>
    <col min="3567" max="3567" width="8.83203125" style="48" customWidth="1"/>
    <col min="3568" max="3568" width="9.1640625" style="48" customWidth="1"/>
    <col min="3569" max="3570" width="8.5" style="48" customWidth="1"/>
    <col min="3571" max="3571" width="7.83203125" style="48" customWidth="1"/>
    <col min="3572" max="3572" width="8" style="48" customWidth="1"/>
    <col min="3573" max="3573" width="7.5" style="48" customWidth="1"/>
    <col min="3574" max="3574" width="8.33203125" style="48" customWidth="1"/>
    <col min="3575" max="3575" width="7.6640625" style="48" customWidth="1"/>
    <col min="3576" max="3811" width="9.1640625" style="48"/>
    <col min="3812" max="3812" width="8.5" style="48" customWidth="1"/>
    <col min="3813" max="3813" width="8.6640625" style="48" customWidth="1"/>
    <col min="3814" max="3814" width="7.5" style="48" customWidth="1"/>
    <col min="3815" max="3815" width="8" style="48" customWidth="1"/>
    <col min="3816" max="3816" width="9" style="48" customWidth="1"/>
    <col min="3817" max="3817" width="8" style="48" customWidth="1"/>
    <col min="3818" max="3818" width="7.1640625" style="48" customWidth="1"/>
    <col min="3819" max="3819" width="8.5" style="48" customWidth="1"/>
    <col min="3820" max="3820" width="8.33203125" style="48" customWidth="1"/>
    <col min="3821" max="3822" width="9.1640625" style="48"/>
    <col min="3823" max="3823" width="8.83203125" style="48" customWidth="1"/>
    <col min="3824" max="3824" width="9.1640625" style="48" customWidth="1"/>
    <col min="3825" max="3826" width="8.5" style="48" customWidth="1"/>
    <col min="3827" max="3827" width="7.83203125" style="48" customWidth="1"/>
    <col min="3828" max="3828" width="8" style="48" customWidth="1"/>
    <col min="3829" max="3829" width="7.5" style="48" customWidth="1"/>
    <col min="3830" max="3830" width="8.33203125" style="48" customWidth="1"/>
    <col min="3831" max="3831" width="7.6640625" style="48" customWidth="1"/>
    <col min="3832" max="4067" width="9.1640625" style="48"/>
    <col min="4068" max="4068" width="8.5" style="48" customWidth="1"/>
    <col min="4069" max="4069" width="8.6640625" style="48" customWidth="1"/>
    <col min="4070" max="4070" width="7.5" style="48" customWidth="1"/>
    <col min="4071" max="4071" width="8" style="48" customWidth="1"/>
    <col min="4072" max="4072" width="9" style="48" customWidth="1"/>
    <col min="4073" max="4073" width="8" style="48" customWidth="1"/>
    <col min="4074" max="4074" width="7.1640625" style="48" customWidth="1"/>
    <col min="4075" max="4075" width="8.5" style="48" customWidth="1"/>
    <col min="4076" max="4076" width="8.33203125" style="48" customWidth="1"/>
    <col min="4077" max="4078" width="9.1640625" style="48"/>
    <col min="4079" max="4079" width="8.83203125" style="48" customWidth="1"/>
    <col min="4080" max="4080" width="9.1640625" style="48" customWidth="1"/>
    <col min="4081" max="4082" width="8.5" style="48" customWidth="1"/>
    <col min="4083" max="4083" width="7.83203125" style="48" customWidth="1"/>
    <col min="4084" max="4084" width="8" style="48" customWidth="1"/>
    <col min="4085" max="4085" width="7.5" style="48" customWidth="1"/>
    <col min="4086" max="4086" width="8.33203125" style="48" customWidth="1"/>
    <col min="4087" max="4087" width="7.6640625" style="48" customWidth="1"/>
    <col min="4088" max="4323" width="9.1640625" style="48"/>
    <col min="4324" max="4324" width="8.5" style="48" customWidth="1"/>
    <col min="4325" max="4325" width="8.6640625" style="48" customWidth="1"/>
    <col min="4326" max="4326" width="7.5" style="48" customWidth="1"/>
    <col min="4327" max="4327" width="8" style="48" customWidth="1"/>
    <col min="4328" max="4328" width="9" style="48" customWidth="1"/>
    <col min="4329" max="4329" width="8" style="48" customWidth="1"/>
    <col min="4330" max="4330" width="7.1640625" style="48" customWidth="1"/>
    <col min="4331" max="4331" width="8.5" style="48" customWidth="1"/>
    <col min="4332" max="4332" width="8.33203125" style="48" customWidth="1"/>
    <col min="4333" max="4334" width="9.1640625" style="48"/>
    <col min="4335" max="4335" width="8.83203125" style="48" customWidth="1"/>
    <col min="4336" max="4336" width="9.1640625" style="48" customWidth="1"/>
    <col min="4337" max="4338" width="8.5" style="48" customWidth="1"/>
    <col min="4339" max="4339" width="7.83203125" style="48" customWidth="1"/>
    <col min="4340" max="4340" width="8" style="48" customWidth="1"/>
    <col min="4341" max="4341" width="7.5" style="48" customWidth="1"/>
    <col min="4342" max="4342" width="8.33203125" style="48" customWidth="1"/>
    <col min="4343" max="4343" width="7.6640625" style="48" customWidth="1"/>
    <col min="4344" max="4579" width="9.1640625" style="48"/>
    <col min="4580" max="4580" width="8.5" style="48" customWidth="1"/>
    <col min="4581" max="4581" width="8.6640625" style="48" customWidth="1"/>
    <col min="4582" max="4582" width="7.5" style="48" customWidth="1"/>
    <col min="4583" max="4583" width="8" style="48" customWidth="1"/>
    <col min="4584" max="4584" width="9" style="48" customWidth="1"/>
    <col min="4585" max="4585" width="8" style="48" customWidth="1"/>
    <col min="4586" max="4586" width="7.1640625" style="48" customWidth="1"/>
    <col min="4587" max="4587" width="8.5" style="48" customWidth="1"/>
    <col min="4588" max="4588" width="8.33203125" style="48" customWidth="1"/>
    <col min="4589" max="4590" width="9.1640625" style="48"/>
    <col min="4591" max="4591" width="8.83203125" style="48" customWidth="1"/>
    <col min="4592" max="4592" width="9.1640625" style="48" customWidth="1"/>
    <col min="4593" max="4594" width="8.5" style="48" customWidth="1"/>
    <col min="4595" max="4595" width="7.83203125" style="48" customWidth="1"/>
    <col min="4596" max="4596" width="8" style="48" customWidth="1"/>
    <col min="4597" max="4597" width="7.5" style="48" customWidth="1"/>
    <col min="4598" max="4598" width="8.33203125" style="48" customWidth="1"/>
    <col min="4599" max="4599" width="7.6640625" style="48" customWidth="1"/>
    <col min="4600" max="4835" width="9.1640625" style="48"/>
    <col min="4836" max="4836" width="8.5" style="48" customWidth="1"/>
    <col min="4837" max="4837" width="8.6640625" style="48" customWidth="1"/>
    <col min="4838" max="4838" width="7.5" style="48" customWidth="1"/>
    <col min="4839" max="4839" width="8" style="48" customWidth="1"/>
    <col min="4840" max="4840" width="9" style="48" customWidth="1"/>
    <col min="4841" max="4841" width="8" style="48" customWidth="1"/>
    <col min="4842" max="4842" width="7.1640625" style="48" customWidth="1"/>
    <col min="4843" max="4843" width="8.5" style="48" customWidth="1"/>
    <col min="4844" max="4844" width="8.33203125" style="48" customWidth="1"/>
    <col min="4845" max="4846" width="9.1640625" style="48"/>
    <col min="4847" max="4847" width="8.83203125" style="48" customWidth="1"/>
    <col min="4848" max="4848" width="9.1640625" style="48" customWidth="1"/>
    <col min="4849" max="4850" width="8.5" style="48" customWidth="1"/>
    <col min="4851" max="4851" width="7.83203125" style="48" customWidth="1"/>
    <col min="4852" max="4852" width="8" style="48" customWidth="1"/>
    <col min="4853" max="4853" width="7.5" style="48" customWidth="1"/>
    <col min="4854" max="4854" width="8.33203125" style="48" customWidth="1"/>
    <col min="4855" max="4855" width="7.6640625" style="48" customWidth="1"/>
    <col min="4856" max="5091" width="9.1640625" style="48"/>
    <col min="5092" max="5092" width="8.5" style="48" customWidth="1"/>
    <col min="5093" max="5093" width="8.6640625" style="48" customWidth="1"/>
    <col min="5094" max="5094" width="7.5" style="48" customWidth="1"/>
    <col min="5095" max="5095" width="8" style="48" customWidth="1"/>
    <col min="5096" max="5096" width="9" style="48" customWidth="1"/>
    <col min="5097" max="5097" width="8" style="48" customWidth="1"/>
    <col min="5098" max="5098" width="7.1640625" style="48" customWidth="1"/>
    <col min="5099" max="5099" width="8.5" style="48" customWidth="1"/>
    <col min="5100" max="5100" width="8.33203125" style="48" customWidth="1"/>
    <col min="5101" max="5102" width="9.1640625" style="48"/>
    <col min="5103" max="5103" width="8.83203125" style="48" customWidth="1"/>
    <col min="5104" max="5104" width="9.1640625" style="48" customWidth="1"/>
    <col min="5105" max="5106" width="8.5" style="48" customWidth="1"/>
    <col min="5107" max="5107" width="7.83203125" style="48" customWidth="1"/>
    <col min="5108" max="5108" width="8" style="48" customWidth="1"/>
    <col min="5109" max="5109" width="7.5" style="48" customWidth="1"/>
    <col min="5110" max="5110" width="8.33203125" style="48" customWidth="1"/>
    <col min="5111" max="5111" width="7.6640625" style="48" customWidth="1"/>
    <col min="5112" max="5347" width="9.1640625" style="48"/>
    <col min="5348" max="5348" width="8.5" style="48" customWidth="1"/>
    <col min="5349" max="5349" width="8.6640625" style="48" customWidth="1"/>
    <col min="5350" max="5350" width="7.5" style="48" customWidth="1"/>
    <col min="5351" max="5351" width="8" style="48" customWidth="1"/>
    <col min="5352" max="5352" width="9" style="48" customWidth="1"/>
    <col min="5353" max="5353" width="8" style="48" customWidth="1"/>
    <col min="5354" max="5354" width="7.1640625" style="48" customWidth="1"/>
    <col min="5355" max="5355" width="8.5" style="48" customWidth="1"/>
    <col min="5356" max="5356" width="8.33203125" style="48" customWidth="1"/>
    <col min="5357" max="5358" width="9.1640625" style="48"/>
    <col min="5359" max="5359" width="8.83203125" style="48" customWidth="1"/>
    <col min="5360" max="5360" width="9.1640625" style="48" customWidth="1"/>
    <col min="5361" max="5362" width="8.5" style="48" customWidth="1"/>
    <col min="5363" max="5363" width="7.83203125" style="48" customWidth="1"/>
    <col min="5364" max="5364" width="8" style="48" customWidth="1"/>
    <col min="5365" max="5365" width="7.5" style="48" customWidth="1"/>
    <col min="5366" max="5366" width="8.33203125" style="48" customWidth="1"/>
    <col min="5367" max="5367" width="7.6640625" style="48" customWidth="1"/>
    <col min="5368" max="5603" width="9.1640625" style="48"/>
    <col min="5604" max="5604" width="8.5" style="48" customWidth="1"/>
    <col min="5605" max="5605" width="8.6640625" style="48" customWidth="1"/>
    <col min="5606" max="5606" width="7.5" style="48" customWidth="1"/>
    <col min="5607" max="5607" width="8" style="48" customWidth="1"/>
    <col min="5608" max="5608" width="9" style="48" customWidth="1"/>
    <col min="5609" max="5609" width="8" style="48" customWidth="1"/>
    <col min="5610" max="5610" width="7.1640625" style="48" customWidth="1"/>
    <col min="5611" max="5611" width="8.5" style="48" customWidth="1"/>
    <col min="5612" max="5612" width="8.33203125" style="48" customWidth="1"/>
    <col min="5613" max="5614" width="9.1640625" style="48"/>
    <col min="5615" max="5615" width="8.83203125" style="48" customWidth="1"/>
    <col min="5616" max="5616" width="9.1640625" style="48" customWidth="1"/>
    <col min="5617" max="5618" width="8.5" style="48" customWidth="1"/>
    <col min="5619" max="5619" width="7.83203125" style="48" customWidth="1"/>
    <col min="5620" max="5620" width="8" style="48" customWidth="1"/>
    <col min="5621" max="5621" width="7.5" style="48" customWidth="1"/>
    <col min="5622" max="5622" width="8.33203125" style="48" customWidth="1"/>
    <col min="5623" max="5623" width="7.6640625" style="48" customWidth="1"/>
    <col min="5624" max="5859" width="9.1640625" style="48"/>
    <col min="5860" max="5860" width="8.5" style="48" customWidth="1"/>
    <col min="5861" max="5861" width="8.6640625" style="48" customWidth="1"/>
    <col min="5862" max="5862" width="7.5" style="48" customWidth="1"/>
    <col min="5863" max="5863" width="8" style="48" customWidth="1"/>
    <col min="5864" max="5864" width="9" style="48" customWidth="1"/>
    <col min="5865" max="5865" width="8" style="48" customWidth="1"/>
    <col min="5866" max="5866" width="7.1640625" style="48" customWidth="1"/>
    <col min="5867" max="5867" width="8.5" style="48" customWidth="1"/>
    <col min="5868" max="5868" width="8.33203125" style="48" customWidth="1"/>
    <col min="5869" max="5870" width="9.1640625" style="48"/>
    <col min="5871" max="5871" width="8.83203125" style="48" customWidth="1"/>
    <col min="5872" max="5872" width="9.1640625" style="48" customWidth="1"/>
    <col min="5873" max="5874" width="8.5" style="48" customWidth="1"/>
    <col min="5875" max="5875" width="7.83203125" style="48" customWidth="1"/>
    <col min="5876" max="5876" width="8" style="48" customWidth="1"/>
    <col min="5877" max="5877" width="7.5" style="48" customWidth="1"/>
    <col min="5878" max="5878" width="8.33203125" style="48" customWidth="1"/>
    <col min="5879" max="5879" width="7.6640625" style="48" customWidth="1"/>
    <col min="5880" max="6115" width="9.1640625" style="48"/>
    <col min="6116" max="6116" width="8.5" style="48" customWidth="1"/>
    <col min="6117" max="6117" width="8.6640625" style="48" customWidth="1"/>
    <col min="6118" max="6118" width="7.5" style="48" customWidth="1"/>
    <col min="6119" max="6119" width="8" style="48" customWidth="1"/>
    <col min="6120" max="6120" width="9" style="48" customWidth="1"/>
    <col min="6121" max="6121" width="8" style="48" customWidth="1"/>
    <col min="6122" max="6122" width="7.1640625" style="48" customWidth="1"/>
    <col min="6123" max="6123" width="8.5" style="48" customWidth="1"/>
    <col min="6124" max="6124" width="8.33203125" style="48" customWidth="1"/>
    <col min="6125" max="6126" width="9.1640625" style="48"/>
    <col min="6127" max="6127" width="8.83203125" style="48" customWidth="1"/>
    <col min="6128" max="6128" width="9.1640625" style="48" customWidth="1"/>
    <col min="6129" max="6130" width="8.5" style="48" customWidth="1"/>
    <col min="6131" max="6131" width="7.83203125" style="48" customWidth="1"/>
    <col min="6132" max="6132" width="8" style="48" customWidth="1"/>
    <col min="6133" max="6133" width="7.5" style="48" customWidth="1"/>
    <col min="6134" max="6134" width="8.33203125" style="48" customWidth="1"/>
    <col min="6135" max="6135" width="7.6640625" style="48" customWidth="1"/>
    <col min="6136" max="6371" width="9.1640625" style="48"/>
    <col min="6372" max="6372" width="8.5" style="48" customWidth="1"/>
    <col min="6373" max="6373" width="8.6640625" style="48" customWidth="1"/>
    <col min="6374" max="6374" width="7.5" style="48" customWidth="1"/>
    <col min="6375" max="6375" width="8" style="48" customWidth="1"/>
    <col min="6376" max="6376" width="9" style="48" customWidth="1"/>
    <col min="6377" max="6377" width="8" style="48" customWidth="1"/>
    <col min="6378" max="6378" width="7.1640625" style="48" customWidth="1"/>
    <col min="6379" max="6379" width="8.5" style="48" customWidth="1"/>
    <col min="6380" max="6380" width="8.33203125" style="48" customWidth="1"/>
    <col min="6381" max="6382" width="9.1640625" style="48"/>
    <col min="6383" max="6383" width="8.83203125" style="48" customWidth="1"/>
    <col min="6384" max="6384" width="9.1640625" style="48" customWidth="1"/>
    <col min="6385" max="6386" width="8.5" style="48" customWidth="1"/>
    <col min="6387" max="6387" width="7.83203125" style="48" customWidth="1"/>
    <col min="6388" max="6388" width="8" style="48" customWidth="1"/>
    <col min="6389" max="6389" width="7.5" style="48" customWidth="1"/>
    <col min="6390" max="6390" width="8.33203125" style="48" customWidth="1"/>
    <col min="6391" max="6391" width="7.6640625" style="48" customWidth="1"/>
    <col min="6392" max="6627" width="9.1640625" style="48"/>
    <col min="6628" max="6628" width="8.5" style="48" customWidth="1"/>
    <col min="6629" max="6629" width="8.6640625" style="48" customWidth="1"/>
    <col min="6630" max="6630" width="7.5" style="48" customWidth="1"/>
    <col min="6631" max="6631" width="8" style="48" customWidth="1"/>
    <col min="6632" max="6632" width="9" style="48" customWidth="1"/>
    <col min="6633" max="6633" width="8" style="48" customWidth="1"/>
    <col min="6634" max="6634" width="7.1640625" style="48" customWidth="1"/>
    <col min="6635" max="6635" width="8.5" style="48" customWidth="1"/>
    <col min="6636" max="6636" width="8.33203125" style="48" customWidth="1"/>
    <col min="6637" max="6638" width="9.1640625" style="48"/>
    <col min="6639" max="6639" width="8.83203125" style="48" customWidth="1"/>
    <col min="6640" max="6640" width="9.1640625" style="48" customWidth="1"/>
    <col min="6641" max="6642" width="8.5" style="48" customWidth="1"/>
    <col min="6643" max="6643" width="7.83203125" style="48" customWidth="1"/>
    <col min="6644" max="6644" width="8" style="48" customWidth="1"/>
    <col min="6645" max="6645" width="7.5" style="48" customWidth="1"/>
    <col min="6646" max="6646" width="8.33203125" style="48" customWidth="1"/>
    <col min="6647" max="6647" width="7.6640625" style="48" customWidth="1"/>
    <col min="6648" max="6883" width="9.1640625" style="48"/>
    <col min="6884" max="6884" width="8.5" style="48" customWidth="1"/>
    <col min="6885" max="6885" width="8.6640625" style="48" customWidth="1"/>
    <col min="6886" max="6886" width="7.5" style="48" customWidth="1"/>
    <col min="6887" max="6887" width="8" style="48" customWidth="1"/>
    <col min="6888" max="6888" width="9" style="48" customWidth="1"/>
    <col min="6889" max="6889" width="8" style="48" customWidth="1"/>
    <col min="6890" max="6890" width="7.1640625" style="48" customWidth="1"/>
    <col min="6891" max="6891" width="8.5" style="48" customWidth="1"/>
    <col min="6892" max="6892" width="8.33203125" style="48" customWidth="1"/>
    <col min="6893" max="6894" width="9.1640625" style="48"/>
    <col min="6895" max="6895" width="8.83203125" style="48" customWidth="1"/>
    <col min="6896" max="6896" width="9.1640625" style="48" customWidth="1"/>
    <col min="6897" max="6898" width="8.5" style="48" customWidth="1"/>
    <col min="6899" max="6899" width="7.83203125" style="48" customWidth="1"/>
    <col min="6900" max="6900" width="8" style="48" customWidth="1"/>
    <col min="6901" max="6901" width="7.5" style="48" customWidth="1"/>
    <col min="6902" max="6902" width="8.33203125" style="48" customWidth="1"/>
    <col min="6903" max="6903" width="7.6640625" style="48" customWidth="1"/>
    <col min="6904" max="7139" width="9.1640625" style="48"/>
    <col min="7140" max="7140" width="8.5" style="48" customWidth="1"/>
    <col min="7141" max="7141" width="8.6640625" style="48" customWidth="1"/>
    <col min="7142" max="7142" width="7.5" style="48" customWidth="1"/>
    <col min="7143" max="7143" width="8" style="48" customWidth="1"/>
    <col min="7144" max="7144" width="9" style="48" customWidth="1"/>
    <col min="7145" max="7145" width="8" style="48" customWidth="1"/>
    <col min="7146" max="7146" width="7.1640625" style="48" customWidth="1"/>
    <col min="7147" max="7147" width="8.5" style="48" customWidth="1"/>
    <col min="7148" max="7148" width="8.33203125" style="48" customWidth="1"/>
    <col min="7149" max="7150" width="9.1640625" style="48"/>
    <col min="7151" max="7151" width="8.83203125" style="48" customWidth="1"/>
    <col min="7152" max="7152" width="9.1640625" style="48" customWidth="1"/>
    <col min="7153" max="7154" width="8.5" style="48" customWidth="1"/>
    <col min="7155" max="7155" width="7.83203125" style="48" customWidth="1"/>
    <col min="7156" max="7156" width="8" style="48" customWidth="1"/>
    <col min="7157" max="7157" width="7.5" style="48" customWidth="1"/>
    <col min="7158" max="7158" width="8.33203125" style="48" customWidth="1"/>
    <col min="7159" max="7159" width="7.6640625" style="48" customWidth="1"/>
    <col min="7160" max="7395" width="9.1640625" style="48"/>
    <col min="7396" max="7396" width="8.5" style="48" customWidth="1"/>
    <col min="7397" max="7397" width="8.6640625" style="48" customWidth="1"/>
    <col min="7398" max="7398" width="7.5" style="48" customWidth="1"/>
    <col min="7399" max="7399" width="8" style="48" customWidth="1"/>
    <col min="7400" max="7400" width="9" style="48" customWidth="1"/>
    <col min="7401" max="7401" width="8" style="48" customWidth="1"/>
    <col min="7402" max="7402" width="7.1640625" style="48" customWidth="1"/>
    <col min="7403" max="7403" width="8.5" style="48" customWidth="1"/>
    <col min="7404" max="7404" width="8.33203125" style="48" customWidth="1"/>
    <col min="7405" max="7406" width="9.1640625" style="48"/>
    <col min="7407" max="7407" width="8.83203125" style="48" customWidth="1"/>
    <col min="7408" max="7408" width="9.1640625" style="48" customWidth="1"/>
    <col min="7409" max="7410" width="8.5" style="48" customWidth="1"/>
    <col min="7411" max="7411" width="7.83203125" style="48" customWidth="1"/>
    <col min="7412" max="7412" width="8" style="48" customWidth="1"/>
    <col min="7413" max="7413" width="7.5" style="48" customWidth="1"/>
    <col min="7414" max="7414" width="8.33203125" style="48" customWidth="1"/>
    <col min="7415" max="7415" width="7.6640625" style="48" customWidth="1"/>
    <col min="7416" max="7651" width="9.1640625" style="48"/>
    <col min="7652" max="7652" width="8.5" style="48" customWidth="1"/>
    <col min="7653" max="7653" width="8.6640625" style="48" customWidth="1"/>
    <col min="7654" max="7654" width="7.5" style="48" customWidth="1"/>
    <col min="7655" max="7655" width="8" style="48" customWidth="1"/>
    <col min="7656" max="7656" width="9" style="48" customWidth="1"/>
    <col min="7657" max="7657" width="8" style="48" customWidth="1"/>
    <col min="7658" max="7658" width="7.1640625" style="48" customWidth="1"/>
    <col min="7659" max="7659" width="8.5" style="48" customWidth="1"/>
    <col min="7660" max="7660" width="8.33203125" style="48" customWidth="1"/>
    <col min="7661" max="7662" width="9.1640625" style="48"/>
    <col min="7663" max="7663" width="8.83203125" style="48" customWidth="1"/>
    <col min="7664" max="7664" width="9.1640625" style="48" customWidth="1"/>
    <col min="7665" max="7666" width="8.5" style="48" customWidth="1"/>
    <col min="7667" max="7667" width="7.83203125" style="48" customWidth="1"/>
    <col min="7668" max="7668" width="8" style="48" customWidth="1"/>
    <col min="7669" max="7669" width="7.5" style="48" customWidth="1"/>
    <col min="7670" max="7670" width="8.33203125" style="48" customWidth="1"/>
    <col min="7671" max="7671" width="7.6640625" style="48" customWidth="1"/>
    <col min="7672" max="7907" width="9.1640625" style="48"/>
    <col min="7908" max="7908" width="8.5" style="48" customWidth="1"/>
    <col min="7909" max="7909" width="8.6640625" style="48" customWidth="1"/>
    <col min="7910" max="7910" width="7.5" style="48" customWidth="1"/>
    <col min="7911" max="7911" width="8" style="48" customWidth="1"/>
    <col min="7912" max="7912" width="9" style="48" customWidth="1"/>
    <col min="7913" max="7913" width="8" style="48" customWidth="1"/>
    <col min="7914" max="7914" width="7.1640625" style="48" customWidth="1"/>
    <col min="7915" max="7915" width="8.5" style="48" customWidth="1"/>
    <col min="7916" max="7916" width="8.33203125" style="48" customWidth="1"/>
    <col min="7917" max="7918" width="9.1640625" style="48"/>
    <col min="7919" max="7919" width="8.83203125" style="48" customWidth="1"/>
    <col min="7920" max="7920" width="9.1640625" style="48" customWidth="1"/>
    <col min="7921" max="7922" width="8.5" style="48" customWidth="1"/>
    <col min="7923" max="7923" width="7.83203125" style="48" customWidth="1"/>
    <col min="7924" max="7924" width="8" style="48" customWidth="1"/>
    <col min="7925" max="7925" width="7.5" style="48" customWidth="1"/>
    <col min="7926" max="7926" width="8.33203125" style="48" customWidth="1"/>
    <col min="7927" max="7927" width="7.6640625" style="48" customWidth="1"/>
    <col min="7928" max="8163" width="9.1640625" style="48"/>
    <col min="8164" max="8164" width="8.5" style="48" customWidth="1"/>
    <col min="8165" max="8165" width="8.6640625" style="48" customWidth="1"/>
    <col min="8166" max="8166" width="7.5" style="48" customWidth="1"/>
    <col min="8167" max="8167" width="8" style="48" customWidth="1"/>
    <col min="8168" max="8168" width="9" style="48" customWidth="1"/>
    <col min="8169" max="8169" width="8" style="48" customWidth="1"/>
    <col min="8170" max="8170" width="7.1640625" style="48" customWidth="1"/>
    <col min="8171" max="8171" width="8.5" style="48" customWidth="1"/>
    <col min="8172" max="8172" width="8.33203125" style="48" customWidth="1"/>
    <col min="8173" max="8174" width="9.1640625" style="48"/>
    <col min="8175" max="8175" width="8.83203125" style="48" customWidth="1"/>
    <col min="8176" max="8176" width="9.1640625" style="48" customWidth="1"/>
    <col min="8177" max="8178" width="8.5" style="48" customWidth="1"/>
    <col min="8179" max="8179" width="7.83203125" style="48" customWidth="1"/>
    <col min="8180" max="8180" width="8" style="48" customWidth="1"/>
    <col min="8181" max="8181" width="7.5" style="48" customWidth="1"/>
    <col min="8182" max="8182" width="8.33203125" style="48" customWidth="1"/>
    <col min="8183" max="8183" width="7.6640625" style="48" customWidth="1"/>
    <col min="8184" max="8419" width="9.1640625" style="48"/>
    <col min="8420" max="8420" width="8.5" style="48" customWidth="1"/>
    <col min="8421" max="8421" width="8.6640625" style="48" customWidth="1"/>
    <col min="8422" max="8422" width="7.5" style="48" customWidth="1"/>
    <col min="8423" max="8423" width="8" style="48" customWidth="1"/>
    <col min="8424" max="8424" width="9" style="48" customWidth="1"/>
    <col min="8425" max="8425" width="8" style="48" customWidth="1"/>
    <col min="8426" max="8426" width="7.1640625" style="48" customWidth="1"/>
    <col min="8427" max="8427" width="8.5" style="48" customWidth="1"/>
    <col min="8428" max="8428" width="8.33203125" style="48" customWidth="1"/>
    <col min="8429" max="8430" width="9.1640625" style="48"/>
    <col min="8431" max="8431" width="8.83203125" style="48" customWidth="1"/>
    <col min="8432" max="8432" width="9.1640625" style="48" customWidth="1"/>
    <col min="8433" max="8434" width="8.5" style="48" customWidth="1"/>
    <col min="8435" max="8435" width="7.83203125" style="48" customWidth="1"/>
    <col min="8436" max="8436" width="8" style="48" customWidth="1"/>
    <col min="8437" max="8437" width="7.5" style="48" customWidth="1"/>
    <col min="8438" max="8438" width="8.33203125" style="48" customWidth="1"/>
    <col min="8439" max="8439" width="7.6640625" style="48" customWidth="1"/>
    <col min="8440" max="8675" width="9.1640625" style="48"/>
    <col min="8676" max="8676" width="8.5" style="48" customWidth="1"/>
    <col min="8677" max="8677" width="8.6640625" style="48" customWidth="1"/>
    <col min="8678" max="8678" width="7.5" style="48" customWidth="1"/>
    <col min="8679" max="8679" width="8" style="48" customWidth="1"/>
    <col min="8680" max="8680" width="9" style="48" customWidth="1"/>
    <col min="8681" max="8681" width="8" style="48" customWidth="1"/>
    <col min="8682" max="8682" width="7.1640625" style="48" customWidth="1"/>
    <col min="8683" max="8683" width="8.5" style="48" customWidth="1"/>
    <col min="8684" max="8684" width="8.33203125" style="48" customWidth="1"/>
    <col min="8685" max="8686" width="9.1640625" style="48"/>
    <col min="8687" max="8687" width="8.83203125" style="48" customWidth="1"/>
    <col min="8688" max="8688" width="9.1640625" style="48" customWidth="1"/>
    <col min="8689" max="8690" width="8.5" style="48" customWidth="1"/>
    <col min="8691" max="8691" width="7.83203125" style="48" customWidth="1"/>
    <col min="8692" max="8692" width="8" style="48" customWidth="1"/>
    <col min="8693" max="8693" width="7.5" style="48" customWidth="1"/>
    <col min="8694" max="8694" width="8.33203125" style="48" customWidth="1"/>
    <col min="8695" max="8695" width="7.6640625" style="48" customWidth="1"/>
    <col min="8696" max="8931" width="9.1640625" style="48"/>
    <col min="8932" max="8932" width="8.5" style="48" customWidth="1"/>
    <col min="8933" max="8933" width="8.6640625" style="48" customWidth="1"/>
    <col min="8934" max="8934" width="7.5" style="48" customWidth="1"/>
    <col min="8935" max="8935" width="8" style="48" customWidth="1"/>
    <col min="8936" max="8936" width="9" style="48" customWidth="1"/>
    <col min="8937" max="8937" width="8" style="48" customWidth="1"/>
    <col min="8938" max="8938" width="7.1640625" style="48" customWidth="1"/>
    <col min="8939" max="8939" width="8.5" style="48" customWidth="1"/>
    <col min="8940" max="8940" width="8.33203125" style="48" customWidth="1"/>
    <col min="8941" max="8942" width="9.1640625" style="48"/>
    <col min="8943" max="8943" width="8.83203125" style="48" customWidth="1"/>
    <col min="8944" max="8944" width="9.1640625" style="48" customWidth="1"/>
    <col min="8945" max="8946" width="8.5" style="48" customWidth="1"/>
    <col min="8947" max="8947" width="7.83203125" style="48" customWidth="1"/>
    <col min="8948" max="8948" width="8" style="48" customWidth="1"/>
    <col min="8949" max="8949" width="7.5" style="48" customWidth="1"/>
    <col min="8950" max="8950" width="8.33203125" style="48" customWidth="1"/>
    <col min="8951" max="8951" width="7.6640625" style="48" customWidth="1"/>
    <col min="8952" max="9187" width="9.1640625" style="48"/>
    <col min="9188" max="9188" width="8.5" style="48" customWidth="1"/>
    <col min="9189" max="9189" width="8.6640625" style="48" customWidth="1"/>
    <col min="9190" max="9190" width="7.5" style="48" customWidth="1"/>
    <col min="9191" max="9191" width="8" style="48" customWidth="1"/>
    <col min="9192" max="9192" width="9" style="48" customWidth="1"/>
    <col min="9193" max="9193" width="8" style="48" customWidth="1"/>
    <col min="9194" max="9194" width="7.1640625" style="48" customWidth="1"/>
    <col min="9195" max="9195" width="8.5" style="48" customWidth="1"/>
    <col min="9196" max="9196" width="8.33203125" style="48" customWidth="1"/>
    <col min="9197" max="9198" width="9.1640625" style="48"/>
    <col min="9199" max="9199" width="8.83203125" style="48" customWidth="1"/>
    <col min="9200" max="9200" width="9.1640625" style="48" customWidth="1"/>
    <col min="9201" max="9202" width="8.5" style="48" customWidth="1"/>
    <col min="9203" max="9203" width="7.83203125" style="48" customWidth="1"/>
    <col min="9204" max="9204" width="8" style="48" customWidth="1"/>
    <col min="9205" max="9205" width="7.5" style="48" customWidth="1"/>
    <col min="9206" max="9206" width="8.33203125" style="48" customWidth="1"/>
    <col min="9207" max="9207" width="7.6640625" style="48" customWidth="1"/>
    <col min="9208" max="9443" width="9.1640625" style="48"/>
    <col min="9444" max="9444" width="8.5" style="48" customWidth="1"/>
    <col min="9445" max="9445" width="8.6640625" style="48" customWidth="1"/>
    <col min="9446" max="9446" width="7.5" style="48" customWidth="1"/>
    <col min="9447" max="9447" width="8" style="48" customWidth="1"/>
    <col min="9448" max="9448" width="9" style="48" customWidth="1"/>
    <col min="9449" max="9449" width="8" style="48" customWidth="1"/>
    <col min="9450" max="9450" width="7.1640625" style="48" customWidth="1"/>
    <col min="9451" max="9451" width="8.5" style="48" customWidth="1"/>
    <col min="9452" max="9452" width="8.33203125" style="48" customWidth="1"/>
    <col min="9453" max="9454" width="9.1640625" style="48"/>
    <col min="9455" max="9455" width="8.83203125" style="48" customWidth="1"/>
    <col min="9456" max="9456" width="9.1640625" style="48" customWidth="1"/>
    <col min="9457" max="9458" width="8.5" style="48" customWidth="1"/>
    <col min="9459" max="9459" width="7.83203125" style="48" customWidth="1"/>
    <col min="9460" max="9460" width="8" style="48" customWidth="1"/>
    <col min="9461" max="9461" width="7.5" style="48" customWidth="1"/>
    <col min="9462" max="9462" width="8.33203125" style="48" customWidth="1"/>
    <col min="9463" max="9463" width="7.6640625" style="48" customWidth="1"/>
    <col min="9464" max="9699" width="9.1640625" style="48"/>
    <col min="9700" max="9700" width="8.5" style="48" customWidth="1"/>
    <col min="9701" max="9701" width="8.6640625" style="48" customWidth="1"/>
    <col min="9702" max="9702" width="7.5" style="48" customWidth="1"/>
    <col min="9703" max="9703" width="8" style="48" customWidth="1"/>
    <col min="9704" max="9704" width="9" style="48" customWidth="1"/>
    <col min="9705" max="9705" width="8" style="48" customWidth="1"/>
    <col min="9706" max="9706" width="7.1640625" style="48" customWidth="1"/>
    <col min="9707" max="9707" width="8.5" style="48" customWidth="1"/>
    <col min="9708" max="9708" width="8.33203125" style="48" customWidth="1"/>
    <col min="9709" max="9710" width="9.1640625" style="48"/>
    <col min="9711" max="9711" width="8.83203125" style="48" customWidth="1"/>
    <col min="9712" max="9712" width="9.1640625" style="48" customWidth="1"/>
    <col min="9713" max="9714" width="8.5" style="48" customWidth="1"/>
    <col min="9715" max="9715" width="7.83203125" style="48" customWidth="1"/>
    <col min="9716" max="9716" width="8" style="48" customWidth="1"/>
    <col min="9717" max="9717" width="7.5" style="48" customWidth="1"/>
    <col min="9718" max="9718" width="8.33203125" style="48" customWidth="1"/>
    <col min="9719" max="9719" width="7.6640625" style="48" customWidth="1"/>
    <col min="9720" max="9955" width="9.1640625" style="48"/>
    <col min="9956" max="9956" width="8.5" style="48" customWidth="1"/>
    <col min="9957" max="9957" width="8.6640625" style="48" customWidth="1"/>
    <col min="9958" max="9958" width="7.5" style="48" customWidth="1"/>
    <col min="9959" max="9959" width="8" style="48" customWidth="1"/>
    <col min="9960" max="9960" width="9" style="48" customWidth="1"/>
    <col min="9961" max="9961" width="8" style="48" customWidth="1"/>
    <col min="9962" max="9962" width="7.1640625" style="48" customWidth="1"/>
    <col min="9963" max="9963" width="8.5" style="48" customWidth="1"/>
    <col min="9964" max="9964" width="8.33203125" style="48" customWidth="1"/>
    <col min="9965" max="9966" width="9.1640625" style="48"/>
    <col min="9967" max="9967" width="8.83203125" style="48" customWidth="1"/>
    <col min="9968" max="9968" width="9.1640625" style="48" customWidth="1"/>
    <col min="9969" max="9970" width="8.5" style="48" customWidth="1"/>
    <col min="9971" max="9971" width="7.83203125" style="48" customWidth="1"/>
    <col min="9972" max="9972" width="8" style="48" customWidth="1"/>
    <col min="9973" max="9973" width="7.5" style="48" customWidth="1"/>
    <col min="9974" max="9974" width="8.33203125" style="48" customWidth="1"/>
    <col min="9975" max="9975" width="7.6640625" style="48" customWidth="1"/>
    <col min="9976" max="10211" width="9.1640625" style="48"/>
    <col min="10212" max="10212" width="8.5" style="48" customWidth="1"/>
    <col min="10213" max="10213" width="8.6640625" style="48" customWidth="1"/>
    <col min="10214" max="10214" width="7.5" style="48" customWidth="1"/>
    <col min="10215" max="10215" width="8" style="48" customWidth="1"/>
    <col min="10216" max="10216" width="9" style="48" customWidth="1"/>
    <col min="10217" max="10217" width="8" style="48" customWidth="1"/>
    <col min="10218" max="10218" width="7.1640625" style="48" customWidth="1"/>
    <col min="10219" max="10219" width="8.5" style="48" customWidth="1"/>
    <col min="10220" max="10220" width="8.33203125" style="48" customWidth="1"/>
    <col min="10221" max="10222" width="9.1640625" style="48"/>
    <col min="10223" max="10223" width="8.83203125" style="48" customWidth="1"/>
    <col min="10224" max="10224" width="9.1640625" style="48" customWidth="1"/>
    <col min="10225" max="10226" width="8.5" style="48" customWidth="1"/>
    <col min="10227" max="10227" width="7.83203125" style="48" customWidth="1"/>
    <col min="10228" max="10228" width="8" style="48" customWidth="1"/>
    <col min="10229" max="10229" width="7.5" style="48" customWidth="1"/>
    <col min="10230" max="10230" width="8.33203125" style="48" customWidth="1"/>
    <col min="10231" max="10231" width="7.6640625" style="48" customWidth="1"/>
    <col min="10232" max="10467" width="9.1640625" style="48"/>
    <col min="10468" max="10468" width="8.5" style="48" customWidth="1"/>
    <col min="10469" max="10469" width="8.6640625" style="48" customWidth="1"/>
    <col min="10470" max="10470" width="7.5" style="48" customWidth="1"/>
    <col min="10471" max="10471" width="8" style="48" customWidth="1"/>
    <col min="10472" max="10472" width="9" style="48" customWidth="1"/>
    <col min="10473" max="10473" width="8" style="48" customWidth="1"/>
    <col min="10474" max="10474" width="7.1640625" style="48" customWidth="1"/>
    <col min="10475" max="10475" width="8.5" style="48" customWidth="1"/>
    <col min="10476" max="10476" width="8.33203125" style="48" customWidth="1"/>
    <col min="10477" max="10478" width="9.1640625" style="48"/>
    <col min="10479" max="10479" width="8.83203125" style="48" customWidth="1"/>
    <col min="10480" max="10480" width="9.1640625" style="48" customWidth="1"/>
    <col min="10481" max="10482" width="8.5" style="48" customWidth="1"/>
    <col min="10483" max="10483" width="7.83203125" style="48" customWidth="1"/>
    <col min="10484" max="10484" width="8" style="48" customWidth="1"/>
    <col min="10485" max="10485" width="7.5" style="48" customWidth="1"/>
    <col min="10486" max="10486" width="8.33203125" style="48" customWidth="1"/>
    <col min="10487" max="10487" width="7.6640625" style="48" customWidth="1"/>
    <col min="10488" max="10723" width="9.1640625" style="48"/>
    <col min="10724" max="10724" width="8.5" style="48" customWidth="1"/>
    <col min="10725" max="10725" width="8.6640625" style="48" customWidth="1"/>
    <col min="10726" max="10726" width="7.5" style="48" customWidth="1"/>
    <col min="10727" max="10727" width="8" style="48" customWidth="1"/>
    <col min="10728" max="10728" width="9" style="48" customWidth="1"/>
    <col min="10729" max="10729" width="8" style="48" customWidth="1"/>
    <col min="10730" max="10730" width="7.1640625" style="48" customWidth="1"/>
    <col min="10731" max="10731" width="8.5" style="48" customWidth="1"/>
    <col min="10732" max="10732" width="8.33203125" style="48" customWidth="1"/>
    <col min="10733" max="10734" width="9.1640625" style="48"/>
    <col min="10735" max="10735" width="8.83203125" style="48" customWidth="1"/>
    <col min="10736" max="10736" width="9.1640625" style="48" customWidth="1"/>
    <col min="10737" max="10738" width="8.5" style="48" customWidth="1"/>
    <col min="10739" max="10739" width="7.83203125" style="48" customWidth="1"/>
    <col min="10740" max="10740" width="8" style="48" customWidth="1"/>
    <col min="10741" max="10741" width="7.5" style="48" customWidth="1"/>
    <col min="10742" max="10742" width="8.33203125" style="48" customWidth="1"/>
    <col min="10743" max="10743" width="7.6640625" style="48" customWidth="1"/>
    <col min="10744" max="10979" width="9.1640625" style="48"/>
    <col min="10980" max="10980" width="8.5" style="48" customWidth="1"/>
    <col min="10981" max="10981" width="8.6640625" style="48" customWidth="1"/>
    <col min="10982" max="10982" width="7.5" style="48" customWidth="1"/>
    <col min="10983" max="10983" width="8" style="48" customWidth="1"/>
    <col min="10984" max="10984" width="9" style="48" customWidth="1"/>
    <col min="10985" max="10985" width="8" style="48" customWidth="1"/>
    <col min="10986" max="10986" width="7.1640625" style="48" customWidth="1"/>
    <col min="10987" max="10987" width="8.5" style="48" customWidth="1"/>
    <col min="10988" max="10988" width="8.33203125" style="48" customWidth="1"/>
    <col min="10989" max="10990" width="9.1640625" style="48"/>
    <col min="10991" max="10991" width="8.83203125" style="48" customWidth="1"/>
    <col min="10992" max="10992" width="9.1640625" style="48" customWidth="1"/>
    <col min="10993" max="10994" width="8.5" style="48" customWidth="1"/>
    <col min="10995" max="10995" width="7.83203125" style="48" customWidth="1"/>
    <col min="10996" max="10996" width="8" style="48" customWidth="1"/>
    <col min="10997" max="10997" width="7.5" style="48" customWidth="1"/>
    <col min="10998" max="10998" width="8.33203125" style="48" customWidth="1"/>
    <col min="10999" max="10999" width="7.6640625" style="48" customWidth="1"/>
    <col min="11000" max="11235" width="9.1640625" style="48"/>
    <col min="11236" max="11236" width="8.5" style="48" customWidth="1"/>
    <col min="11237" max="11237" width="8.6640625" style="48" customWidth="1"/>
    <col min="11238" max="11238" width="7.5" style="48" customWidth="1"/>
    <col min="11239" max="11239" width="8" style="48" customWidth="1"/>
    <col min="11240" max="11240" width="9" style="48" customWidth="1"/>
    <col min="11241" max="11241" width="8" style="48" customWidth="1"/>
    <col min="11242" max="11242" width="7.1640625" style="48" customWidth="1"/>
    <col min="11243" max="11243" width="8.5" style="48" customWidth="1"/>
    <col min="11244" max="11244" width="8.33203125" style="48" customWidth="1"/>
    <col min="11245" max="11246" width="9.1640625" style="48"/>
    <col min="11247" max="11247" width="8.83203125" style="48" customWidth="1"/>
    <col min="11248" max="11248" width="9.1640625" style="48" customWidth="1"/>
    <col min="11249" max="11250" width="8.5" style="48" customWidth="1"/>
    <col min="11251" max="11251" width="7.83203125" style="48" customWidth="1"/>
    <col min="11252" max="11252" width="8" style="48" customWidth="1"/>
    <col min="11253" max="11253" width="7.5" style="48" customWidth="1"/>
    <col min="11254" max="11254" width="8.33203125" style="48" customWidth="1"/>
    <col min="11255" max="11255" width="7.6640625" style="48" customWidth="1"/>
    <col min="11256" max="11491" width="9.1640625" style="48"/>
    <col min="11492" max="11492" width="8.5" style="48" customWidth="1"/>
    <col min="11493" max="11493" width="8.6640625" style="48" customWidth="1"/>
    <col min="11494" max="11494" width="7.5" style="48" customWidth="1"/>
    <col min="11495" max="11495" width="8" style="48" customWidth="1"/>
    <col min="11496" max="11496" width="9" style="48" customWidth="1"/>
    <col min="11497" max="11497" width="8" style="48" customWidth="1"/>
    <col min="11498" max="11498" width="7.1640625" style="48" customWidth="1"/>
    <col min="11499" max="11499" width="8.5" style="48" customWidth="1"/>
    <col min="11500" max="11500" width="8.33203125" style="48" customWidth="1"/>
    <col min="11501" max="11502" width="9.1640625" style="48"/>
    <col min="11503" max="11503" width="8.83203125" style="48" customWidth="1"/>
    <col min="11504" max="11504" width="9.1640625" style="48" customWidth="1"/>
    <col min="11505" max="11506" width="8.5" style="48" customWidth="1"/>
    <col min="11507" max="11507" width="7.83203125" style="48" customWidth="1"/>
    <col min="11508" max="11508" width="8" style="48" customWidth="1"/>
    <col min="11509" max="11509" width="7.5" style="48" customWidth="1"/>
    <col min="11510" max="11510" width="8.33203125" style="48" customWidth="1"/>
    <col min="11511" max="11511" width="7.6640625" style="48" customWidth="1"/>
    <col min="11512" max="11747" width="9.1640625" style="48"/>
    <col min="11748" max="11748" width="8.5" style="48" customWidth="1"/>
    <col min="11749" max="11749" width="8.6640625" style="48" customWidth="1"/>
    <col min="11750" max="11750" width="7.5" style="48" customWidth="1"/>
    <col min="11751" max="11751" width="8" style="48" customWidth="1"/>
    <col min="11752" max="11752" width="9" style="48" customWidth="1"/>
    <col min="11753" max="11753" width="8" style="48" customWidth="1"/>
    <col min="11754" max="11754" width="7.1640625" style="48" customWidth="1"/>
    <col min="11755" max="11755" width="8.5" style="48" customWidth="1"/>
    <col min="11756" max="11756" width="8.33203125" style="48" customWidth="1"/>
    <col min="11757" max="11758" width="9.1640625" style="48"/>
    <col min="11759" max="11759" width="8.83203125" style="48" customWidth="1"/>
    <col min="11760" max="11760" width="9.1640625" style="48" customWidth="1"/>
    <col min="11761" max="11762" width="8.5" style="48" customWidth="1"/>
    <col min="11763" max="11763" width="7.83203125" style="48" customWidth="1"/>
    <col min="11764" max="11764" width="8" style="48" customWidth="1"/>
    <col min="11765" max="11765" width="7.5" style="48" customWidth="1"/>
    <col min="11766" max="11766" width="8.33203125" style="48" customWidth="1"/>
    <col min="11767" max="11767" width="7.6640625" style="48" customWidth="1"/>
    <col min="11768" max="12003" width="9.1640625" style="48"/>
    <col min="12004" max="12004" width="8.5" style="48" customWidth="1"/>
    <col min="12005" max="12005" width="8.6640625" style="48" customWidth="1"/>
    <col min="12006" max="12006" width="7.5" style="48" customWidth="1"/>
    <col min="12007" max="12007" width="8" style="48" customWidth="1"/>
    <col min="12008" max="12008" width="9" style="48" customWidth="1"/>
    <col min="12009" max="12009" width="8" style="48" customWidth="1"/>
    <col min="12010" max="12010" width="7.1640625" style="48" customWidth="1"/>
    <col min="12011" max="12011" width="8.5" style="48" customWidth="1"/>
    <col min="12012" max="12012" width="8.33203125" style="48" customWidth="1"/>
    <col min="12013" max="12014" width="9.1640625" style="48"/>
    <col min="12015" max="12015" width="8.83203125" style="48" customWidth="1"/>
    <col min="12016" max="12016" width="9.1640625" style="48" customWidth="1"/>
    <col min="12017" max="12018" width="8.5" style="48" customWidth="1"/>
    <col min="12019" max="12019" width="7.83203125" style="48" customWidth="1"/>
    <col min="12020" max="12020" width="8" style="48" customWidth="1"/>
    <col min="12021" max="12021" width="7.5" style="48" customWidth="1"/>
    <col min="12022" max="12022" width="8.33203125" style="48" customWidth="1"/>
    <col min="12023" max="12023" width="7.6640625" style="48" customWidth="1"/>
    <col min="12024" max="12259" width="9.1640625" style="48"/>
    <col min="12260" max="12260" width="8.5" style="48" customWidth="1"/>
    <col min="12261" max="12261" width="8.6640625" style="48" customWidth="1"/>
    <col min="12262" max="12262" width="7.5" style="48" customWidth="1"/>
    <col min="12263" max="12263" width="8" style="48" customWidth="1"/>
    <col min="12264" max="12264" width="9" style="48" customWidth="1"/>
    <col min="12265" max="12265" width="8" style="48" customWidth="1"/>
    <col min="12266" max="12266" width="7.1640625" style="48" customWidth="1"/>
    <col min="12267" max="12267" width="8.5" style="48" customWidth="1"/>
    <col min="12268" max="12268" width="8.33203125" style="48" customWidth="1"/>
    <col min="12269" max="12270" width="9.1640625" style="48"/>
    <col min="12271" max="12271" width="8.83203125" style="48" customWidth="1"/>
    <col min="12272" max="12272" width="9.1640625" style="48" customWidth="1"/>
    <col min="12273" max="12274" width="8.5" style="48" customWidth="1"/>
    <col min="12275" max="12275" width="7.83203125" style="48" customWidth="1"/>
    <col min="12276" max="12276" width="8" style="48" customWidth="1"/>
    <col min="12277" max="12277" width="7.5" style="48" customWidth="1"/>
    <col min="12278" max="12278" width="8.33203125" style="48" customWidth="1"/>
    <col min="12279" max="12279" width="7.6640625" style="48" customWidth="1"/>
    <col min="12280" max="12515" width="9.1640625" style="48"/>
    <col min="12516" max="12516" width="8.5" style="48" customWidth="1"/>
    <col min="12517" max="12517" width="8.6640625" style="48" customWidth="1"/>
    <col min="12518" max="12518" width="7.5" style="48" customWidth="1"/>
    <col min="12519" max="12519" width="8" style="48" customWidth="1"/>
    <col min="12520" max="12520" width="9" style="48" customWidth="1"/>
    <col min="12521" max="12521" width="8" style="48" customWidth="1"/>
    <col min="12522" max="12522" width="7.1640625" style="48" customWidth="1"/>
    <col min="12523" max="12523" width="8.5" style="48" customWidth="1"/>
    <col min="12524" max="12524" width="8.33203125" style="48" customWidth="1"/>
    <col min="12525" max="12526" width="9.1640625" style="48"/>
    <col min="12527" max="12527" width="8.83203125" style="48" customWidth="1"/>
    <col min="12528" max="12528" width="9.1640625" style="48" customWidth="1"/>
    <col min="12529" max="12530" width="8.5" style="48" customWidth="1"/>
    <col min="12531" max="12531" width="7.83203125" style="48" customWidth="1"/>
    <col min="12532" max="12532" width="8" style="48" customWidth="1"/>
    <col min="12533" max="12533" width="7.5" style="48" customWidth="1"/>
    <col min="12534" max="12534" width="8.33203125" style="48" customWidth="1"/>
    <col min="12535" max="12535" width="7.6640625" style="48" customWidth="1"/>
    <col min="12536" max="12771" width="9.1640625" style="48"/>
    <col min="12772" max="12772" width="8.5" style="48" customWidth="1"/>
    <col min="12773" max="12773" width="8.6640625" style="48" customWidth="1"/>
    <col min="12774" max="12774" width="7.5" style="48" customWidth="1"/>
    <col min="12775" max="12775" width="8" style="48" customWidth="1"/>
    <col min="12776" max="12776" width="9" style="48" customWidth="1"/>
    <col min="12777" max="12777" width="8" style="48" customWidth="1"/>
    <col min="12778" max="12778" width="7.1640625" style="48" customWidth="1"/>
    <col min="12779" max="12779" width="8.5" style="48" customWidth="1"/>
    <col min="12780" max="12780" width="8.33203125" style="48" customWidth="1"/>
    <col min="12781" max="12782" width="9.1640625" style="48"/>
    <col min="12783" max="12783" width="8.83203125" style="48" customWidth="1"/>
    <col min="12784" max="12784" width="9.1640625" style="48" customWidth="1"/>
    <col min="12785" max="12786" width="8.5" style="48" customWidth="1"/>
    <col min="12787" max="12787" width="7.83203125" style="48" customWidth="1"/>
    <col min="12788" max="12788" width="8" style="48" customWidth="1"/>
    <col min="12789" max="12789" width="7.5" style="48" customWidth="1"/>
    <col min="12790" max="12790" width="8.33203125" style="48" customWidth="1"/>
    <col min="12791" max="12791" width="7.6640625" style="48" customWidth="1"/>
    <col min="12792" max="13027" width="9.1640625" style="48"/>
    <col min="13028" max="13028" width="8.5" style="48" customWidth="1"/>
    <col min="13029" max="13029" width="8.6640625" style="48" customWidth="1"/>
    <col min="13030" max="13030" width="7.5" style="48" customWidth="1"/>
    <col min="13031" max="13031" width="8" style="48" customWidth="1"/>
    <col min="13032" max="13032" width="9" style="48" customWidth="1"/>
    <col min="13033" max="13033" width="8" style="48" customWidth="1"/>
    <col min="13034" max="13034" width="7.1640625" style="48" customWidth="1"/>
    <col min="13035" max="13035" width="8.5" style="48" customWidth="1"/>
    <col min="13036" max="13036" width="8.33203125" style="48" customWidth="1"/>
    <col min="13037" max="13038" width="9.1640625" style="48"/>
    <col min="13039" max="13039" width="8.83203125" style="48" customWidth="1"/>
    <col min="13040" max="13040" width="9.1640625" style="48" customWidth="1"/>
    <col min="13041" max="13042" width="8.5" style="48" customWidth="1"/>
    <col min="13043" max="13043" width="7.83203125" style="48" customWidth="1"/>
    <col min="13044" max="13044" width="8" style="48" customWidth="1"/>
    <col min="13045" max="13045" width="7.5" style="48" customWidth="1"/>
    <col min="13046" max="13046" width="8.33203125" style="48" customWidth="1"/>
    <col min="13047" max="13047" width="7.6640625" style="48" customWidth="1"/>
    <col min="13048" max="13283" width="9.1640625" style="48"/>
    <col min="13284" max="13284" width="8.5" style="48" customWidth="1"/>
    <col min="13285" max="13285" width="8.6640625" style="48" customWidth="1"/>
    <col min="13286" max="13286" width="7.5" style="48" customWidth="1"/>
    <col min="13287" max="13287" width="8" style="48" customWidth="1"/>
    <col min="13288" max="13288" width="9" style="48" customWidth="1"/>
    <col min="13289" max="13289" width="8" style="48" customWidth="1"/>
    <col min="13290" max="13290" width="7.1640625" style="48" customWidth="1"/>
    <col min="13291" max="13291" width="8.5" style="48" customWidth="1"/>
    <col min="13292" max="13292" width="8.33203125" style="48" customWidth="1"/>
    <col min="13293" max="13294" width="9.1640625" style="48"/>
    <col min="13295" max="13295" width="8.83203125" style="48" customWidth="1"/>
    <col min="13296" max="13296" width="9.1640625" style="48" customWidth="1"/>
    <col min="13297" max="13298" width="8.5" style="48" customWidth="1"/>
    <col min="13299" max="13299" width="7.83203125" style="48" customWidth="1"/>
    <col min="13300" max="13300" width="8" style="48" customWidth="1"/>
    <col min="13301" max="13301" width="7.5" style="48" customWidth="1"/>
    <col min="13302" max="13302" width="8.33203125" style="48" customWidth="1"/>
    <col min="13303" max="13303" width="7.6640625" style="48" customWidth="1"/>
    <col min="13304" max="13539" width="9.1640625" style="48"/>
    <col min="13540" max="13540" width="8.5" style="48" customWidth="1"/>
    <col min="13541" max="13541" width="8.6640625" style="48" customWidth="1"/>
    <col min="13542" max="13542" width="7.5" style="48" customWidth="1"/>
    <col min="13543" max="13543" width="8" style="48" customWidth="1"/>
    <col min="13544" max="13544" width="9" style="48" customWidth="1"/>
    <col min="13545" max="13545" width="8" style="48" customWidth="1"/>
    <col min="13546" max="13546" width="7.1640625" style="48" customWidth="1"/>
    <col min="13547" max="13547" width="8.5" style="48" customWidth="1"/>
    <col min="13548" max="13548" width="8.33203125" style="48" customWidth="1"/>
    <col min="13549" max="13550" width="9.1640625" style="48"/>
    <col min="13551" max="13551" width="8.83203125" style="48" customWidth="1"/>
    <col min="13552" max="13552" width="9.1640625" style="48" customWidth="1"/>
    <col min="13553" max="13554" width="8.5" style="48" customWidth="1"/>
    <col min="13555" max="13555" width="7.83203125" style="48" customWidth="1"/>
    <col min="13556" max="13556" width="8" style="48" customWidth="1"/>
    <col min="13557" max="13557" width="7.5" style="48" customWidth="1"/>
    <col min="13558" max="13558" width="8.33203125" style="48" customWidth="1"/>
    <col min="13559" max="13559" width="7.6640625" style="48" customWidth="1"/>
    <col min="13560" max="13795" width="9.1640625" style="48"/>
    <col min="13796" max="13796" width="8.5" style="48" customWidth="1"/>
    <col min="13797" max="13797" width="8.6640625" style="48" customWidth="1"/>
    <col min="13798" max="13798" width="7.5" style="48" customWidth="1"/>
    <col min="13799" max="13799" width="8" style="48" customWidth="1"/>
    <col min="13800" max="13800" width="9" style="48" customWidth="1"/>
    <col min="13801" max="13801" width="8" style="48" customWidth="1"/>
    <col min="13802" max="13802" width="7.1640625" style="48" customWidth="1"/>
    <col min="13803" max="13803" width="8.5" style="48" customWidth="1"/>
    <col min="13804" max="13804" width="8.33203125" style="48" customWidth="1"/>
    <col min="13805" max="13806" width="9.1640625" style="48"/>
    <col min="13807" max="13807" width="8.83203125" style="48" customWidth="1"/>
    <col min="13808" max="13808" width="9.1640625" style="48" customWidth="1"/>
    <col min="13809" max="13810" width="8.5" style="48" customWidth="1"/>
    <col min="13811" max="13811" width="7.83203125" style="48" customWidth="1"/>
    <col min="13812" max="13812" width="8" style="48" customWidth="1"/>
    <col min="13813" max="13813" width="7.5" style="48" customWidth="1"/>
    <col min="13814" max="13814" width="8.33203125" style="48" customWidth="1"/>
    <col min="13815" max="13815" width="7.6640625" style="48" customWidth="1"/>
    <col min="13816" max="14051" width="9.1640625" style="48"/>
    <col min="14052" max="14052" width="8.5" style="48" customWidth="1"/>
    <col min="14053" max="14053" width="8.6640625" style="48" customWidth="1"/>
    <col min="14054" max="14054" width="7.5" style="48" customWidth="1"/>
    <col min="14055" max="14055" width="8" style="48" customWidth="1"/>
    <col min="14056" max="14056" width="9" style="48" customWidth="1"/>
    <col min="14057" max="14057" width="8" style="48" customWidth="1"/>
    <col min="14058" max="14058" width="7.1640625" style="48" customWidth="1"/>
    <col min="14059" max="14059" width="8.5" style="48" customWidth="1"/>
    <col min="14060" max="14060" width="8.33203125" style="48" customWidth="1"/>
    <col min="14061" max="14062" width="9.1640625" style="48"/>
    <col min="14063" max="14063" width="8.83203125" style="48" customWidth="1"/>
    <col min="14064" max="14064" width="9.1640625" style="48" customWidth="1"/>
    <col min="14065" max="14066" width="8.5" style="48" customWidth="1"/>
    <col min="14067" max="14067" width="7.83203125" style="48" customWidth="1"/>
    <col min="14068" max="14068" width="8" style="48" customWidth="1"/>
    <col min="14069" max="14069" width="7.5" style="48" customWidth="1"/>
    <col min="14070" max="14070" width="8.33203125" style="48" customWidth="1"/>
    <col min="14071" max="14071" width="7.6640625" style="48" customWidth="1"/>
    <col min="14072" max="14307" width="9.1640625" style="48"/>
    <col min="14308" max="14308" width="8.5" style="48" customWidth="1"/>
    <col min="14309" max="14309" width="8.6640625" style="48" customWidth="1"/>
    <col min="14310" max="14310" width="7.5" style="48" customWidth="1"/>
    <col min="14311" max="14311" width="8" style="48" customWidth="1"/>
    <col min="14312" max="14312" width="9" style="48" customWidth="1"/>
    <col min="14313" max="14313" width="8" style="48" customWidth="1"/>
    <col min="14314" max="14314" width="7.1640625" style="48" customWidth="1"/>
    <col min="14315" max="14315" width="8.5" style="48" customWidth="1"/>
    <col min="14316" max="14316" width="8.33203125" style="48" customWidth="1"/>
    <col min="14317" max="14318" width="9.1640625" style="48"/>
    <col min="14319" max="14319" width="8.83203125" style="48" customWidth="1"/>
    <col min="14320" max="14320" width="9.1640625" style="48" customWidth="1"/>
    <col min="14321" max="14322" width="8.5" style="48" customWidth="1"/>
    <col min="14323" max="14323" width="7.83203125" style="48" customWidth="1"/>
    <col min="14324" max="14324" width="8" style="48" customWidth="1"/>
    <col min="14325" max="14325" width="7.5" style="48" customWidth="1"/>
    <col min="14326" max="14326" width="8.33203125" style="48" customWidth="1"/>
    <col min="14327" max="14327" width="7.6640625" style="48" customWidth="1"/>
    <col min="14328" max="14563" width="9.1640625" style="48"/>
    <col min="14564" max="14564" width="8.5" style="48" customWidth="1"/>
    <col min="14565" max="14565" width="8.6640625" style="48" customWidth="1"/>
    <col min="14566" max="14566" width="7.5" style="48" customWidth="1"/>
    <col min="14567" max="14567" width="8" style="48" customWidth="1"/>
    <col min="14568" max="14568" width="9" style="48" customWidth="1"/>
    <col min="14569" max="14569" width="8" style="48" customWidth="1"/>
    <col min="14570" max="14570" width="7.1640625" style="48" customWidth="1"/>
    <col min="14571" max="14571" width="8.5" style="48" customWidth="1"/>
    <col min="14572" max="14572" width="8.33203125" style="48" customWidth="1"/>
    <col min="14573" max="14574" width="9.1640625" style="48"/>
    <col min="14575" max="14575" width="8.83203125" style="48" customWidth="1"/>
    <col min="14576" max="14576" width="9.1640625" style="48" customWidth="1"/>
    <col min="14577" max="14578" width="8.5" style="48" customWidth="1"/>
    <col min="14579" max="14579" width="7.83203125" style="48" customWidth="1"/>
    <col min="14580" max="14580" width="8" style="48" customWidth="1"/>
    <col min="14581" max="14581" width="7.5" style="48" customWidth="1"/>
    <col min="14582" max="14582" width="8.33203125" style="48" customWidth="1"/>
    <col min="14583" max="14583" width="7.6640625" style="48" customWidth="1"/>
    <col min="14584" max="14819" width="9.1640625" style="48"/>
    <col min="14820" max="14820" width="8.5" style="48" customWidth="1"/>
    <col min="14821" max="14821" width="8.6640625" style="48" customWidth="1"/>
    <col min="14822" max="14822" width="7.5" style="48" customWidth="1"/>
    <col min="14823" max="14823" width="8" style="48" customWidth="1"/>
    <col min="14824" max="14824" width="9" style="48" customWidth="1"/>
    <col min="14825" max="14825" width="8" style="48" customWidth="1"/>
    <col min="14826" max="14826" width="7.1640625" style="48" customWidth="1"/>
    <col min="14827" max="14827" width="8.5" style="48" customWidth="1"/>
    <col min="14828" max="14828" width="8.33203125" style="48" customWidth="1"/>
    <col min="14829" max="14830" width="9.1640625" style="48"/>
    <col min="14831" max="14831" width="8.83203125" style="48" customWidth="1"/>
    <col min="14832" max="14832" width="9.1640625" style="48" customWidth="1"/>
    <col min="14833" max="14834" width="8.5" style="48" customWidth="1"/>
    <col min="14835" max="14835" width="7.83203125" style="48" customWidth="1"/>
    <col min="14836" max="14836" width="8" style="48" customWidth="1"/>
    <col min="14837" max="14837" width="7.5" style="48" customWidth="1"/>
    <col min="14838" max="14838" width="8.33203125" style="48" customWidth="1"/>
    <col min="14839" max="14839" width="7.6640625" style="48" customWidth="1"/>
    <col min="14840" max="15075" width="9.1640625" style="48"/>
    <col min="15076" max="15076" width="8.5" style="48" customWidth="1"/>
    <col min="15077" max="15077" width="8.6640625" style="48" customWidth="1"/>
    <col min="15078" max="15078" width="7.5" style="48" customWidth="1"/>
    <col min="15079" max="15079" width="8" style="48" customWidth="1"/>
    <col min="15080" max="15080" width="9" style="48" customWidth="1"/>
    <col min="15081" max="15081" width="8" style="48" customWidth="1"/>
    <col min="15082" max="15082" width="7.1640625" style="48" customWidth="1"/>
    <col min="15083" max="15083" width="8.5" style="48" customWidth="1"/>
    <col min="15084" max="15084" width="8.33203125" style="48" customWidth="1"/>
    <col min="15085" max="15086" width="9.1640625" style="48"/>
    <col min="15087" max="15087" width="8.83203125" style="48" customWidth="1"/>
    <col min="15088" max="15088" width="9.1640625" style="48" customWidth="1"/>
    <col min="15089" max="15090" width="8.5" style="48" customWidth="1"/>
    <col min="15091" max="15091" width="7.83203125" style="48" customWidth="1"/>
    <col min="15092" max="15092" width="8" style="48" customWidth="1"/>
    <col min="15093" max="15093" width="7.5" style="48" customWidth="1"/>
    <col min="15094" max="15094" width="8.33203125" style="48" customWidth="1"/>
    <col min="15095" max="15095" width="7.6640625" style="48" customWidth="1"/>
    <col min="15096" max="15331" width="9.1640625" style="48"/>
    <col min="15332" max="15332" width="8.5" style="48" customWidth="1"/>
    <col min="15333" max="15333" width="8.6640625" style="48" customWidth="1"/>
    <col min="15334" max="15334" width="7.5" style="48" customWidth="1"/>
    <col min="15335" max="15335" width="8" style="48" customWidth="1"/>
    <col min="15336" max="15336" width="9" style="48" customWidth="1"/>
    <col min="15337" max="15337" width="8" style="48" customWidth="1"/>
    <col min="15338" max="15338" width="7.1640625" style="48" customWidth="1"/>
    <col min="15339" max="15339" width="8.5" style="48" customWidth="1"/>
    <col min="15340" max="15340" width="8.33203125" style="48" customWidth="1"/>
    <col min="15341" max="15342" width="9.1640625" style="48"/>
    <col min="15343" max="15343" width="8.83203125" style="48" customWidth="1"/>
    <col min="15344" max="15344" width="9.1640625" style="48" customWidth="1"/>
    <col min="15345" max="15346" width="8.5" style="48" customWidth="1"/>
    <col min="15347" max="15347" width="7.83203125" style="48" customWidth="1"/>
    <col min="15348" max="15348" width="8" style="48" customWidth="1"/>
    <col min="15349" max="15349" width="7.5" style="48" customWidth="1"/>
    <col min="15350" max="15350" width="8.33203125" style="48" customWidth="1"/>
    <col min="15351" max="15351" width="7.6640625" style="48" customWidth="1"/>
    <col min="15352" max="15587" width="9.1640625" style="48"/>
    <col min="15588" max="15588" width="8.5" style="48" customWidth="1"/>
    <col min="15589" max="15589" width="8.6640625" style="48" customWidth="1"/>
    <col min="15590" max="15590" width="7.5" style="48" customWidth="1"/>
    <col min="15591" max="15591" width="8" style="48" customWidth="1"/>
    <col min="15592" max="15592" width="9" style="48" customWidth="1"/>
    <col min="15593" max="15593" width="8" style="48" customWidth="1"/>
    <col min="15594" max="15594" width="7.1640625" style="48" customWidth="1"/>
    <col min="15595" max="15595" width="8.5" style="48" customWidth="1"/>
    <col min="15596" max="15596" width="8.33203125" style="48" customWidth="1"/>
    <col min="15597" max="15598" width="9.1640625" style="48"/>
    <col min="15599" max="15599" width="8.83203125" style="48" customWidth="1"/>
    <col min="15600" max="15600" width="9.1640625" style="48" customWidth="1"/>
    <col min="15601" max="15602" width="8.5" style="48" customWidth="1"/>
    <col min="15603" max="15603" width="7.83203125" style="48" customWidth="1"/>
    <col min="15604" max="15604" width="8" style="48" customWidth="1"/>
    <col min="15605" max="15605" width="7.5" style="48" customWidth="1"/>
    <col min="15606" max="15606" width="8.33203125" style="48" customWidth="1"/>
    <col min="15607" max="15607" width="7.6640625" style="48" customWidth="1"/>
    <col min="15608" max="15843" width="9.1640625" style="48"/>
    <col min="15844" max="15844" width="8.5" style="48" customWidth="1"/>
    <col min="15845" max="15845" width="8.6640625" style="48" customWidth="1"/>
    <col min="15846" max="15846" width="7.5" style="48" customWidth="1"/>
    <col min="15847" max="15847" width="8" style="48" customWidth="1"/>
    <col min="15848" max="15848" width="9" style="48" customWidth="1"/>
    <col min="15849" max="15849" width="8" style="48" customWidth="1"/>
    <col min="15850" max="15850" width="7.1640625" style="48" customWidth="1"/>
    <col min="15851" max="15851" width="8.5" style="48" customWidth="1"/>
    <col min="15852" max="15852" width="8.33203125" style="48" customWidth="1"/>
    <col min="15853" max="15854" width="9.1640625" style="48"/>
    <col min="15855" max="15855" width="8.83203125" style="48" customWidth="1"/>
    <col min="15856" max="15856" width="9.1640625" style="48" customWidth="1"/>
    <col min="15857" max="15858" width="8.5" style="48" customWidth="1"/>
    <col min="15859" max="15859" width="7.83203125" style="48" customWidth="1"/>
    <col min="15860" max="15860" width="8" style="48" customWidth="1"/>
    <col min="15861" max="15861" width="7.5" style="48" customWidth="1"/>
    <col min="15862" max="15862" width="8.33203125" style="48" customWidth="1"/>
    <col min="15863" max="15863" width="7.6640625" style="48" customWidth="1"/>
    <col min="15864" max="16099" width="9.1640625" style="48"/>
    <col min="16100" max="16100" width="8.5" style="48" customWidth="1"/>
    <col min="16101" max="16101" width="8.6640625" style="48" customWidth="1"/>
    <col min="16102" max="16102" width="7.5" style="48" customWidth="1"/>
    <col min="16103" max="16103" width="8" style="48" customWidth="1"/>
    <col min="16104" max="16104" width="9" style="48" customWidth="1"/>
    <col min="16105" max="16105" width="8" style="48" customWidth="1"/>
    <col min="16106" max="16106" width="7.1640625" style="48" customWidth="1"/>
    <col min="16107" max="16107" width="8.5" style="48" customWidth="1"/>
    <col min="16108" max="16108" width="8.33203125" style="48" customWidth="1"/>
    <col min="16109" max="16110" width="9.1640625" style="48"/>
    <col min="16111" max="16111" width="8.83203125" style="48" customWidth="1"/>
    <col min="16112" max="16112" width="9.1640625" style="48" customWidth="1"/>
    <col min="16113" max="16114" width="8.5" style="48" customWidth="1"/>
    <col min="16115" max="16115" width="7.83203125" style="48" customWidth="1"/>
    <col min="16116" max="16116" width="8" style="48" customWidth="1"/>
    <col min="16117" max="16117" width="7.5" style="48" customWidth="1"/>
    <col min="16118" max="16118" width="8.33203125" style="48" customWidth="1"/>
    <col min="16119" max="16119" width="7.6640625" style="48" customWidth="1"/>
    <col min="16120" max="16384" width="9.1640625" style="48"/>
  </cols>
  <sheetData>
    <row r="1" spans="1:22" ht="15.75">
      <c r="A1" s="902" t="s">
        <v>54</v>
      </c>
      <c r="B1" s="902"/>
      <c r="C1" s="902"/>
      <c r="D1" s="902"/>
      <c r="E1" s="902"/>
      <c r="F1" s="902"/>
      <c r="G1" s="902"/>
      <c r="H1" s="902"/>
      <c r="I1" s="902"/>
      <c r="J1" s="902"/>
      <c r="K1" s="902"/>
      <c r="L1" s="902"/>
      <c r="M1" s="902"/>
      <c r="N1" s="902"/>
      <c r="O1" s="902"/>
      <c r="P1" s="902"/>
      <c r="Q1" s="902"/>
    </row>
    <row r="2" spans="1:22" ht="31.5" customHeight="1">
      <c r="A2" s="1015" t="s">
        <v>233</v>
      </c>
      <c r="B2" s="1015"/>
      <c r="C2" s="1015"/>
      <c r="D2" s="1015"/>
      <c r="E2" s="1015"/>
      <c r="F2" s="1015"/>
      <c r="G2" s="1015"/>
      <c r="H2" s="1015"/>
      <c r="I2" s="1015"/>
      <c r="J2" s="1015"/>
      <c r="K2" s="1015"/>
      <c r="L2" s="1015"/>
      <c r="M2" s="1015"/>
      <c r="N2" s="1015"/>
      <c r="O2" s="1015"/>
      <c r="P2" s="1015"/>
      <c r="Q2" s="1015"/>
    </row>
    <row r="3" spans="1:22" ht="16.5" thickBot="1">
      <c r="A3" s="874" t="s">
        <v>234</v>
      </c>
      <c r="B3" s="874"/>
      <c r="C3" s="874"/>
      <c r="D3" s="874"/>
      <c r="E3" s="874"/>
      <c r="F3" s="874"/>
      <c r="G3" s="874"/>
      <c r="H3" s="874"/>
      <c r="I3" s="874"/>
      <c r="J3" s="874"/>
      <c r="K3" s="874"/>
      <c r="R3" s="938" t="s">
        <v>87</v>
      </c>
      <c r="S3" s="939"/>
      <c r="T3" s="939"/>
      <c r="U3" s="939"/>
      <c r="V3" s="939"/>
    </row>
    <row r="4" spans="1:22" ht="24.75" customHeight="1">
      <c r="A4" s="1117" t="s">
        <v>57</v>
      </c>
      <c r="B4" s="1117" t="s">
        <v>159</v>
      </c>
      <c r="C4" s="1117" t="s">
        <v>160</v>
      </c>
      <c r="D4" s="1096" t="s">
        <v>161</v>
      </c>
      <c r="E4" s="1115" t="s">
        <v>162</v>
      </c>
      <c r="F4" s="1116"/>
      <c r="G4" s="1115" t="s">
        <v>163</v>
      </c>
      <c r="H4" s="1116"/>
      <c r="I4" s="1115" t="s">
        <v>164</v>
      </c>
      <c r="J4" s="1116"/>
      <c r="K4" s="1113" t="s">
        <v>165</v>
      </c>
      <c r="L4" s="1115" t="s">
        <v>88</v>
      </c>
      <c r="M4" s="1116"/>
      <c r="N4" s="1115" t="s">
        <v>89</v>
      </c>
      <c r="O4" s="1119"/>
      <c r="P4" s="1116"/>
      <c r="Q4" s="1120" t="s">
        <v>166</v>
      </c>
      <c r="R4" s="906" t="s">
        <v>91</v>
      </c>
      <c r="S4" s="940" t="s">
        <v>92</v>
      </c>
      <c r="T4" s="906" t="s">
        <v>93</v>
      </c>
      <c r="U4" s="942" t="s">
        <v>94</v>
      </c>
      <c r="V4" s="912" t="s">
        <v>95</v>
      </c>
    </row>
    <row r="5" spans="1:22" ht="24.75" customHeight="1">
      <c r="A5" s="1118"/>
      <c r="B5" s="1118"/>
      <c r="C5" s="1118"/>
      <c r="D5" s="1097"/>
      <c r="E5" s="448" t="s">
        <v>65</v>
      </c>
      <c r="F5" s="449" t="s">
        <v>66</v>
      </c>
      <c r="G5" s="448" t="s">
        <v>67</v>
      </c>
      <c r="H5" s="449" t="s">
        <v>68</v>
      </c>
      <c r="I5" s="450" t="s">
        <v>67</v>
      </c>
      <c r="J5" s="451" t="s">
        <v>68</v>
      </c>
      <c r="K5" s="1114"/>
      <c r="L5" s="452" t="s">
        <v>67</v>
      </c>
      <c r="M5" s="453" t="s">
        <v>68</v>
      </c>
      <c r="N5" s="454" t="s">
        <v>67</v>
      </c>
      <c r="O5" s="455" t="s">
        <v>68</v>
      </c>
      <c r="P5" s="456" t="s">
        <v>167</v>
      </c>
      <c r="Q5" s="1121"/>
      <c r="R5" s="907"/>
      <c r="S5" s="941"/>
      <c r="T5" s="907"/>
      <c r="U5" s="913"/>
      <c r="V5" s="937"/>
    </row>
    <row r="6" spans="1:22" ht="19.5" customHeight="1">
      <c r="A6" s="1085" t="s">
        <v>69</v>
      </c>
      <c r="B6" s="1094">
        <v>29</v>
      </c>
      <c r="C6" s="377">
        <v>45120</v>
      </c>
      <c r="D6" s="378">
        <v>45120</v>
      </c>
      <c r="E6" s="457">
        <v>729</v>
      </c>
      <c r="F6" s="458">
        <v>1781</v>
      </c>
      <c r="G6" s="459">
        <v>935</v>
      </c>
      <c r="H6" s="458">
        <v>0</v>
      </c>
      <c r="I6" s="459">
        <v>1120</v>
      </c>
      <c r="J6" s="458">
        <v>471</v>
      </c>
      <c r="K6" s="460">
        <v>2527</v>
      </c>
      <c r="L6" s="461">
        <v>596</v>
      </c>
      <c r="M6" s="462">
        <v>17</v>
      </c>
      <c r="N6" s="461">
        <v>293</v>
      </c>
      <c r="O6" s="463">
        <v>439</v>
      </c>
      <c r="P6" s="464">
        <v>304</v>
      </c>
      <c r="Q6" s="591">
        <v>1649</v>
      </c>
      <c r="R6" s="341">
        <v>6</v>
      </c>
      <c r="S6" s="346">
        <v>7</v>
      </c>
      <c r="T6" s="342">
        <v>0</v>
      </c>
      <c r="U6" s="346">
        <v>0</v>
      </c>
      <c r="V6" s="345">
        <f>SUM(R6:U6)</f>
        <v>13</v>
      </c>
    </row>
    <row r="7" spans="1:22" ht="19.5" customHeight="1">
      <c r="A7" s="1086"/>
      <c r="B7" s="1090"/>
      <c r="C7" s="379">
        <v>45121</v>
      </c>
      <c r="D7" s="380">
        <v>45121</v>
      </c>
      <c r="E7" s="465">
        <v>722</v>
      </c>
      <c r="F7" s="669">
        <v>1854</v>
      </c>
      <c r="G7" s="670">
        <v>787</v>
      </c>
      <c r="H7" s="669">
        <v>3</v>
      </c>
      <c r="I7" s="670">
        <v>943</v>
      </c>
      <c r="J7" s="669">
        <v>394</v>
      </c>
      <c r="K7" s="466">
        <v>2127</v>
      </c>
      <c r="L7" s="671">
        <v>381</v>
      </c>
      <c r="M7" s="672">
        <v>11</v>
      </c>
      <c r="N7" s="671">
        <v>114</v>
      </c>
      <c r="O7" s="673">
        <v>241</v>
      </c>
      <c r="P7" s="672">
        <v>111</v>
      </c>
      <c r="Q7" s="666">
        <v>858</v>
      </c>
      <c r="R7" s="576">
        <v>0</v>
      </c>
      <c r="S7" s="577">
        <v>14</v>
      </c>
      <c r="T7" s="578">
        <v>0</v>
      </c>
      <c r="U7" s="577">
        <v>0</v>
      </c>
      <c r="V7" s="467">
        <f>SUM(R7:U7)</f>
        <v>14</v>
      </c>
    </row>
    <row r="8" spans="1:22" ht="19.5" customHeight="1">
      <c r="A8" s="1086"/>
      <c r="B8" s="1091"/>
      <c r="C8" s="379">
        <v>45122</v>
      </c>
      <c r="D8" s="380">
        <v>45122</v>
      </c>
      <c r="E8" s="465">
        <v>802</v>
      </c>
      <c r="F8" s="669">
        <v>2111</v>
      </c>
      <c r="G8" s="670">
        <v>366</v>
      </c>
      <c r="H8" s="669">
        <v>0</v>
      </c>
      <c r="I8" s="670">
        <v>439</v>
      </c>
      <c r="J8" s="669">
        <v>185</v>
      </c>
      <c r="K8" s="466">
        <v>989</v>
      </c>
      <c r="L8" s="671">
        <v>742</v>
      </c>
      <c r="M8" s="672">
        <v>10</v>
      </c>
      <c r="N8" s="671">
        <v>160</v>
      </c>
      <c r="O8" s="673">
        <v>735</v>
      </c>
      <c r="P8" s="672">
        <v>181</v>
      </c>
      <c r="Q8" s="666">
        <v>1828</v>
      </c>
      <c r="R8" s="576">
        <v>0</v>
      </c>
      <c r="S8" s="577">
        <v>6</v>
      </c>
      <c r="T8" s="578">
        <v>0</v>
      </c>
      <c r="U8" s="577">
        <v>0</v>
      </c>
      <c r="V8" s="467">
        <f>SUM(R8:U8)</f>
        <v>6</v>
      </c>
    </row>
    <row r="9" spans="1:22" ht="19.5" customHeight="1">
      <c r="A9" s="1086"/>
      <c r="B9" s="1089">
        <v>30</v>
      </c>
      <c r="C9" s="379">
        <v>45127</v>
      </c>
      <c r="D9" s="380">
        <v>45127</v>
      </c>
      <c r="E9" s="465">
        <v>908</v>
      </c>
      <c r="F9" s="669">
        <v>2162</v>
      </c>
      <c r="G9" s="670">
        <v>684</v>
      </c>
      <c r="H9" s="669">
        <v>0</v>
      </c>
      <c r="I9" s="670">
        <v>819</v>
      </c>
      <c r="J9" s="669">
        <v>345</v>
      </c>
      <c r="K9" s="466">
        <v>1847</v>
      </c>
      <c r="L9" s="671">
        <v>207</v>
      </c>
      <c r="M9" s="672">
        <v>10</v>
      </c>
      <c r="N9" s="671">
        <v>43</v>
      </c>
      <c r="O9" s="673">
        <v>210</v>
      </c>
      <c r="P9" s="672">
        <v>192</v>
      </c>
      <c r="Q9" s="666">
        <v>662</v>
      </c>
      <c r="R9" s="576">
        <v>6</v>
      </c>
      <c r="S9" s="577">
        <v>20</v>
      </c>
      <c r="T9" s="578">
        <v>0</v>
      </c>
      <c r="U9" s="577">
        <v>0</v>
      </c>
      <c r="V9" s="467">
        <f t="shared" ref="V9:V34" si="0">SUM(R9:U9)</f>
        <v>26</v>
      </c>
    </row>
    <row r="10" spans="1:22" ht="19.5" customHeight="1">
      <c r="A10" s="1086"/>
      <c r="B10" s="1090"/>
      <c r="C10" s="379">
        <v>45128</v>
      </c>
      <c r="D10" s="380">
        <v>45128</v>
      </c>
      <c r="E10" s="465">
        <v>630</v>
      </c>
      <c r="F10" s="669">
        <v>1407</v>
      </c>
      <c r="G10" s="670">
        <v>436</v>
      </c>
      <c r="H10" s="669">
        <v>8</v>
      </c>
      <c r="I10" s="670">
        <v>522</v>
      </c>
      <c r="J10" s="669">
        <v>212</v>
      </c>
      <c r="K10" s="466">
        <v>1178</v>
      </c>
      <c r="L10" s="671">
        <v>106</v>
      </c>
      <c r="M10" s="672">
        <v>6</v>
      </c>
      <c r="N10" s="671">
        <v>20</v>
      </c>
      <c r="O10" s="673">
        <v>71</v>
      </c>
      <c r="P10" s="672">
        <v>78</v>
      </c>
      <c r="Q10" s="482">
        <v>281</v>
      </c>
      <c r="R10" s="576">
        <v>5</v>
      </c>
      <c r="S10" s="577">
        <v>0</v>
      </c>
      <c r="T10" s="578">
        <v>0</v>
      </c>
      <c r="U10" s="577">
        <v>0</v>
      </c>
      <c r="V10" s="467">
        <f t="shared" si="0"/>
        <v>5</v>
      </c>
    </row>
    <row r="11" spans="1:22" ht="19.5" customHeight="1">
      <c r="A11" s="1086"/>
      <c r="B11" s="1091"/>
      <c r="C11" s="379">
        <v>45129</v>
      </c>
      <c r="D11" s="380">
        <v>45129</v>
      </c>
      <c r="E11" s="678">
        <v>902</v>
      </c>
      <c r="F11" s="677">
        <v>2169</v>
      </c>
      <c r="G11" s="678">
        <v>415</v>
      </c>
      <c r="H11" s="677">
        <v>3</v>
      </c>
      <c r="I11" s="678">
        <v>498</v>
      </c>
      <c r="J11" s="677">
        <v>206</v>
      </c>
      <c r="K11" s="679">
        <v>1122</v>
      </c>
      <c r="L11" s="691">
        <v>423</v>
      </c>
      <c r="M11" s="693">
        <v>28</v>
      </c>
      <c r="N11" s="691">
        <v>63</v>
      </c>
      <c r="O11" s="692">
        <v>300</v>
      </c>
      <c r="P11" s="693">
        <v>117</v>
      </c>
      <c r="Q11" s="666">
        <v>931</v>
      </c>
      <c r="R11" s="349">
        <v>3</v>
      </c>
      <c r="S11" s="579">
        <v>9</v>
      </c>
      <c r="T11" s="350">
        <v>0</v>
      </c>
      <c r="U11" s="579">
        <v>0</v>
      </c>
      <c r="V11" s="467">
        <f t="shared" si="0"/>
        <v>12</v>
      </c>
    </row>
    <row r="12" spans="1:22" ht="19.5" customHeight="1">
      <c r="A12" s="1086"/>
      <c r="B12" s="1090">
        <v>31</v>
      </c>
      <c r="C12" s="379">
        <v>45134</v>
      </c>
      <c r="D12" s="380">
        <v>45134</v>
      </c>
      <c r="E12" s="678">
        <v>747</v>
      </c>
      <c r="F12" s="677">
        <v>1597</v>
      </c>
      <c r="G12" s="678">
        <v>553</v>
      </c>
      <c r="H12" s="677">
        <v>0</v>
      </c>
      <c r="I12" s="678">
        <v>663</v>
      </c>
      <c r="J12" s="677">
        <v>279</v>
      </c>
      <c r="K12" s="679">
        <v>1496</v>
      </c>
      <c r="L12" s="691">
        <v>315</v>
      </c>
      <c r="M12" s="693">
        <v>7</v>
      </c>
      <c r="N12" s="691">
        <v>55</v>
      </c>
      <c r="O12" s="692">
        <v>293</v>
      </c>
      <c r="P12" s="693">
        <v>86</v>
      </c>
      <c r="Q12" s="666">
        <v>756</v>
      </c>
      <c r="R12" s="349">
        <v>136</v>
      </c>
      <c r="S12" s="579">
        <v>96</v>
      </c>
      <c r="T12" s="350">
        <v>0</v>
      </c>
      <c r="U12" s="579">
        <v>0</v>
      </c>
      <c r="V12" s="467">
        <f t="shared" si="0"/>
        <v>232</v>
      </c>
    </row>
    <row r="13" spans="1:22" ht="19.5" customHeight="1">
      <c r="A13" s="1086"/>
      <c r="B13" s="1090"/>
      <c r="C13" s="379">
        <v>45135</v>
      </c>
      <c r="D13" s="380">
        <v>45135</v>
      </c>
      <c r="E13" s="678">
        <v>720</v>
      </c>
      <c r="F13" s="677">
        <v>1439</v>
      </c>
      <c r="G13" s="678">
        <v>368</v>
      </c>
      <c r="H13" s="677">
        <v>0</v>
      </c>
      <c r="I13" s="678">
        <v>441</v>
      </c>
      <c r="J13" s="677">
        <v>185</v>
      </c>
      <c r="K13" s="679">
        <v>994</v>
      </c>
      <c r="L13" s="691">
        <v>432</v>
      </c>
      <c r="M13" s="693">
        <v>0</v>
      </c>
      <c r="N13" s="691">
        <v>38</v>
      </c>
      <c r="O13" s="692">
        <v>328</v>
      </c>
      <c r="P13" s="693">
        <v>132</v>
      </c>
      <c r="Q13" s="666">
        <v>937</v>
      </c>
      <c r="R13" s="349">
        <v>77</v>
      </c>
      <c r="S13" s="579">
        <v>173</v>
      </c>
      <c r="T13" s="350">
        <v>0</v>
      </c>
      <c r="U13" s="579">
        <v>0</v>
      </c>
      <c r="V13" s="467">
        <f t="shared" si="0"/>
        <v>250</v>
      </c>
    </row>
    <row r="14" spans="1:22" ht="19.5" customHeight="1">
      <c r="A14" s="1086"/>
      <c r="B14" s="1090"/>
      <c r="C14" s="379">
        <v>45136</v>
      </c>
      <c r="D14" s="380">
        <v>45136</v>
      </c>
      <c r="E14" s="678">
        <v>182</v>
      </c>
      <c r="F14" s="677">
        <v>505</v>
      </c>
      <c r="G14" s="678"/>
      <c r="H14" s="677"/>
      <c r="I14" s="678"/>
      <c r="J14" s="677"/>
      <c r="K14" s="679"/>
      <c r="L14" s="691">
        <v>64</v>
      </c>
      <c r="M14" s="693">
        <v>0</v>
      </c>
      <c r="N14" s="691">
        <v>18</v>
      </c>
      <c r="O14" s="692">
        <v>59</v>
      </c>
      <c r="P14" s="693">
        <v>8</v>
      </c>
      <c r="Q14" s="666">
        <v>149</v>
      </c>
      <c r="R14" s="349">
        <v>72</v>
      </c>
      <c r="S14" s="579">
        <v>23</v>
      </c>
      <c r="T14" s="350">
        <v>0</v>
      </c>
      <c r="U14" s="579">
        <v>0</v>
      </c>
      <c r="V14" s="467">
        <f t="shared" si="0"/>
        <v>95</v>
      </c>
    </row>
    <row r="15" spans="1:22" ht="19.5" customHeight="1" thickBot="1">
      <c r="A15" s="1092"/>
      <c r="B15" s="1093"/>
      <c r="C15" s="379">
        <v>45137</v>
      </c>
      <c r="D15" s="380">
        <v>45137</v>
      </c>
      <c r="E15" s="473">
        <v>59</v>
      </c>
      <c r="F15" s="474">
        <v>157</v>
      </c>
      <c r="G15" s="473"/>
      <c r="H15" s="474"/>
      <c r="I15" s="473"/>
      <c r="J15" s="474"/>
      <c r="K15" s="475"/>
      <c r="L15" s="365">
        <v>11</v>
      </c>
      <c r="M15" s="371">
        <v>0</v>
      </c>
      <c r="N15" s="365">
        <v>6</v>
      </c>
      <c r="O15" s="370">
        <v>3</v>
      </c>
      <c r="P15" s="371">
        <v>8</v>
      </c>
      <c r="Q15" s="789">
        <v>28</v>
      </c>
      <c r="R15" s="584">
        <v>6</v>
      </c>
      <c r="S15" s="585">
        <v>8</v>
      </c>
      <c r="T15" s="586">
        <v>0</v>
      </c>
      <c r="U15" s="585">
        <v>0</v>
      </c>
      <c r="V15" s="471">
        <f t="shared" si="0"/>
        <v>14</v>
      </c>
    </row>
    <row r="16" spans="1:22" ht="19.5" customHeight="1">
      <c r="A16" s="1085" t="s">
        <v>70</v>
      </c>
      <c r="B16" s="1094">
        <v>32</v>
      </c>
      <c r="C16" s="377">
        <v>45138</v>
      </c>
      <c r="D16" s="378">
        <v>45141</v>
      </c>
      <c r="E16" s="678">
        <v>144</v>
      </c>
      <c r="F16" s="677">
        <v>341</v>
      </c>
      <c r="G16" s="678"/>
      <c r="H16" s="677"/>
      <c r="I16" s="678"/>
      <c r="J16" s="677"/>
      <c r="K16" s="679"/>
      <c r="L16" s="691">
        <v>35</v>
      </c>
      <c r="M16" s="693">
        <v>6</v>
      </c>
      <c r="N16" s="691">
        <v>0</v>
      </c>
      <c r="O16" s="692">
        <v>23</v>
      </c>
      <c r="P16" s="693">
        <v>0</v>
      </c>
      <c r="Q16" s="467">
        <v>64</v>
      </c>
      <c r="R16" s="349">
        <v>203</v>
      </c>
      <c r="S16" s="579">
        <v>0</v>
      </c>
      <c r="T16" s="350">
        <v>0</v>
      </c>
      <c r="U16" s="579">
        <v>0</v>
      </c>
      <c r="V16" s="467">
        <f t="shared" si="0"/>
        <v>203</v>
      </c>
    </row>
    <row r="17" spans="1:22" ht="19.5" customHeight="1">
      <c r="A17" s="1086"/>
      <c r="B17" s="1090"/>
      <c r="C17" s="379">
        <v>45142</v>
      </c>
      <c r="D17" s="380">
        <v>45142</v>
      </c>
      <c r="E17" s="465">
        <v>180</v>
      </c>
      <c r="F17" s="669">
        <v>461</v>
      </c>
      <c r="G17" s="670"/>
      <c r="H17" s="669"/>
      <c r="I17" s="670"/>
      <c r="J17" s="669"/>
      <c r="K17" s="466"/>
      <c r="L17" s="670">
        <v>73</v>
      </c>
      <c r="M17" s="675">
        <v>3</v>
      </c>
      <c r="N17" s="670">
        <v>15</v>
      </c>
      <c r="O17" s="676">
        <v>44</v>
      </c>
      <c r="P17" s="675">
        <v>5</v>
      </c>
      <c r="Q17" s="666">
        <v>140</v>
      </c>
      <c r="R17" s="576">
        <v>397</v>
      </c>
      <c r="S17" s="577">
        <v>102</v>
      </c>
      <c r="T17" s="578">
        <v>0</v>
      </c>
      <c r="U17" s="577">
        <v>0</v>
      </c>
      <c r="V17" s="467">
        <f t="shared" si="0"/>
        <v>499</v>
      </c>
    </row>
    <row r="18" spans="1:22" ht="19.5" customHeight="1">
      <c r="A18" s="1086"/>
      <c r="B18" s="1090"/>
      <c r="C18" s="379">
        <v>45143</v>
      </c>
      <c r="D18" s="380">
        <v>45143</v>
      </c>
      <c r="E18" s="472">
        <v>237</v>
      </c>
      <c r="F18" s="677">
        <v>643</v>
      </c>
      <c r="G18" s="678"/>
      <c r="H18" s="677"/>
      <c r="I18" s="678"/>
      <c r="J18" s="677"/>
      <c r="K18" s="679"/>
      <c r="L18" s="678">
        <v>266</v>
      </c>
      <c r="M18" s="680">
        <v>16</v>
      </c>
      <c r="N18" s="678">
        <v>22</v>
      </c>
      <c r="O18" s="681">
        <v>150</v>
      </c>
      <c r="P18" s="680">
        <v>8</v>
      </c>
      <c r="Q18" s="666">
        <v>462</v>
      </c>
      <c r="R18" s="349">
        <v>445</v>
      </c>
      <c r="S18" s="579">
        <v>128</v>
      </c>
      <c r="T18" s="350">
        <v>0</v>
      </c>
      <c r="U18" s="579">
        <v>0</v>
      </c>
      <c r="V18" s="467">
        <f t="shared" si="0"/>
        <v>573</v>
      </c>
    </row>
    <row r="19" spans="1:22" ht="19.5" customHeight="1">
      <c r="A19" s="1086"/>
      <c r="B19" s="1091"/>
      <c r="C19" s="381">
        <v>45144</v>
      </c>
      <c r="D19" s="382">
        <v>45144</v>
      </c>
      <c r="E19" s="472">
        <v>182</v>
      </c>
      <c r="F19" s="677">
        <v>469</v>
      </c>
      <c r="G19" s="678"/>
      <c r="H19" s="677"/>
      <c r="I19" s="678"/>
      <c r="J19" s="677"/>
      <c r="K19" s="679"/>
      <c r="L19" s="678">
        <v>121</v>
      </c>
      <c r="M19" s="680">
        <v>11</v>
      </c>
      <c r="N19" s="678">
        <v>11</v>
      </c>
      <c r="O19" s="681">
        <v>94</v>
      </c>
      <c r="P19" s="680">
        <v>17</v>
      </c>
      <c r="Q19" s="666">
        <v>257</v>
      </c>
      <c r="R19" s="349">
        <v>359</v>
      </c>
      <c r="S19" s="579">
        <v>144</v>
      </c>
      <c r="T19" s="350">
        <v>0</v>
      </c>
      <c r="U19" s="579">
        <v>0</v>
      </c>
      <c r="V19" s="467">
        <f t="shared" si="0"/>
        <v>503</v>
      </c>
    </row>
    <row r="20" spans="1:22" ht="19.5" customHeight="1">
      <c r="A20" s="1086"/>
      <c r="B20" s="1089">
        <v>33</v>
      </c>
      <c r="C20" s="667">
        <v>45145</v>
      </c>
      <c r="D20" s="668">
        <v>45148</v>
      </c>
      <c r="E20" s="472">
        <v>402</v>
      </c>
      <c r="F20" s="677">
        <v>913</v>
      </c>
      <c r="G20" s="678"/>
      <c r="H20" s="677"/>
      <c r="I20" s="678"/>
      <c r="J20" s="677"/>
      <c r="K20" s="679"/>
      <c r="L20" s="678">
        <v>180</v>
      </c>
      <c r="M20" s="680">
        <v>7</v>
      </c>
      <c r="N20" s="678">
        <v>0</v>
      </c>
      <c r="O20" s="681">
        <v>147</v>
      </c>
      <c r="P20" s="680">
        <v>0</v>
      </c>
      <c r="Q20" s="666">
        <v>334</v>
      </c>
      <c r="R20" s="349">
        <v>1047</v>
      </c>
      <c r="S20" s="579">
        <v>399</v>
      </c>
      <c r="T20" s="350">
        <v>0</v>
      </c>
      <c r="U20" s="579">
        <v>0</v>
      </c>
      <c r="V20" s="666">
        <f t="shared" si="0"/>
        <v>1446</v>
      </c>
    </row>
    <row r="21" spans="1:22" ht="19.5" customHeight="1">
      <c r="A21" s="1086"/>
      <c r="B21" s="1090"/>
      <c r="C21" s="379">
        <v>45149</v>
      </c>
      <c r="D21" s="380">
        <v>45149</v>
      </c>
      <c r="E21" s="472">
        <v>288</v>
      </c>
      <c r="F21" s="677">
        <v>763</v>
      </c>
      <c r="G21" s="678"/>
      <c r="H21" s="677"/>
      <c r="I21" s="678"/>
      <c r="J21" s="677"/>
      <c r="K21" s="679"/>
      <c r="L21" s="678">
        <v>43</v>
      </c>
      <c r="M21" s="680">
        <v>13</v>
      </c>
      <c r="N21" s="678">
        <v>8</v>
      </c>
      <c r="O21" s="681">
        <v>32</v>
      </c>
      <c r="P21" s="680">
        <v>5</v>
      </c>
      <c r="Q21" s="666">
        <v>101</v>
      </c>
      <c r="R21" s="349">
        <v>1029</v>
      </c>
      <c r="S21" s="579">
        <v>233</v>
      </c>
      <c r="T21" s="350">
        <v>0</v>
      </c>
      <c r="U21" s="579">
        <v>0</v>
      </c>
      <c r="V21" s="666">
        <f t="shared" si="0"/>
        <v>1262</v>
      </c>
    </row>
    <row r="22" spans="1:22" ht="19.5" customHeight="1">
      <c r="A22" s="1086"/>
      <c r="B22" s="1090"/>
      <c r="C22" s="667">
        <v>45150</v>
      </c>
      <c r="D22" s="668">
        <v>45150</v>
      </c>
      <c r="E22" s="472">
        <v>221</v>
      </c>
      <c r="F22" s="677">
        <v>627</v>
      </c>
      <c r="G22" s="678"/>
      <c r="H22" s="677"/>
      <c r="I22" s="678"/>
      <c r="J22" s="677"/>
      <c r="K22" s="679"/>
      <c r="L22" s="678">
        <v>61</v>
      </c>
      <c r="M22" s="680">
        <v>8</v>
      </c>
      <c r="N22" s="678">
        <v>5</v>
      </c>
      <c r="O22" s="681">
        <v>97</v>
      </c>
      <c r="P22" s="680">
        <v>26</v>
      </c>
      <c r="Q22" s="666">
        <v>197</v>
      </c>
      <c r="R22" s="691">
        <v>827</v>
      </c>
      <c r="S22" s="580">
        <v>422</v>
      </c>
      <c r="T22" s="499">
        <v>0</v>
      </c>
      <c r="U22" s="580">
        <v>0</v>
      </c>
      <c r="V22" s="666">
        <f t="shared" si="0"/>
        <v>1249</v>
      </c>
    </row>
    <row r="23" spans="1:22" ht="19.5" customHeight="1">
      <c r="A23" s="1086"/>
      <c r="B23" s="1091"/>
      <c r="C23" s="667">
        <v>45151</v>
      </c>
      <c r="D23" s="668">
        <v>45151</v>
      </c>
      <c r="E23" s="472">
        <v>172</v>
      </c>
      <c r="F23" s="677">
        <v>466</v>
      </c>
      <c r="G23" s="678"/>
      <c r="H23" s="677"/>
      <c r="I23" s="678"/>
      <c r="J23" s="677"/>
      <c r="K23" s="679"/>
      <c r="L23" s="678">
        <v>17</v>
      </c>
      <c r="M23" s="680">
        <v>6</v>
      </c>
      <c r="N23" s="678">
        <v>0</v>
      </c>
      <c r="O23" s="681">
        <v>28</v>
      </c>
      <c r="P23" s="680">
        <v>3</v>
      </c>
      <c r="Q23" s="666">
        <v>54</v>
      </c>
      <c r="R23" s="691">
        <v>644</v>
      </c>
      <c r="S23" s="580">
        <v>156</v>
      </c>
      <c r="T23" s="499">
        <v>0</v>
      </c>
      <c r="U23" s="580">
        <v>0</v>
      </c>
      <c r="V23" s="666">
        <f t="shared" si="0"/>
        <v>800</v>
      </c>
    </row>
    <row r="24" spans="1:22" ht="19.5" customHeight="1">
      <c r="A24" s="1086"/>
      <c r="B24" s="1089">
        <v>34</v>
      </c>
      <c r="C24" s="667">
        <v>45152</v>
      </c>
      <c r="D24" s="668">
        <v>45155</v>
      </c>
      <c r="E24" s="678">
        <v>324</v>
      </c>
      <c r="F24" s="677">
        <v>766</v>
      </c>
      <c r="G24" s="678"/>
      <c r="H24" s="677"/>
      <c r="I24" s="678"/>
      <c r="J24" s="677"/>
      <c r="K24" s="679"/>
      <c r="L24" s="678">
        <v>86</v>
      </c>
      <c r="M24" s="680">
        <v>0</v>
      </c>
      <c r="N24" s="678">
        <v>0</v>
      </c>
      <c r="O24" s="681">
        <v>0</v>
      </c>
      <c r="P24" s="680">
        <v>54</v>
      </c>
      <c r="Q24" s="666">
        <v>140</v>
      </c>
      <c r="R24" s="691">
        <v>799</v>
      </c>
      <c r="S24" s="580">
        <v>1608</v>
      </c>
      <c r="T24" s="499">
        <v>0</v>
      </c>
      <c r="U24" s="580">
        <v>0</v>
      </c>
      <c r="V24" s="666">
        <f t="shared" si="0"/>
        <v>2407</v>
      </c>
    </row>
    <row r="25" spans="1:22" ht="19.5" customHeight="1">
      <c r="A25" s="1086"/>
      <c r="B25" s="1090"/>
      <c r="C25" s="667">
        <v>45156</v>
      </c>
      <c r="D25" s="668">
        <v>45156</v>
      </c>
      <c r="E25" s="678">
        <v>143</v>
      </c>
      <c r="F25" s="677">
        <v>350</v>
      </c>
      <c r="G25" s="678"/>
      <c r="H25" s="677"/>
      <c r="I25" s="678"/>
      <c r="J25" s="677"/>
      <c r="K25" s="679"/>
      <c r="L25" s="678">
        <v>32</v>
      </c>
      <c r="M25" s="680">
        <v>0</v>
      </c>
      <c r="N25" s="678">
        <v>0</v>
      </c>
      <c r="O25" s="681">
        <v>62</v>
      </c>
      <c r="P25" s="680">
        <v>0</v>
      </c>
      <c r="Q25" s="666">
        <v>94</v>
      </c>
      <c r="R25" s="691">
        <v>297</v>
      </c>
      <c r="S25" s="580">
        <v>622</v>
      </c>
      <c r="T25" s="499">
        <v>0</v>
      </c>
      <c r="U25" s="580">
        <v>0</v>
      </c>
      <c r="V25" s="666">
        <f t="shared" si="0"/>
        <v>919</v>
      </c>
    </row>
    <row r="26" spans="1:22" ht="19.5" customHeight="1">
      <c r="A26" s="1086"/>
      <c r="B26" s="1090"/>
      <c r="C26" s="667">
        <v>45157</v>
      </c>
      <c r="D26" s="668">
        <v>45157</v>
      </c>
      <c r="E26" s="678">
        <v>214</v>
      </c>
      <c r="F26" s="677">
        <v>679</v>
      </c>
      <c r="G26" s="678"/>
      <c r="H26" s="677"/>
      <c r="I26" s="678"/>
      <c r="J26" s="677"/>
      <c r="K26" s="679"/>
      <c r="L26" s="678">
        <v>78</v>
      </c>
      <c r="M26" s="680">
        <v>13</v>
      </c>
      <c r="N26" s="678">
        <v>19</v>
      </c>
      <c r="O26" s="681">
        <v>68</v>
      </c>
      <c r="P26" s="680">
        <v>3</v>
      </c>
      <c r="Q26" s="666">
        <v>181</v>
      </c>
      <c r="R26" s="703">
        <v>916</v>
      </c>
      <c r="S26" s="704">
        <v>545</v>
      </c>
      <c r="T26" s="705">
        <v>0</v>
      </c>
      <c r="U26" s="704">
        <v>0</v>
      </c>
      <c r="V26" s="666">
        <f t="shared" si="0"/>
        <v>1461</v>
      </c>
    </row>
    <row r="27" spans="1:22" ht="19.5" customHeight="1">
      <c r="A27" s="1086"/>
      <c r="B27" s="1091"/>
      <c r="C27" s="667">
        <v>45158</v>
      </c>
      <c r="D27" s="668">
        <v>45158</v>
      </c>
      <c r="E27" s="678">
        <v>368</v>
      </c>
      <c r="F27" s="677">
        <v>1096</v>
      </c>
      <c r="G27" s="678"/>
      <c r="H27" s="677"/>
      <c r="I27" s="678"/>
      <c r="J27" s="677"/>
      <c r="K27" s="679"/>
      <c r="L27" s="678">
        <v>118</v>
      </c>
      <c r="M27" s="680">
        <v>8</v>
      </c>
      <c r="N27" s="678">
        <v>7</v>
      </c>
      <c r="O27" s="681">
        <v>77</v>
      </c>
      <c r="P27" s="680">
        <v>11</v>
      </c>
      <c r="Q27" s="666">
        <v>221</v>
      </c>
      <c r="R27" s="703">
        <v>1532</v>
      </c>
      <c r="S27" s="704">
        <v>1561</v>
      </c>
      <c r="T27" s="705">
        <v>0</v>
      </c>
      <c r="U27" s="704">
        <v>0</v>
      </c>
      <c r="V27" s="666">
        <f t="shared" si="0"/>
        <v>3093</v>
      </c>
    </row>
    <row r="28" spans="1:22" ht="19.5" customHeight="1">
      <c r="A28" s="1086"/>
      <c r="B28" s="1089">
        <v>35</v>
      </c>
      <c r="C28" s="667">
        <v>45159</v>
      </c>
      <c r="D28" s="668">
        <v>45162</v>
      </c>
      <c r="E28" s="678">
        <v>637</v>
      </c>
      <c r="F28" s="677">
        <v>1485</v>
      </c>
      <c r="G28" s="678"/>
      <c r="H28" s="677"/>
      <c r="I28" s="678"/>
      <c r="J28" s="677"/>
      <c r="K28" s="679"/>
      <c r="L28" s="678">
        <v>244</v>
      </c>
      <c r="M28" s="680">
        <v>24</v>
      </c>
      <c r="N28" s="678">
        <v>26</v>
      </c>
      <c r="O28" s="681">
        <v>115</v>
      </c>
      <c r="P28" s="680">
        <v>24</v>
      </c>
      <c r="Q28" s="666">
        <v>433</v>
      </c>
      <c r="R28" s="691">
        <v>1986</v>
      </c>
      <c r="S28" s="580">
        <v>2424</v>
      </c>
      <c r="T28" s="499">
        <v>0</v>
      </c>
      <c r="U28" s="580">
        <v>0</v>
      </c>
      <c r="V28" s="666">
        <f t="shared" si="0"/>
        <v>4410</v>
      </c>
    </row>
    <row r="29" spans="1:22" ht="19.5" customHeight="1">
      <c r="A29" s="1086"/>
      <c r="B29" s="1090"/>
      <c r="C29" s="667">
        <v>45163</v>
      </c>
      <c r="D29" s="668">
        <v>45163</v>
      </c>
      <c r="E29" s="678">
        <v>140</v>
      </c>
      <c r="F29" s="677">
        <v>382</v>
      </c>
      <c r="G29" s="678"/>
      <c r="H29" s="677"/>
      <c r="I29" s="678"/>
      <c r="J29" s="677"/>
      <c r="K29" s="679"/>
      <c r="L29" s="678">
        <v>79</v>
      </c>
      <c r="M29" s="680">
        <v>0</v>
      </c>
      <c r="N29" s="678">
        <v>12</v>
      </c>
      <c r="O29" s="681">
        <v>49</v>
      </c>
      <c r="P29" s="680">
        <v>0</v>
      </c>
      <c r="Q29" s="666">
        <v>140</v>
      </c>
      <c r="R29" s="571">
        <v>475</v>
      </c>
      <c r="S29" s="572">
        <v>754</v>
      </c>
      <c r="T29" s="574">
        <v>0</v>
      </c>
      <c r="U29" s="572">
        <v>0</v>
      </c>
      <c r="V29" s="482">
        <f t="shared" si="0"/>
        <v>1229</v>
      </c>
    </row>
    <row r="30" spans="1:22" ht="19.5" customHeight="1">
      <c r="A30" s="1086"/>
      <c r="B30" s="1090"/>
      <c r="C30" s="667">
        <v>45164</v>
      </c>
      <c r="D30" s="668">
        <v>45164</v>
      </c>
      <c r="E30" s="678">
        <v>230</v>
      </c>
      <c r="F30" s="677">
        <v>606</v>
      </c>
      <c r="G30" s="678"/>
      <c r="H30" s="677"/>
      <c r="I30" s="678"/>
      <c r="J30" s="677"/>
      <c r="K30" s="679"/>
      <c r="L30" s="678">
        <v>110</v>
      </c>
      <c r="M30" s="680">
        <v>14</v>
      </c>
      <c r="N30" s="678">
        <v>0</v>
      </c>
      <c r="O30" s="681">
        <v>71</v>
      </c>
      <c r="P30" s="680">
        <v>3</v>
      </c>
      <c r="Q30" s="666">
        <v>198</v>
      </c>
      <c r="R30" s="703">
        <v>685</v>
      </c>
      <c r="S30" s="704">
        <v>886</v>
      </c>
      <c r="T30" s="705">
        <v>0</v>
      </c>
      <c r="U30" s="704">
        <v>0</v>
      </c>
      <c r="V30" s="481">
        <f t="shared" si="0"/>
        <v>1571</v>
      </c>
    </row>
    <row r="31" spans="1:22" ht="19.5" customHeight="1" thickBot="1">
      <c r="A31" s="1092"/>
      <c r="B31" s="1093"/>
      <c r="C31" s="383">
        <v>45165</v>
      </c>
      <c r="D31" s="384">
        <v>45165</v>
      </c>
      <c r="E31" s="473">
        <v>371</v>
      </c>
      <c r="F31" s="474">
        <v>1051</v>
      </c>
      <c r="G31" s="473"/>
      <c r="H31" s="474"/>
      <c r="I31" s="473"/>
      <c r="J31" s="474"/>
      <c r="K31" s="475"/>
      <c r="L31" s="473">
        <v>184</v>
      </c>
      <c r="M31" s="476">
        <v>11</v>
      </c>
      <c r="N31" s="473">
        <v>18</v>
      </c>
      <c r="O31" s="477">
        <v>108</v>
      </c>
      <c r="P31" s="476">
        <v>0</v>
      </c>
      <c r="Q31" s="789">
        <v>321</v>
      </c>
      <c r="R31" s="470">
        <v>1297</v>
      </c>
      <c r="S31" s="570">
        <v>1092</v>
      </c>
      <c r="T31" s="573">
        <v>0</v>
      </c>
      <c r="U31" s="570">
        <v>0</v>
      </c>
      <c r="V31" s="471">
        <f t="shared" si="0"/>
        <v>2389</v>
      </c>
    </row>
    <row r="32" spans="1:22" ht="19.5" customHeight="1">
      <c r="A32" s="1085" t="s">
        <v>97</v>
      </c>
      <c r="B32" s="1094">
        <v>36</v>
      </c>
      <c r="C32" s="442">
        <v>45167</v>
      </c>
      <c r="D32" s="443">
        <v>45169</v>
      </c>
      <c r="E32" s="459">
        <v>587</v>
      </c>
      <c r="F32" s="458">
        <v>1390</v>
      </c>
      <c r="G32" s="459"/>
      <c r="H32" s="458"/>
      <c r="I32" s="459"/>
      <c r="J32" s="458"/>
      <c r="K32" s="460"/>
      <c r="L32" s="459">
        <v>527</v>
      </c>
      <c r="M32" s="537">
        <v>22</v>
      </c>
      <c r="N32" s="459">
        <v>82</v>
      </c>
      <c r="O32" s="538">
        <v>721</v>
      </c>
      <c r="P32" s="537">
        <v>0</v>
      </c>
      <c r="Q32" s="467">
        <v>1352</v>
      </c>
      <c r="R32" s="571">
        <v>1186</v>
      </c>
      <c r="S32" s="572">
        <v>1573</v>
      </c>
      <c r="T32" s="574">
        <v>0</v>
      </c>
      <c r="U32" s="572">
        <v>0</v>
      </c>
      <c r="V32" s="482">
        <f t="shared" si="0"/>
        <v>2759</v>
      </c>
    </row>
    <row r="33" spans="1:22" ht="19.5" customHeight="1">
      <c r="A33" s="1086"/>
      <c r="B33" s="1090"/>
      <c r="C33" s="381">
        <v>45170</v>
      </c>
      <c r="D33" s="382">
        <v>45170</v>
      </c>
      <c r="E33" s="678">
        <v>335</v>
      </c>
      <c r="F33" s="677">
        <v>849</v>
      </c>
      <c r="G33" s="678"/>
      <c r="H33" s="677"/>
      <c r="I33" s="678"/>
      <c r="J33" s="677"/>
      <c r="K33" s="679"/>
      <c r="L33" s="678">
        <v>221</v>
      </c>
      <c r="M33" s="680">
        <v>2</v>
      </c>
      <c r="N33" s="678">
        <v>20</v>
      </c>
      <c r="O33" s="681">
        <v>245</v>
      </c>
      <c r="P33" s="680">
        <v>12</v>
      </c>
      <c r="Q33" s="666">
        <v>500</v>
      </c>
      <c r="R33" s="703">
        <v>708</v>
      </c>
      <c r="S33" s="704">
        <v>754</v>
      </c>
      <c r="T33" s="705">
        <v>0</v>
      </c>
      <c r="U33" s="704">
        <v>0</v>
      </c>
      <c r="V33" s="481">
        <f t="shared" si="0"/>
        <v>1462</v>
      </c>
    </row>
    <row r="34" spans="1:22" ht="19.5" customHeight="1">
      <c r="A34" s="1086"/>
      <c r="B34" s="1090"/>
      <c r="C34" s="381">
        <v>45171</v>
      </c>
      <c r="D34" s="382">
        <v>45171</v>
      </c>
      <c r="E34" s="678">
        <v>512</v>
      </c>
      <c r="F34" s="677">
        <v>1406</v>
      </c>
      <c r="G34" s="678"/>
      <c r="H34" s="677"/>
      <c r="I34" s="678"/>
      <c r="J34" s="677"/>
      <c r="K34" s="679"/>
      <c r="L34" s="678">
        <v>515</v>
      </c>
      <c r="M34" s="680">
        <v>20</v>
      </c>
      <c r="N34" s="678">
        <v>49</v>
      </c>
      <c r="O34" s="681">
        <v>292</v>
      </c>
      <c r="P34" s="680">
        <v>15</v>
      </c>
      <c r="Q34" s="666">
        <v>891</v>
      </c>
      <c r="R34" s="703">
        <v>870</v>
      </c>
      <c r="S34" s="704">
        <v>1047</v>
      </c>
      <c r="T34" s="705">
        <v>0</v>
      </c>
      <c r="U34" s="704">
        <v>0</v>
      </c>
      <c r="V34" s="481">
        <f t="shared" si="0"/>
        <v>1917</v>
      </c>
    </row>
    <row r="35" spans="1:22" ht="19.5" customHeight="1">
      <c r="A35" s="1086"/>
      <c r="B35" s="1091"/>
      <c r="C35" s="667">
        <v>45172</v>
      </c>
      <c r="D35" s="668">
        <v>45173</v>
      </c>
      <c r="E35" s="678">
        <v>510</v>
      </c>
      <c r="F35" s="677">
        <v>1333</v>
      </c>
      <c r="G35" s="678"/>
      <c r="H35" s="677"/>
      <c r="I35" s="678"/>
      <c r="J35" s="677"/>
      <c r="K35" s="679"/>
      <c r="L35" s="678">
        <v>231</v>
      </c>
      <c r="M35" s="680">
        <v>22</v>
      </c>
      <c r="N35" s="678">
        <v>8</v>
      </c>
      <c r="O35" s="681">
        <v>216</v>
      </c>
      <c r="P35" s="680">
        <v>13</v>
      </c>
      <c r="Q35" s="666">
        <v>490</v>
      </c>
      <c r="R35" s="703">
        <v>924</v>
      </c>
      <c r="S35" s="704">
        <v>376</v>
      </c>
      <c r="T35" s="705">
        <v>0</v>
      </c>
      <c r="U35" s="704">
        <v>0</v>
      </c>
      <c r="V35" s="481">
        <f>SUM(R35:U35)</f>
        <v>1300</v>
      </c>
    </row>
    <row r="36" spans="1:22" ht="19.5" customHeight="1">
      <c r="A36" s="1086"/>
      <c r="B36" s="1089">
        <v>37</v>
      </c>
      <c r="C36" s="379">
        <v>45174</v>
      </c>
      <c r="D36" s="380">
        <v>45176</v>
      </c>
      <c r="E36" s="678">
        <v>791</v>
      </c>
      <c r="F36" s="677">
        <v>1577</v>
      </c>
      <c r="G36" s="678"/>
      <c r="H36" s="677"/>
      <c r="I36" s="678"/>
      <c r="J36" s="677"/>
      <c r="K36" s="679"/>
      <c r="L36" s="678">
        <v>957</v>
      </c>
      <c r="M36" s="680">
        <v>156</v>
      </c>
      <c r="N36" s="678">
        <v>67</v>
      </c>
      <c r="O36" s="681">
        <v>1236</v>
      </c>
      <c r="P36" s="680">
        <v>0</v>
      </c>
      <c r="Q36" s="666">
        <v>2416</v>
      </c>
      <c r="R36" s="703">
        <v>794</v>
      </c>
      <c r="S36" s="704">
        <v>1267</v>
      </c>
      <c r="T36" s="705">
        <v>0</v>
      </c>
      <c r="U36" s="704">
        <v>0</v>
      </c>
      <c r="V36" s="481">
        <f t="shared" ref="V36:V42" si="1">SUM(R36:U36)</f>
        <v>2061</v>
      </c>
    </row>
    <row r="37" spans="1:22" ht="19.5" customHeight="1">
      <c r="A37" s="1086"/>
      <c r="B37" s="1090"/>
      <c r="C37" s="379">
        <v>45177</v>
      </c>
      <c r="D37" s="380">
        <v>45177</v>
      </c>
      <c r="E37" s="678">
        <v>290</v>
      </c>
      <c r="F37" s="677">
        <v>631</v>
      </c>
      <c r="G37" s="678"/>
      <c r="H37" s="677"/>
      <c r="I37" s="678"/>
      <c r="J37" s="677"/>
      <c r="K37" s="679"/>
      <c r="L37" s="678">
        <v>600</v>
      </c>
      <c r="M37" s="680">
        <v>20</v>
      </c>
      <c r="N37" s="678">
        <v>2</v>
      </c>
      <c r="O37" s="681">
        <v>459</v>
      </c>
      <c r="P37" s="680">
        <v>29</v>
      </c>
      <c r="Q37" s="666">
        <v>1110</v>
      </c>
      <c r="R37" s="703">
        <v>119</v>
      </c>
      <c r="S37" s="704">
        <v>535</v>
      </c>
      <c r="T37" s="705">
        <v>0</v>
      </c>
      <c r="U37" s="704">
        <v>0</v>
      </c>
      <c r="V37" s="481">
        <f t="shared" si="1"/>
        <v>654</v>
      </c>
    </row>
    <row r="38" spans="1:22" ht="19.5" customHeight="1">
      <c r="A38" s="1086"/>
      <c r="B38" s="1090"/>
      <c r="C38" s="667">
        <v>45178</v>
      </c>
      <c r="D38" s="668">
        <v>45178</v>
      </c>
      <c r="E38" s="678">
        <v>465</v>
      </c>
      <c r="F38" s="677">
        <v>1215</v>
      </c>
      <c r="G38" s="678"/>
      <c r="H38" s="677"/>
      <c r="I38" s="678"/>
      <c r="J38" s="677"/>
      <c r="K38" s="679"/>
      <c r="L38" s="678">
        <v>1010</v>
      </c>
      <c r="M38" s="680">
        <v>27</v>
      </c>
      <c r="N38" s="678">
        <v>88</v>
      </c>
      <c r="O38" s="681">
        <v>724</v>
      </c>
      <c r="P38" s="680">
        <v>122</v>
      </c>
      <c r="Q38" s="666">
        <v>1971</v>
      </c>
      <c r="R38" s="703">
        <v>283</v>
      </c>
      <c r="S38" s="704">
        <v>442</v>
      </c>
      <c r="T38" s="705">
        <v>0</v>
      </c>
      <c r="U38" s="704">
        <v>0</v>
      </c>
      <c r="V38" s="481">
        <f t="shared" si="1"/>
        <v>725</v>
      </c>
    </row>
    <row r="39" spans="1:22" ht="19.5" customHeight="1">
      <c r="A39" s="1086"/>
      <c r="B39" s="1091"/>
      <c r="C39" s="667">
        <v>45179</v>
      </c>
      <c r="D39" s="668">
        <v>45179</v>
      </c>
      <c r="E39" s="678">
        <v>366</v>
      </c>
      <c r="F39" s="677">
        <v>989</v>
      </c>
      <c r="G39" s="678"/>
      <c r="H39" s="677"/>
      <c r="I39" s="678"/>
      <c r="J39" s="677"/>
      <c r="K39" s="679"/>
      <c r="L39" s="678">
        <v>829</v>
      </c>
      <c r="M39" s="680">
        <v>10</v>
      </c>
      <c r="N39" s="678">
        <v>29</v>
      </c>
      <c r="O39" s="681">
        <v>667</v>
      </c>
      <c r="P39" s="680">
        <v>38</v>
      </c>
      <c r="Q39" s="666">
        <v>1573</v>
      </c>
      <c r="R39" s="703">
        <v>144</v>
      </c>
      <c r="S39" s="704">
        <v>245</v>
      </c>
      <c r="T39" s="705">
        <v>0</v>
      </c>
      <c r="U39" s="704">
        <v>0</v>
      </c>
      <c r="V39" s="481">
        <f t="shared" si="1"/>
        <v>389</v>
      </c>
    </row>
    <row r="40" spans="1:22" ht="19.5" customHeight="1">
      <c r="A40" s="1087"/>
      <c r="B40" s="1089">
        <v>38</v>
      </c>
      <c r="C40" s="838">
        <v>45180</v>
      </c>
      <c r="D40" s="668">
        <v>45183</v>
      </c>
      <c r="E40" s="678">
        <v>992</v>
      </c>
      <c r="F40" s="677">
        <v>2108</v>
      </c>
      <c r="G40" s="678"/>
      <c r="H40" s="677"/>
      <c r="I40" s="678"/>
      <c r="J40" s="677"/>
      <c r="K40" s="679"/>
      <c r="L40" s="678">
        <v>1778</v>
      </c>
      <c r="M40" s="680">
        <v>56</v>
      </c>
      <c r="N40" s="678">
        <v>62</v>
      </c>
      <c r="O40" s="681">
        <v>1458</v>
      </c>
      <c r="P40" s="680">
        <v>78</v>
      </c>
      <c r="Q40" s="666">
        <v>3432</v>
      </c>
      <c r="R40" s="703">
        <v>238</v>
      </c>
      <c r="S40" s="704">
        <v>419</v>
      </c>
      <c r="T40" s="705">
        <v>0</v>
      </c>
      <c r="U40" s="704">
        <v>0</v>
      </c>
      <c r="V40" s="481">
        <f t="shared" si="1"/>
        <v>657</v>
      </c>
    </row>
    <row r="41" spans="1:22" ht="19.5" customHeight="1">
      <c r="A41" s="1087"/>
      <c r="B41" s="1090"/>
      <c r="C41" s="838">
        <v>45184</v>
      </c>
      <c r="D41" s="668">
        <v>45184</v>
      </c>
      <c r="E41" s="678">
        <v>282</v>
      </c>
      <c r="F41" s="677">
        <v>623</v>
      </c>
      <c r="G41" s="678"/>
      <c r="H41" s="677"/>
      <c r="I41" s="678"/>
      <c r="J41" s="677"/>
      <c r="K41" s="679"/>
      <c r="L41" s="678">
        <v>371</v>
      </c>
      <c r="M41" s="680">
        <v>13</v>
      </c>
      <c r="N41" s="678">
        <v>36</v>
      </c>
      <c r="O41" s="681">
        <v>364</v>
      </c>
      <c r="P41" s="680">
        <v>25</v>
      </c>
      <c r="Q41" s="666">
        <v>809</v>
      </c>
      <c r="R41" s="703">
        <v>28</v>
      </c>
      <c r="S41" s="704">
        <v>84</v>
      </c>
      <c r="T41" s="705">
        <v>0</v>
      </c>
      <c r="U41" s="704">
        <v>0</v>
      </c>
      <c r="V41" s="481">
        <f t="shared" si="1"/>
        <v>112</v>
      </c>
    </row>
    <row r="42" spans="1:22" ht="19.5" customHeight="1">
      <c r="A42" s="1087"/>
      <c r="B42" s="1095"/>
      <c r="C42" s="838">
        <v>45185</v>
      </c>
      <c r="D42" s="668">
        <v>45186</v>
      </c>
      <c r="E42" s="678">
        <v>728</v>
      </c>
      <c r="F42" s="677">
        <v>1818</v>
      </c>
      <c r="G42" s="678"/>
      <c r="H42" s="677"/>
      <c r="I42" s="678"/>
      <c r="J42" s="677"/>
      <c r="K42" s="679"/>
      <c r="L42" s="678">
        <v>1099</v>
      </c>
      <c r="M42" s="680">
        <v>37</v>
      </c>
      <c r="N42" s="678">
        <v>82</v>
      </c>
      <c r="O42" s="681">
        <v>870</v>
      </c>
      <c r="P42" s="680">
        <v>64</v>
      </c>
      <c r="Q42" s="666">
        <v>2152</v>
      </c>
      <c r="R42" s="703">
        <v>41</v>
      </c>
      <c r="S42" s="704">
        <v>124</v>
      </c>
      <c r="T42" s="705">
        <v>0</v>
      </c>
      <c r="U42" s="704">
        <v>0</v>
      </c>
      <c r="V42" s="481">
        <f t="shared" si="1"/>
        <v>165</v>
      </c>
    </row>
    <row r="43" spans="1:22" ht="19.5" customHeight="1">
      <c r="A43" s="1086"/>
      <c r="B43" s="1090">
        <v>39</v>
      </c>
      <c r="C43" s="667">
        <v>45187</v>
      </c>
      <c r="D43" s="668">
        <v>45190</v>
      </c>
      <c r="E43" s="678">
        <v>1116</v>
      </c>
      <c r="F43" s="677">
        <v>2458</v>
      </c>
      <c r="G43" s="678"/>
      <c r="H43" s="677"/>
      <c r="I43" s="678"/>
      <c r="J43" s="677"/>
      <c r="K43" s="679"/>
      <c r="L43" s="678">
        <v>1096</v>
      </c>
      <c r="M43" s="680">
        <v>1258</v>
      </c>
      <c r="N43" s="678">
        <v>163</v>
      </c>
      <c r="O43" s="681">
        <v>260</v>
      </c>
      <c r="P43" s="680">
        <v>203</v>
      </c>
      <c r="Q43" s="666">
        <v>2986</v>
      </c>
      <c r="R43" s="703">
        <v>53</v>
      </c>
      <c r="S43" s="704">
        <v>115</v>
      </c>
      <c r="T43" s="705">
        <v>0</v>
      </c>
      <c r="U43" s="704">
        <v>0</v>
      </c>
      <c r="V43" s="481">
        <f t="shared" ref="V43:V46" si="2">SUM(R43:U43)</f>
        <v>168</v>
      </c>
    </row>
    <row r="44" spans="1:22" ht="19.5" customHeight="1">
      <c r="A44" s="1086"/>
      <c r="B44" s="1090"/>
      <c r="C44" s="667">
        <v>45191</v>
      </c>
      <c r="D44" s="668">
        <v>45191</v>
      </c>
      <c r="E44" s="678">
        <v>596</v>
      </c>
      <c r="F44" s="677">
        <v>1305</v>
      </c>
      <c r="G44" s="678"/>
      <c r="H44" s="677"/>
      <c r="I44" s="678"/>
      <c r="J44" s="677"/>
      <c r="K44" s="679"/>
      <c r="L44" s="678">
        <v>756</v>
      </c>
      <c r="M44" s="680">
        <v>874</v>
      </c>
      <c r="N44" s="678">
        <v>74</v>
      </c>
      <c r="O44" s="681">
        <v>115</v>
      </c>
      <c r="P44" s="680">
        <v>214</v>
      </c>
      <c r="Q44" s="666">
        <v>2040</v>
      </c>
      <c r="R44" s="703">
        <v>28</v>
      </c>
      <c r="S44" s="704">
        <v>86</v>
      </c>
      <c r="T44" s="705">
        <v>0</v>
      </c>
      <c r="U44" s="704">
        <v>0</v>
      </c>
      <c r="V44" s="481">
        <f t="shared" si="2"/>
        <v>114</v>
      </c>
    </row>
    <row r="45" spans="1:22" ht="19.5" customHeight="1">
      <c r="A45" s="1086"/>
      <c r="B45" s="1090"/>
      <c r="C45" s="667">
        <v>45192</v>
      </c>
      <c r="D45" s="668">
        <v>45192</v>
      </c>
      <c r="E45" s="678">
        <v>364</v>
      </c>
      <c r="F45" s="677">
        <v>873</v>
      </c>
      <c r="G45" s="678"/>
      <c r="H45" s="677"/>
      <c r="I45" s="678"/>
      <c r="J45" s="677"/>
      <c r="K45" s="679"/>
      <c r="L45" s="678">
        <v>284</v>
      </c>
      <c r="M45" s="680">
        <v>320</v>
      </c>
      <c r="N45" s="678">
        <v>45</v>
      </c>
      <c r="O45" s="681">
        <v>46</v>
      </c>
      <c r="P45" s="680">
        <v>134</v>
      </c>
      <c r="Q45" s="666">
        <v>831</v>
      </c>
      <c r="R45" s="703">
        <v>13</v>
      </c>
      <c r="S45" s="704">
        <v>29</v>
      </c>
      <c r="T45" s="705">
        <v>0</v>
      </c>
      <c r="U45" s="704">
        <v>0</v>
      </c>
      <c r="V45" s="481">
        <f t="shared" si="2"/>
        <v>42</v>
      </c>
    </row>
    <row r="46" spans="1:22" ht="19.5" customHeight="1">
      <c r="A46" s="1086"/>
      <c r="B46" s="1095"/>
      <c r="C46" s="667">
        <v>45193</v>
      </c>
      <c r="D46" s="668">
        <v>45193</v>
      </c>
      <c r="E46" s="678">
        <v>523</v>
      </c>
      <c r="F46" s="677">
        <v>1294</v>
      </c>
      <c r="G46" s="678"/>
      <c r="H46" s="677"/>
      <c r="I46" s="678"/>
      <c r="J46" s="677"/>
      <c r="K46" s="679"/>
      <c r="L46" s="678">
        <v>492</v>
      </c>
      <c r="M46" s="680">
        <v>654</v>
      </c>
      <c r="N46" s="678">
        <v>78</v>
      </c>
      <c r="O46" s="681">
        <v>78</v>
      </c>
      <c r="P46" s="680">
        <v>237</v>
      </c>
      <c r="Q46" s="666">
        <v>1546</v>
      </c>
      <c r="R46" s="703">
        <v>23</v>
      </c>
      <c r="S46" s="704">
        <v>35</v>
      </c>
      <c r="T46" s="705">
        <v>0</v>
      </c>
      <c r="U46" s="704">
        <v>0</v>
      </c>
      <c r="V46" s="481">
        <f t="shared" si="2"/>
        <v>58</v>
      </c>
    </row>
    <row r="47" spans="1:22" ht="19.5" customHeight="1">
      <c r="A47" s="1086"/>
      <c r="B47" s="1083">
        <v>40</v>
      </c>
      <c r="C47" s="667">
        <v>45194</v>
      </c>
      <c r="D47" s="668">
        <v>45197</v>
      </c>
      <c r="E47" s="682">
        <v>395</v>
      </c>
      <c r="F47" s="479">
        <v>753</v>
      </c>
      <c r="G47" s="682"/>
      <c r="H47" s="479"/>
      <c r="I47" s="682"/>
      <c r="J47" s="479"/>
      <c r="K47" s="480"/>
      <c r="L47" s="682">
        <v>244</v>
      </c>
      <c r="M47" s="683">
        <v>531</v>
      </c>
      <c r="N47" s="682">
        <v>45</v>
      </c>
      <c r="O47" s="684">
        <v>50</v>
      </c>
      <c r="P47" s="683">
        <v>166</v>
      </c>
      <c r="Q47" s="481">
        <v>1036</v>
      </c>
      <c r="R47" s="703">
        <v>0</v>
      </c>
      <c r="S47" s="704">
        <v>28</v>
      </c>
      <c r="T47" s="703">
        <v>0</v>
      </c>
      <c r="U47" s="704">
        <v>0</v>
      </c>
      <c r="V47" s="481">
        <f t="shared" ref="V47:V49" si="3">SUM(R47:U47)</f>
        <v>28</v>
      </c>
    </row>
    <row r="48" spans="1:22" ht="19.5" customHeight="1">
      <c r="A48" s="1086"/>
      <c r="B48" s="1083"/>
      <c r="C48" s="667">
        <v>45198</v>
      </c>
      <c r="D48" s="668">
        <v>45198</v>
      </c>
      <c r="E48" s="682">
        <v>292</v>
      </c>
      <c r="F48" s="479">
        <v>645</v>
      </c>
      <c r="G48" s="682"/>
      <c r="H48" s="479"/>
      <c r="I48" s="682"/>
      <c r="J48" s="479"/>
      <c r="K48" s="480"/>
      <c r="L48" s="682">
        <v>293</v>
      </c>
      <c r="M48" s="683">
        <v>637</v>
      </c>
      <c r="N48" s="682">
        <v>64</v>
      </c>
      <c r="O48" s="684">
        <v>63</v>
      </c>
      <c r="P48" s="683">
        <v>153</v>
      </c>
      <c r="Q48" s="481">
        <v>1212</v>
      </c>
      <c r="R48" s="691">
        <v>2</v>
      </c>
      <c r="S48" s="580">
        <v>5</v>
      </c>
      <c r="T48" s="703">
        <v>0</v>
      </c>
      <c r="U48" s="704">
        <v>0</v>
      </c>
      <c r="V48" s="481">
        <f t="shared" si="3"/>
        <v>7</v>
      </c>
    </row>
    <row r="49" spans="1:22" ht="19.5" customHeight="1" thickBot="1">
      <c r="A49" s="1088"/>
      <c r="B49" s="1084"/>
      <c r="C49" s="383">
        <v>45199</v>
      </c>
      <c r="D49" s="384">
        <v>45199</v>
      </c>
      <c r="E49" s="839">
        <v>547</v>
      </c>
      <c r="F49" s="840">
        <v>1263</v>
      </c>
      <c r="G49" s="839"/>
      <c r="H49" s="840"/>
      <c r="I49" s="839"/>
      <c r="J49" s="840"/>
      <c r="K49" s="841"/>
      <c r="L49" s="839">
        <v>343</v>
      </c>
      <c r="M49" s="842">
        <v>825</v>
      </c>
      <c r="N49" s="839">
        <v>40</v>
      </c>
      <c r="O49" s="843">
        <v>40</v>
      </c>
      <c r="P49" s="842">
        <v>389</v>
      </c>
      <c r="Q49" s="789">
        <v>1646</v>
      </c>
      <c r="R49" s="844">
        <v>7</v>
      </c>
      <c r="S49" s="845">
        <v>7</v>
      </c>
      <c r="T49" s="470">
        <v>0</v>
      </c>
      <c r="U49" s="570">
        <v>0</v>
      </c>
      <c r="V49" s="471">
        <f t="shared" si="3"/>
        <v>14</v>
      </c>
    </row>
    <row r="50" spans="1:22" ht="45.75" thickBot="1">
      <c r="A50" s="511"/>
      <c r="B50" s="484" t="s">
        <v>235</v>
      </c>
      <c r="C50" s="446">
        <v>45185</v>
      </c>
      <c r="D50" s="447">
        <v>45185</v>
      </c>
      <c r="E50" s="485">
        <v>46</v>
      </c>
      <c r="F50" s="486">
        <v>112</v>
      </c>
      <c r="G50" s="485"/>
      <c r="H50" s="486"/>
      <c r="I50" s="485"/>
      <c r="J50" s="486"/>
      <c r="K50" s="487"/>
      <c r="L50" s="485">
        <v>26</v>
      </c>
      <c r="M50" s="488">
        <v>0</v>
      </c>
      <c r="N50" s="485">
        <v>27</v>
      </c>
      <c r="O50" s="489">
        <v>3</v>
      </c>
      <c r="P50" s="488">
        <v>24</v>
      </c>
      <c r="Q50" s="490">
        <f>SUM(L50:P50)</f>
        <v>80</v>
      </c>
      <c r="R50" s="489"/>
      <c r="S50" s="488"/>
      <c r="T50" s="489"/>
      <c r="U50" s="488"/>
      <c r="V50" s="490"/>
    </row>
    <row r="51" spans="1:22" ht="30.75" thickBot="1">
      <c r="A51" s="483"/>
      <c r="B51" s="484" t="s">
        <v>221</v>
      </c>
      <c r="C51" s="446">
        <v>45192</v>
      </c>
      <c r="D51" s="447">
        <v>45192</v>
      </c>
      <c r="E51" s="485">
        <v>706</v>
      </c>
      <c r="F51" s="486">
        <v>2118</v>
      </c>
      <c r="G51" s="485"/>
      <c r="H51" s="486"/>
      <c r="I51" s="485"/>
      <c r="J51" s="486"/>
      <c r="K51" s="487"/>
      <c r="L51" s="485">
        <v>257</v>
      </c>
      <c r="M51" s="488">
        <v>419</v>
      </c>
      <c r="N51" s="485"/>
      <c r="O51" s="489"/>
      <c r="P51" s="488"/>
      <c r="Q51" s="490">
        <f>SUM(L51:P51)</f>
        <v>676</v>
      </c>
      <c r="R51" s="489"/>
      <c r="S51" s="488"/>
      <c r="T51" s="489"/>
      <c r="U51" s="488"/>
      <c r="V51" s="490"/>
    </row>
    <row r="52" spans="1:22" ht="19.149999999999999" customHeight="1" thickBot="1">
      <c r="A52" s="1099" t="s">
        <v>236</v>
      </c>
      <c r="B52" s="1100"/>
      <c r="C52" s="1100"/>
      <c r="D52" s="1101"/>
      <c r="E52" s="491">
        <f>SUM(E6:E51)</f>
        <v>21097</v>
      </c>
      <c r="F52" s="492">
        <f>SUM(F6:F51)</f>
        <v>51040</v>
      </c>
      <c r="G52" s="491">
        <f>SUM(G6:G49)</f>
        <v>4544</v>
      </c>
      <c r="H52" s="492">
        <f>SUM(H6:H49)</f>
        <v>14</v>
      </c>
      <c r="I52" s="491">
        <f>SUM(I6:I49)</f>
        <v>5445</v>
      </c>
      <c r="J52" s="492">
        <f>SUM(J6:J49)</f>
        <v>2277</v>
      </c>
      <c r="K52" s="493">
        <f>SUM(K6:K49)</f>
        <v>12280</v>
      </c>
      <c r="L52" s="494">
        <f>SUM(L6:L51)</f>
        <v>16933</v>
      </c>
      <c r="M52" s="495">
        <f>SUM(M6:M51)</f>
        <v>6132</v>
      </c>
      <c r="N52" s="494">
        <f>SUM(N6:N51)</f>
        <v>2014</v>
      </c>
      <c r="O52" s="496">
        <f>SUM(O6:O51)</f>
        <v>11751</v>
      </c>
      <c r="P52" s="497">
        <f>SUM(P6:P51)</f>
        <v>3292</v>
      </c>
      <c r="Q52" s="498">
        <f>SUM(L52:P52)</f>
        <v>40122</v>
      </c>
      <c r="R52" s="496">
        <f>SUM(R6:R51)</f>
        <v>18710</v>
      </c>
      <c r="S52" s="497">
        <f>SUM(S6:S51)</f>
        <v>18603</v>
      </c>
      <c r="T52" s="496">
        <f>SUM(T6:T51)</f>
        <v>0</v>
      </c>
      <c r="U52" s="497">
        <f>SUM(U6:U51)</f>
        <v>0</v>
      </c>
      <c r="V52" s="498">
        <f>SUM(V6:V51)</f>
        <v>37313</v>
      </c>
    </row>
    <row r="53" spans="1:22" ht="19.149999999999999" customHeight="1">
      <c r="A53" s="1107" t="s">
        <v>72</v>
      </c>
      <c r="B53" s="1108"/>
      <c r="C53" s="1108"/>
      <c r="D53" s="1109"/>
      <c r="E53" s="459">
        <v>660253</v>
      </c>
      <c r="F53" s="466">
        <v>3696682</v>
      </c>
      <c r="G53" s="670">
        <v>131194</v>
      </c>
      <c r="H53" s="669">
        <v>9</v>
      </c>
      <c r="I53" s="670">
        <v>1493870</v>
      </c>
      <c r="J53" s="669">
        <v>231996</v>
      </c>
      <c r="K53" s="466">
        <v>2489482</v>
      </c>
      <c r="L53" s="461">
        <v>619189</v>
      </c>
      <c r="M53" s="462">
        <v>406183</v>
      </c>
      <c r="N53" s="461">
        <v>50908</v>
      </c>
      <c r="O53" s="463">
        <v>398710</v>
      </c>
      <c r="P53" s="464">
        <v>80485</v>
      </c>
      <c r="Q53" s="345">
        <v>1555526</v>
      </c>
      <c r="R53" s="463">
        <v>2223392</v>
      </c>
      <c r="S53" s="464">
        <v>3234463</v>
      </c>
      <c r="T53" s="463">
        <v>0</v>
      </c>
      <c r="U53" s="464">
        <v>0</v>
      </c>
      <c r="V53" s="345">
        <f>SUM(R53:U53)</f>
        <v>5457855</v>
      </c>
    </row>
    <row r="54" spans="1:22" ht="19.149999999999999" customHeight="1">
      <c r="A54" s="1103" t="s">
        <v>73</v>
      </c>
      <c r="B54" s="1104"/>
      <c r="C54" s="1104"/>
      <c r="D54" s="1105"/>
      <c r="E54" s="349">
        <v>813</v>
      </c>
      <c r="F54" s="817">
        <v>1923</v>
      </c>
      <c r="G54" s="678">
        <v>362</v>
      </c>
      <c r="H54" s="677">
        <v>3</v>
      </c>
      <c r="I54" s="678">
        <v>1222</v>
      </c>
      <c r="J54" s="677">
        <v>482</v>
      </c>
      <c r="K54" s="679">
        <v>1578</v>
      </c>
      <c r="L54" s="691">
        <v>787</v>
      </c>
      <c r="M54" s="499">
        <v>637</v>
      </c>
      <c r="N54" s="691">
        <v>226</v>
      </c>
      <c r="O54" s="692">
        <v>631</v>
      </c>
      <c r="P54" s="693">
        <v>284</v>
      </c>
      <c r="Q54" s="666">
        <v>1247</v>
      </c>
      <c r="R54" s="692">
        <v>1491</v>
      </c>
      <c r="S54" s="693">
        <v>1798</v>
      </c>
      <c r="T54" s="692">
        <f t="shared" ref="T54:V54" si="4">SQRT(T53)</f>
        <v>0</v>
      </c>
      <c r="U54" s="693">
        <f t="shared" si="4"/>
        <v>0</v>
      </c>
      <c r="V54" s="666">
        <f t="shared" si="4"/>
        <v>2336.2052563933676</v>
      </c>
    </row>
    <row r="55" spans="1:22" ht="19.149999999999999" customHeight="1">
      <c r="A55" s="1103" t="s">
        <v>74</v>
      </c>
      <c r="B55" s="1104"/>
      <c r="C55" s="1104"/>
      <c r="D55" s="1105"/>
      <c r="E55" s="395">
        <v>0.04</v>
      </c>
      <c r="F55" s="567">
        <v>0.04</v>
      </c>
      <c r="G55" s="500">
        <v>0.08</v>
      </c>
      <c r="H55" s="501">
        <v>0.23</v>
      </c>
      <c r="I55" s="500">
        <v>0.22</v>
      </c>
      <c r="J55" s="501">
        <v>0.21</v>
      </c>
      <c r="K55" s="502">
        <v>0.13</v>
      </c>
      <c r="L55" s="503">
        <v>0.08</v>
      </c>
      <c r="M55" s="504">
        <v>0.11</v>
      </c>
      <c r="N55" s="503">
        <v>0.11</v>
      </c>
      <c r="O55" s="505">
        <v>0.05</v>
      </c>
      <c r="P55" s="506">
        <v>0.09</v>
      </c>
      <c r="Q55" s="360">
        <v>0.03</v>
      </c>
      <c r="R55" s="505">
        <v>0.08</v>
      </c>
      <c r="S55" s="506">
        <v>0.1</v>
      </c>
      <c r="T55" s="505" t="e">
        <f t="shared" ref="T55:V55" si="5">T54/T52</f>
        <v>#DIV/0!</v>
      </c>
      <c r="U55" s="506" t="e">
        <f t="shared" si="5"/>
        <v>#DIV/0!</v>
      </c>
      <c r="V55" s="360">
        <f t="shared" si="5"/>
        <v>6.2611027159257301E-2</v>
      </c>
    </row>
    <row r="56" spans="1:22" ht="19.149999999999999" customHeight="1" thickBot="1">
      <c r="A56" s="1110" t="s">
        <v>75</v>
      </c>
      <c r="B56" s="1111"/>
      <c r="C56" s="1111"/>
      <c r="D56" s="1112"/>
      <c r="E56" s="365" t="s">
        <v>237</v>
      </c>
      <c r="F56" s="568" t="s">
        <v>238</v>
      </c>
      <c r="G56" s="674" t="s">
        <v>239</v>
      </c>
      <c r="H56" s="507" t="s">
        <v>240</v>
      </c>
      <c r="I56" s="674" t="s">
        <v>241</v>
      </c>
      <c r="J56" s="507" t="s">
        <v>242</v>
      </c>
      <c r="K56" s="469" t="s">
        <v>243</v>
      </c>
      <c r="L56" s="365" t="s">
        <v>244</v>
      </c>
      <c r="M56" s="371" t="s">
        <v>245</v>
      </c>
      <c r="N56" s="365" t="s">
        <v>246</v>
      </c>
      <c r="O56" s="370" t="s">
        <v>247</v>
      </c>
      <c r="P56" s="371" t="s">
        <v>248</v>
      </c>
      <c r="Q56" s="368" t="s">
        <v>249</v>
      </c>
      <c r="R56" s="370" t="s">
        <v>250</v>
      </c>
      <c r="S56" s="371" t="s">
        <v>251</v>
      </c>
      <c r="T56" s="370" t="str">
        <f t="shared" ref="T56:V56" si="6">CONCATENATE(TEXT(ROUND(T52-1.96*SQRT(T53),0),"#,###"),"-",TEXT(ROUND(T52+1.96*SQRT(T53),0),"#,###"))</f>
        <v>-</v>
      </c>
      <c r="U56" s="371" t="str">
        <f t="shared" si="6"/>
        <v>-</v>
      </c>
      <c r="V56" s="368" t="str">
        <f t="shared" si="6"/>
        <v>32,734-41,892</v>
      </c>
    </row>
    <row r="57" spans="1:22" ht="16.149999999999999" customHeight="1">
      <c r="A57" t="s">
        <v>252</v>
      </c>
      <c r="B57" s="874"/>
      <c r="C57" s="874"/>
      <c r="D57" s="1106"/>
      <c r="E57" s="1106"/>
      <c r="F57" s="1106"/>
      <c r="G57" s="1106"/>
      <c r="H57" s="1106"/>
      <c r="I57" s="874"/>
      <c r="J57" s="874"/>
      <c r="K57" s="180">
        <f>G52/'Area9&amp;10 test fishing'!C7/0.87</f>
        <v>12278.604557370438</v>
      </c>
    </row>
    <row r="58" spans="1:22" ht="20.65" customHeight="1">
      <c r="A58" s="874"/>
      <c r="B58" s="874"/>
      <c r="C58" s="874"/>
      <c r="D58" s="874"/>
      <c r="E58" s="874"/>
      <c r="F58" s="874"/>
      <c r="G58" s="874"/>
      <c r="H58" s="874"/>
      <c r="I58" s="874"/>
      <c r="J58" s="874"/>
      <c r="K58" s="874"/>
    </row>
    <row r="59" spans="1:22" ht="16.5" thickBot="1">
      <c r="A59" s="136" t="s">
        <v>253</v>
      </c>
      <c r="R59" s="938" t="s">
        <v>87</v>
      </c>
      <c r="S59" s="939"/>
      <c r="T59" s="939"/>
      <c r="U59" s="939"/>
      <c r="V59" s="939"/>
    </row>
    <row r="60" spans="1:22" ht="19.899999999999999" customHeight="1">
      <c r="A60" s="1117" t="s">
        <v>57</v>
      </c>
      <c r="B60" s="1117" t="s">
        <v>159</v>
      </c>
      <c r="C60" s="1117" t="s">
        <v>160</v>
      </c>
      <c r="D60" s="1096" t="s">
        <v>161</v>
      </c>
      <c r="E60" s="1115" t="s">
        <v>162</v>
      </c>
      <c r="F60" s="1116"/>
      <c r="G60" s="1115" t="s">
        <v>163</v>
      </c>
      <c r="H60" s="1116"/>
      <c r="I60" s="1115" t="s">
        <v>164</v>
      </c>
      <c r="J60" s="1116"/>
      <c r="K60" s="1113" t="s">
        <v>165</v>
      </c>
      <c r="L60" s="1115" t="s">
        <v>88</v>
      </c>
      <c r="M60" s="1116"/>
      <c r="N60" s="1115" t="s">
        <v>89</v>
      </c>
      <c r="O60" s="1119"/>
      <c r="P60" s="1116"/>
      <c r="Q60" s="1120" t="s">
        <v>166</v>
      </c>
      <c r="R60" s="906" t="s">
        <v>91</v>
      </c>
      <c r="S60" s="940" t="s">
        <v>92</v>
      </c>
      <c r="T60" s="906" t="s">
        <v>93</v>
      </c>
      <c r="U60" s="942" t="s">
        <v>94</v>
      </c>
      <c r="V60" s="912" t="s">
        <v>95</v>
      </c>
    </row>
    <row r="61" spans="1:22" ht="27.95" customHeight="1">
      <c r="A61" s="1118"/>
      <c r="B61" s="1118"/>
      <c r="C61" s="1118"/>
      <c r="D61" s="1097"/>
      <c r="E61" s="448" t="s">
        <v>65</v>
      </c>
      <c r="F61" s="449" t="s">
        <v>66</v>
      </c>
      <c r="G61" s="448" t="s">
        <v>67</v>
      </c>
      <c r="H61" s="449" t="s">
        <v>68</v>
      </c>
      <c r="I61" s="450" t="s">
        <v>67</v>
      </c>
      <c r="J61" s="451" t="s">
        <v>68</v>
      </c>
      <c r="K61" s="1114"/>
      <c r="L61" s="452" t="s">
        <v>67</v>
      </c>
      <c r="M61" s="453" t="s">
        <v>68</v>
      </c>
      <c r="N61" s="454" t="s">
        <v>67</v>
      </c>
      <c r="O61" s="455" t="s">
        <v>68</v>
      </c>
      <c r="P61" s="456" t="s">
        <v>167</v>
      </c>
      <c r="Q61" s="1121"/>
      <c r="R61" s="907"/>
      <c r="S61" s="941"/>
      <c r="T61" s="907"/>
      <c r="U61" s="913"/>
      <c r="V61" s="937"/>
    </row>
    <row r="62" spans="1:22" ht="19.899999999999999" customHeight="1">
      <c r="A62" s="925" t="s">
        <v>254</v>
      </c>
      <c r="B62" s="922">
        <v>23</v>
      </c>
      <c r="C62" s="425">
        <v>45078</v>
      </c>
      <c r="D62" s="427">
        <v>45078</v>
      </c>
      <c r="E62" s="457">
        <v>115</v>
      </c>
      <c r="F62" s="458">
        <v>241</v>
      </c>
      <c r="G62" s="545">
        <v>0</v>
      </c>
      <c r="H62" s="546">
        <v>4</v>
      </c>
      <c r="I62" s="545">
        <v>22</v>
      </c>
      <c r="J62" s="546">
        <v>9</v>
      </c>
      <c r="K62" s="722">
        <f>SUM(G62:J62)</f>
        <v>35</v>
      </c>
      <c r="L62" s="694">
        <v>87</v>
      </c>
      <c r="M62" s="695">
        <v>104</v>
      </c>
      <c r="N62" s="694">
        <v>13</v>
      </c>
      <c r="O62" s="696">
        <v>13</v>
      </c>
      <c r="P62" s="697">
        <v>0</v>
      </c>
      <c r="Q62" s="804">
        <v>217</v>
      </c>
      <c r="R62" s="341">
        <v>0</v>
      </c>
      <c r="S62" s="346">
        <v>0</v>
      </c>
      <c r="T62" s="342">
        <v>0</v>
      </c>
      <c r="U62" s="346">
        <v>0</v>
      </c>
      <c r="V62" s="481">
        <f t="shared" ref="V62:V79" si="7">SUM(R62:U62)</f>
        <v>0</v>
      </c>
    </row>
    <row r="63" spans="1:22" ht="19.899999999999999" customHeight="1">
      <c r="A63" s="926"/>
      <c r="B63" s="919"/>
      <c r="C63" s="426">
        <v>45079</v>
      </c>
      <c r="D63" s="428">
        <v>45079</v>
      </c>
      <c r="E63" s="465">
        <v>79</v>
      </c>
      <c r="F63" s="669">
        <v>171</v>
      </c>
      <c r="G63" s="895">
        <v>0</v>
      </c>
      <c r="H63" s="547">
        <v>0</v>
      </c>
      <c r="I63" s="895">
        <v>25</v>
      </c>
      <c r="J63" s="547">
        <v>28</v>
      </c>
      <c r="K63" s="723">
        <f t="shared" ref="K63:K86" si="8">SUM(G63:J63)</f>
        <v>53</v>
      </c>
      <c r="L63" s="698">
        <v>19</v>
      </c>
      <c r="M63" s="699">
        <v>29</v>
      </c>
      <c r="N63" s="698">
        <v>6</v>
      </c>
      <c r="O63" s="700">
        <v>0</v>
      </c>
      <c r="P63" s="701">
        <v>3</v>
      </c>
      <c r="Q63" s="804">
        <v>57</v>
      </c>
      <c r="R63" s="576">
        <v>0</v>
      </c>
      <c r="S63" s="577">
        <v>0</v>
      </c>
      <c r="T63" s="578">
        <v>0</v>
      </c>
      <c r="U63" s="577">
        <v>0</v>
      </c>
      <c r="V63" s="481">
        <f t="shared" si="7"/>
        <v>0</v>
      </c>
    </row>
    <row r="64" spans="1:22" ht="19.899999999999999" customHeight="1">
      <c r="A64" s="926"/>
      <c r="B64" s="919"/>
      <c r="C64" s="426">
        <v>45080</v>
      </c>
      <c r="D64" s="428">
        <v>45080</v>
      </c>
      <c r="E64" s="465">
        <v>234</v>
      </c>
      <c r="F64" s="669">
        <v>490</v>
      </c>
      <c r="G64" s="895">
        <v>0</v>
      </c>
      <c r="H64" s="547">
        <v>0</v>
      </c>
      <c r="I64" s="895">
        <v>19</v>
      </c>
      <c r="J64" s="547">
        <v>16</v>
      </c>
      <c r="K64" s="723">
        <f t="shared" si="8"/>
        <v>35</v>
      </c>
      <c r="L64" s="670">
        <v>169</v>
      </c>
      <c r="M64" s="669">
        <v>153</v>
      </c>
      <c r="N64" s="670">
        <v>0</v>
      </c>
      <c r="O64" s="676">
        <v>3</v>
      </c>
      <c r="P64" s="675">
        <v>16</v>
      </c>
      <c r="Q64" s="804">
        <v>341</v>
      </c>
      <c r="R64" s="349">
        <v>0</v>
      </c>
      <c r="S64" s="579">
        <v>0</v>
      </c>
      <c r="T64" s="350">
        <v>0</v>
      </c>
      <c r="U64" s="579">
        <v>0</v>
      </c>
      <c r="V64" s="481">
        <f t="shared" si="7"/>
        <v>0</v>
      </c>
    </row>
    <row r="65" spans="1:22" ht="19.899999999999999" customHeight="1">
      <c r="A65" s="926"/>
      <c r="B65" s="920"/>
      <c r="C65" s="426">
        <v>45081</v>
      </c>
      <c r="D65" s="428">
        <v>45081</v>
      </c>
      <c r="E65" s="472">
        <v>91</v>
      </c>
      <c r="F65" s="677">
        <v>211</v>
      </c>
      <c r="G65" s="894">
        <v>0</v>
      </c>
      <c r="H65" s="549">
        <v>0</v>
      </c>
      <c r="I65" s="894">
        <v>0</v>
      </c>
      <c r="J65" s="549">
        <v>6</v>
      </c>
      <c r="K65" s="723">
        <f t="shared" si="8"/>
        <v>6</v>
      </c>
      <c r="L65" s="678">
        <v>31</v>
      </c>
      <c r="M65" s="677">
        <v>37</v>
      </c>
      <c r="N65" s="678">
        <v>0</v>
      </c>
      <c r="O65" s="681">
        <v>0</v>
      </c>
      <c r="P65" s="680">
        <v>6</v>
      </c>
      <c r="Q65" s="804">
        <v>74</v>
      </c>
      <c r="R65" s="576">
        <v>0</v>
      </c>
      <c r="S65" s="577">
        <v>0</v>
      </c>
      <c r="T65" s="578">
        <v>0</v>
      </c>
      <c r="U65" s="577">
        <v>0</v>
      </c>
      <c r="V65" s="481">
        <f t="shared" si="7"/>
        <v>0</v>
      </c>
    </row>
    <row r="66" spans="1:22" ht="19.5" customHeight="1">
      <c r="A66" s="926"/>
      <c r="B66" s="918">
        <v>24</v>
      </c>
      <c r="C66" s="426">
        <v>45082</v>
      </c>
      <c r="D66" s="428">
        <v>45085</v>
      </c>
      <c r="E66" s="465">
        <v>203</v>
      </c>
      <c r="F66" s="669">
        <v>406</v>
      </c>
      <c r="G66" s="895">
        <v>0</v>
      </c>
      <c r="H66" s="547">
        <v>9</v>
      </c>
      <c r="I66" s="895">
        <v>18</v>
      </c>
      <c r="J66" s="547">
        <v>137</v>
      </c>
      <c r="K66" s="723">
        <f t="shared" si="8"/>
        <v>164</v>
      </c>
      <c r="L66" s="671">
        <v>133</v>
      </c>
      <c r="M66" s="702">
        <v>94</v>
      </c>
      <c r="N66" s="671">
        <v>17</v>
      </c>
      <c r="O66" s="673">
        <v>0</v>
      </c>
      <c r="P66" s="672">
        <v>18</v>
      </c>
      <c r="Q66" s="804">
        <v>262</v>
      </c>
      <c r="R66" s="349">
        <v>0</v>
      </c>
      <c r="S66" s="579">
        <v>0</v>
      </c>
      <c r="T66" s="350">
        <v>0</v>
      </c>
      <c r="U66" s="579">
        <v>0</v>
      </c>
      <c r="V66" s="481">
        <f t="shared" si="7"/>
        <v>0</v>
      </c>
    </row>
    <row r="67" spans="1:22" ht="19.5" customHeight="1">
      <c r="A67" s="926"/>
      <c r="B67" s="919"/>
      <c r="C67" s="426">
        <v>45086</v>
      </c>
      <c r="D67" s="428">
        <v>45086</v>
      </c>
      <c r="E67" s="465">
        <v>37</v>
      </c>
      <c r="F67" s="669">
        <v>83</v>
      </c>
      <c r="G67" s="895">
        <v>0</v>
      </c>
      <c r="H67" s="547">
        <v>0</v>
      </c>
      <c r="I67" s="895">
        <v>15</v>
      </c>
      <c r="J67" s="547">
        <v>13</v>
      </c>
      <c r="K67" s="723">
        <f t="shared" si="8"/>
        <v>28</v>
      </c>
      <c r="L67" s="671">
        <v>9</v>
      </c>
      <c r="M67" s="672">
        <v>6</v>
      </c>
      <c r="N67" s="671">
        <v>3</v>
      </c>
      <c r="O67" s="673">
        <v>0</v>
      </c>
      <c r="P67" s="672">
        <v>0</v>
      </c>
      <c r="Q67" s="804">
        <v>18</v>
      </c>
      <c r="R67" s="349">
        <v>0</v>
      </c>
      <c r="S67" s="579">
        <v>6</v>
      </c>
      <c r="T67" s="350">
        <v>0</v>
      </c>
      <c r="U67" s="579">
        <v>0</v>
      </c>
      <c r="V67" s="481">
        <f t="shared" si="7"/>
        <v>6</v>
      </c>
    </row>
    <row r="68" spans="1:22" ht="19.5" customHeight="1">
      <c r="A68" s="926"/>
      <c r="B68" s="919"/>
      <c r="C68" s="426">
        <v>45087</v>
      </c>
      <c r="D68" s="428">
        <v>45087</v>
      </c>
      <c r="E68" s="678">
        <v>165</v>
      </c>
      <c r="F68" s="677">
        <v>359</v>
      </c>
      <c r="G68" s="894">
        <v>0</v>
      </c>
      <c r="H68" s="549">
        <v>0</v>
      </c>
      <c r="I68" s="894">
        <v>10</v>
      </c>
      <c r="J68" s="549">
        <v>22</v>
      </c>
      <c r="K68" s="723">
        <f t="shared" si="8"/>
        <v>32</v>
      </c>
      <c r="L68" s="691">
        <v>41</v>
      </c>
      <c r="M68" s="693">
        <v>16</v>
      </c>
      <c r="N68" s="691">
        <v>0</v>
      </c>
      <c r="O68" s="692">
        <v>0</v>
      </c>
      <c r="P68" s="693">
        <v>6</v>
      </c>
      <c r="Q68" s="804">
        <v>63</v>
      </c>
      <c r="R68" s="349">
        <v>0</v>
      </c>
      <c r="S68" s="579">
        <v>0</v>
      </c>
      <c r="T68" s="350">
        <v>0</v>
      </c>
      <c r="U68" s="579">
        <v>0</v>
      </c>
      <c r="V68" s="481">
        <f t="shared" si="7"/>
        <v>0</v>
      </c>
    </row>
    <row r="69" spans="1:22" ht="19.5" customHeight="1">
      <c r="A69" s="926"/>
      <c r="B69" s="920"/>
      <c r="C69" s="426">
        <v>45088</v>
      </c>
      <c r="D69" s="428">
        <v>45088</v>
      </c>
      <c r="E69" s="465">
        <v>108</v>
      </c>
      <c r="F69" s="669">
        <v>259</v>
      </c>
      <c r="G69" s="895">
        <v>0</v>
      </c>
      <c r="H69" s="547">
        <v>0</v>
      </c>
      <c r="I69" s="895">
        <v>51</v>
      </c>
      <c r="J69" s="547">
        <v>26</v>
      </c>
      <c r="K69" s="723">
        <f t="shared" si="8"/>
        <v>77</v>
      </c>
      <c r="L69" s="670">
        <v>73</v>
      </c>
      <c r="M69" s="669">
        <v>38</v>
      </c>
      <c r="N69" s="670">
        <v>10</v>
      </c>
      <c r="O69" s="676">
        <v>13</v>
      </c>
      <c r="P69" s="675">
        <v>3</v>
      </c>
      <c r="Q69" s="804">
        <v>137</v>
      </c>
      <c r="R69" s="349">
        <v>0</v>
      </c>
      <c r="S69" s="579">
        <v>0</v>
      </c>
      <c r="T69" s="350">
        <v>0</v>
      </c>
      <c r="U69" s="579">
        <v>0</v>
      </c>
      <c r="V69" s="481">
        <f t="shared" si="7"/>
        <v>0</v>
      </c>
    </row>
    <row r="70" spans="1:22" ht="19.5" customHeight="1">
      <c r="A70" s="926"/>
      <c r="B70" s="918">
        <v>25</v>
      </c>
      <c r="C70" s="426">
        <v>45089</v>
      </c>
      <c r="D70" s="428">
        <v>45092</v>
      </c>
      <c r="E70" s="472">
        <v>461</v>
      </c>
      <c r="F70" s="677">
        <v>873</v>
      </c>
      <c r="G70" s="894">
        <v>0</v>
      </c>
      <c r="H70" s="549">
        <v>0</v>
      </c>
      <c r="I70" s="894">
        <v>288</v>
      </c>
      <c r="J70" s="549">
        <v>60</v>
      </c>
      <c r="K70" s="723">
        <f t="shared" si="8"/>
        <v>348</v>
      </c>
      <c r="L70" s="678">
        <v>319</v>
      </c>
      <c r="M70" s="677">
        <v>307</v>
      </c>
      <c r="N70" s="678">
        <v>66</v>
      </c>
      <c r="O70" s="681">
        <v>18</v>
      </c>
      <c r="P70" s="680">
        <v>42</v>
      </c>
      <c r="Q70" s="804">
        <v>752</v>
      </c>
      <c r="R70" s="349">
        <v>0</v>
      </c>
      <c r="S70" s="579">
        <v>0</v>
      </c>
      <c r="T70" s="350">
        <v>0</v>
      </c>
      <c r="U70" s="579">
        <v>0</v>
      </c>
      <c r="V70" s="481">
        <f t="shared" si="7"/>
        <v>0</v>
      </c>
    </row>
    <row r="71" spans="1:22" ht="19.5" customHeight="1">
      <c r="A71" s="926"/>
      <c r="B71" s="919"/>
      <c r="C71" s="426">
        <v>45093</v>
      </c>
      <c r="D71" s="428">
        <v>45093</v>
      </c>
      <c r="E71" s="465">
        <v>108</v>
      </c>
      <c r="F71" s="669">
        <v>253</v>
      </c>
      <c r="G71" s="895">
        <v>0</v>
      </c>
      <c r="H71" s="547">
        <v>0</v>
      </c>
      <c r="I71" s="895">
        <v>16</v>
      </c>
      <c r="J71" s="547">
        <v>0</v>
      </c>
      <c r="K71" s="723">
        <f t="shared" si="8"/>
        <v>16</v>
      </c>
      <c r="L71" s="670">
        <v>117</v>
      </c>
      <c r="M71" s="669">
        <v>86</v>
      </c>
      <c r="N71" s="670">
        <v>13</v>
      </c>
      <c r="O71" s="676">
        <v>10</v>
      </c>
      <c r="P71" s="675">
        <v>10</v>
      </c>
      <c r="Q71" s="804">
        <v>236</v>
      </c>
      <c r="R71" s="691">
        <v>3</v>
      </c>
      <c r="S71" s="580">
        <v>0</v>
      </c>
      <c r="T71" s="499">
        <v>0</v>
      </c>
      <c r="U71" s="580">
        <v>0</v>
      </c>
      <c r="V71" s="481">
        <f t="shared" si="7"/>
        <v>3</v>
      </c>
    </row>
    <row r="72" spans="1:22" ht="19.5" customHeight="1">
      <c r="A72" s="926"/>
      <c r="B72" s="919"/>
      <c r="C72" s="426">
        <v>45094</v>
      </c>
      <c r="D72" s="428">
        <v>45094</v>
      </c>
      <c r="E72" s="508">
        <v>168</v>
      </c>
      <c r="F72" s="688">
        <v>389</v>
      </c>
      <c r="G72" s="550">
        <v>0</v>
      </c>
      <c r="H72" s="551">
        <v>0</v>
      </c>
      <c r="I72" s="550">
        <v>47</v>
      </c>
      <c r="J72" s="551">
        <v>44</v>
      </c>
      <c r="K72" s="723">
        <f t="shared" si="8"/>
        <v>91</v>
      </c>
      <c r="L72" s="687">
        <v>190</v>
      </c>
      <c r="M72" s="688">
        <v>186</v>
      </c>
      <c r="N72" s="687">
        <v>31</v>
      </c>
      <c r="O72" s="690">
        <v>0</v>
      </c>
      <c r="P72" s="689">
        <v>10</v>
      </c>
      <c r="Q72" s="804">
        <v>417</v>
      </c>
      <c r="R72" s="691">
        <v>0</v>
      </c>
      <c r="S72" s="580">
        <v>0</v>
      </c>
      <c r="T72" s="499">
        <v>0</v>
      </c>
      <c r="U72" s="580">
        <v>0</v>
      </c>
      <c r="V72" s="481">
        <f t="shared" si="7"/>
        <v>0</v>
      </c>
    </row>
    <row r="73" spans="1:22" ht="19.5" customHeight="1">
      <c r="A73" s="926"/>
      <c r="B73" s="920"/>
      <c r="C73" s="426">
        <v>45095</v>
      </c>
      <c r="D73" s="428">
        <v>45096</v>
      </c>
      <c r="E73" s="472">
        <v>192</v>
      </c>
      <c r="F73" s="677">
        <v>434</v>
      </c>
      <c r="G73" s="894">
        <v>0</v>
      </c>
      <c r="H73" s="549">
        <v>6</v>
      </c>
      <c r="I73" s="894">
        <v>6</v>
      </c>
      <c r="J73" s="549">
        <v>13</v>
      </c>
      <c r="K73" s="723">
        <f t="shared" si="8"/>
        <v>25</v>
      </c>
      <c r="L73" s="678">
        <v>201</v>
      </c>
      <c r="M73" s="677">
        <v>130</v>
      </c>
      <c r="N73" s="678">
        <v>0</v>
      </c>
      <c r="O73" s="681">
        <v>0</v>
      </c>
      <c r="P73" s="680">
        <v>41</v>
      </c>
      <c r="Q73" s="804">
        <v>372</v>
      </c>
      <c r="R73" s="691">
        <v>6</v>
      </c>
      <c r="S73" s="580">
        <v>0</v>
      </c>
      <c r="T73" s="499">
        <v>0</v>
      </c>
      <c r="U73" s="580">
        <v>0</v>
      </c>
      <c r="V73" s="481">
        <f t="shared" si="7"/>
        <v>6</v>
      </c>
    </row>
    <row r="74" spans="1:22" ht="19.5" customHeight="1">
      <c r="A74" s="926"/>
      <c r="B74" s="918">
        <v>26</v>
      </c>
      <c r="C74" s="426">
        <v>45097</v>
      </c>
      <c r="D74" s="428">
        <v>45099</v>
      </c>
      <c r="E74" s="472">
        <v>330</v>
      </c>
      <c r="F74" s="677">
        <v>685</v>
      </c>
      <c r="G74" s="894">
        <v>30</v>
      </c>
      <c r="H74" s="549">
        <v>0</v>
      </c>
      <c r="I74" s="894">
        <v>145</v>
      </c>
      <c r="J74" s="549">
        <v>258</v>
      </c>
      <c r="K74" s="723">
        <f t="shared" si="8"/>
        <v>433</v>
      </c>
      <c r="L74" s="678">
        <v>554</v>
      </c>
      <c r="M74" s="680">
        <v>366</v>
      </c>
      <c r="N74" s="678">
        <v>53</v>
      </c>
      <c r="O74" s="681">
        <v>13</v>
      </c>
      <c r="P74" s="680">
        <v>39</v>
      </c>
      <c r="Q74" s="804">
        <v>1025</v>
      </c>
      <c r="R74" s="691">
        <v>13</v>
      </c>
      <c r="S74" s="580">
        <v>0</v>
      </c>
      <c r="T74" s="499">
        <v>0</v>
      </c>
      <c r="U74" s="580">
        <v>0</v>
      </c>
      <c r="V74" s="481">
        <f t="shared" si="7"/>
        <v>13</v>
      </c>
    </row>
    <row r="75" spans="1:22" ht="19.5" customHeight="1">
      <c r="A75" s="926"/>
      <c r="B75" s="919"/>
      <c r="C75" s="426">
        <v>45100</v>
      </c>
      <c r="D75" s="428">
        <v>45100</v>
      </c>
      <c r="E75" s="472">
        <v>123</v>
      </c>
      <c r="F75" s="677">
        <v>219</v>
      </c>
      <c r="G75" s="894">
        <v>0</v>
      </c>
      <c r="H75" s="549">
        <v>0</v>
      </c>
      <c r="I75" s="894">
        <v>19</v>
      </c>
      <c r="J75" s="549">
        <v>10</v>
      </c>
      <c r="K75" s="723">
        <f t="shared" si="8"/>
        <v>29</v>
      </c>
      <c r="L75" s="678">
        <v>77</v>
      </c>
      <c r="M75" s="680">
        <v>75</v>
      </c>
      <c r="N75" s="678">
        <v>0</v>
      </c>
      <c r="O75" s="681">
        <v>0</v>
      </c>
      <c r="P75" s="680">
        <v>41</v>
      </c>
      <c r="Q75" s="804">
        <v>193</v>
      </c>
      <c r="R75" s="691">
        <v>0</v>
      </c>
      <c r="S75" s="580">
        <v>0</v>
      </c>
      <c r="T75" s="499">
        <v>0</v>
      </c>
      <c r="U75" s="580">
        <v>0</v>
      </c>
      <c r="V75" s="481">
        <f t="shared" si="7"/>
        <v>0</v>
      </c>
    </row>
    <row r="76" spans="1:22" ht="19.5" customHeight="1">
      <c r="A76" s="926"/>
      <c r="B76" s="919"/>
      <c r="C76" s="426">
        <v>45101</v>
      </c>
      <c r="D76" s="428">
        <v>45101</v>
      </c>
      <c r="E76" s="678">
        <v>172</v>
      </c>
      <c r="F76" s="677">
        <v>359</v>
      </c>
      <c r="G76" s="894">
        <v>3</v>
      </c>
      <c r="H76" s="549">
        <v>0</v>
      </c>
      <c r="I76" s="894">
        <v>23</v>
      </c>
      <c r="J76" s="549">
        <v>19</v>
      </c>
      <c r="K76" s="723">
        <f t="shared" si="8"/>
        <v>45</v>
      </c>
      <c r="L76" s="678">
        <v>146</v>
      </c>
      <c r="M76" s="680">
        <v>72</v>
      </c>
      <c r="N76" s="678">
        <v>10</v>
      </c>
      <c r="O76" s="681">
        <v>13</v>
      </c>
      <c r="P76" s="680">
        <v>23</v>
      </c>
      <c r="Q76" s="804">
        <v>264</v>
      </c>
      <c r="R76" s="703">
        <v>0</v>
      </c>
      <c r="S76" s="704">
        <v>0</v>
      </c>
      <c r="T76" s="705">
        <v>0</v>
      </c>
      <c r="U76" s="704">
        <v>0</v>
      </c>
      <c r="V76" s="481">
        <f t="shared" si="7"/>
        <v>0</v>
      </c>
    </row>
    <row r="77" spans="1:22" ht="19.5" customHeight="1">
      <c r="A77" s="926"/>
      <c r="B77" s="920"/>
      <c r="C77" s="426">
        <v>45102</v>
      </c>
      <c r="D77" s="428">
        <v>45102</v>
      </c>
      <c r="E77" s="465">
        <v>291</v>
      </c>
      <c r="F77" s="669">
        <v>670</v>
      </c>
      <c r="G77" s="895">
        <v>3</v>
      </c>
      <c r="H77" s="547">
        <v>0</v>
      </c>
      <c r="I77" s="895">
        <v>13</v>
      </c>
      <c r="J77" s="547">
        <v>6</v>
      </c>
      <c r="K77" s="723">
        <f t="shared" si="8"/>
        <v>22</v>
      </c>
      <c r="L77" s="670">
        <v>323</v>
      </c>
      <c r="M77" s="675">
        <v>300</v>
      </c>
      <c r="N77" s="670">
        <v>19</v>
      </c>
      <c r="O77" s="676">
        <v>16</v>
      </c>
      <c r="P77" s="675">
        <v>19</v>
      </c>
      <c r="Q77" s="804">
        <v>677</v>
      </c>
      <c r="R77" s="691">
        <v>12</v>
      </c>
      <c r="S77" s="580">
        <v>0</v>
      </c>
      <c r="T77" s="499">
        <v>0</v>
      </c>
      <c r="U77" s="580">
        <v>0</v>
      </c>
      <c r="V77" s="481">
        <f t="shared" si="7"/>
        <v>12</v>
      </c>
    </row>
    <row r="78" spans="1:22" ht="19.5" customHeight="1">
      <c r="A78" s="926"/>
      <c r="B78" s="918">
        <v>27</v>
      </c>
      <c r="C78" s="426">
        <v>45103</v>
      </c>
      <c r="D78" s="428">
        <v>45106</v>
      </c>
      <c r="E78" s="465">
        <v>449</v>
      </c>
      <c r="F78" s="669">
        <v>849</v>
      </c>
      <c r="G78" s="895">
        <v>0</v>
      </c>
      <c r="H78" s="547">
        <v>0</v>
      </c>
      <c r="I78" s="895">
        <v>9</v>
      </c>
      <c r="J78" s="547">
        <v>18</v>
      </c>
      <c r="K78" s="723">
        <f t="shared" si="8"/>
        <v>27</v>
      </c>
      <c r="L78" s="670">
        <v>334</v>
      </c>
      <c r="M78" s="675">
        <v>135</v>
      </c>
      <c r="N78" s="670">
        <v>26</v>
      </c>
      <c r="O78" s="676">
        <v>18</v>
      </c>
      <c r="P78" s="675">
        <v>529</v>
      </c>
      <c r="Q78" s="804">
        <v>1042</v>
      </c>
      <c r="R78" s="571">
        <v>0</v>
      </c>
      <c r="S78" s="572">
        <v>32</v>
      </c>
      <c r="T78" s="574">
        <v>0</v>
      </c>
      <c r="U78" s="572">
        <v>0</v>
      </c>
      <c r="V78" s="481">
        <f t="shared" si="7"/>
        <v>32</v>
      </c>
    </row>
    <row r="79" spans="1:22" ht="19.5" customHeight="1">
      <c r="A79" s="926"/>
      <c r="B79" s="919"/>
      <c r="C79" s="444">
        <v>45107</v>
      </c>
      <c r="D79" s="445">
        <v>45107</v>
      </c>
      <c r="E79" s="509">
        <v>79</v>
      </c>
      <c r="F79" s="479">
        <v>165</v>
      </c>
      <c r="G79" s="552">
        <v>0</v>
      </c>
      <c r="H79" s="553">
        <v>0</v>
      </c>
      <c r="I79" s="552">
        <v>6</v>
      </c>
      <c r="J79" s="553">
        <v>6</v>
      </c>
      <c r="K79" s="723">
        <f t="shared" si="8"/>
        <v>12</v>
      </c>
      <c r="L79" s="682">
        <v>83</v>
      </c>
      <c r="M79" s="683">
        <v>38</v>
      </c>
      <c r="N79" s="682">
        <v>6</v>
      </c>
      <c r="O79" s="684">
        <v>0</v>
      </c>
      <c r="P79" s="683">
        <v>13</v>
      </c>
      <c r="Q79" s="804">
        <v>140</v>
      </c>
      <c r="R79" s="703">
        <v>0</v>
      </c>
      <c r="S79" s="704">
        <v>0</v>
      </c>
      <c r="T79" s="705">
        <v>0</v>
      </c>
      <c r="U79" s="704">
        <v>0</v>
      </c>
      <c r="V79" s="481">
        <f t="shared" si="7"/>
        <v>0</v>
      </c>
    </row>
    <row r="80" spans="1:22" ht="19.5" customHeight="1">
      <c r="A80" s="926"/>
      <c r="B80" s="919"/>
      <c r="C80" s="667">
        <v>45108</v>
      </c>
      <c r="D80" s="668">
        <v>45108</v>
      </c>
      <c r="E80" s="472">
        <v>260</v>
      </c>
      <c r="F80" s="677">
        <v>679</v>
      </c>
      <c r="G80" s="894">
        <v>10</v>
      </c>
      <c r="H80" s="549">
        <v>0</v>
      </c>
      <c r="I80" s="894">
        <v>37</v>
      </c>
      <c r="J80" s="549">
        <v>16</v>
      </c>
      <c r="K80" s="723">
        <f t="shared" si="8"/>
        <v>63</v>
      </c>
      <c r="L80" s="678">
        <v>110</v>
      </c>
      <c r="M80" s="680">
        <v>87</v>
      </c>
      <c r="N80" s="678">
        <v>6</v>
      </c>
      <c r="O80" s="681">
        <v>0</v>
      </c>
      <c r="P80" s="680">
        <v>23</v>
      </c>
      <c r="Q80" s="804">
        <v>226</v>
      </c>
      <c r="R80" s="703">
        <v>6</v>
      </c>
      <c r="S80" s="704">
        <v>0</v>
      </c>
      <c r="T80" s="705">
        <v>0</v>
      </c>
      <c r="U80" s="704">
        <v>0</v>
      </c>
      <c r="V80" s="481">
        <f>SUM(R80:U80)</f>
        <v>6</v>
      </c>
    </row>
    <row r="81" spans="1:22" ht="19.5" customHeight="1">
      <c r="A81" s="927"/>
      <c r="B81" s="921"/>
      <c r="C81" s="383">
        <v>45109</v>
      </c>
      <c r="D81" s="384">
        <v>45109</v>
      </c>
      <c r="E81" s="510">
        <v>505</v>
      </c>
      <c r="F81" s="468">
        <v>1217</v>
      </c>
      <c r="G81" s="896">
        <v>0</v>
      </c>
      <c r="H81" s="554">
        <v>8</v>
      </c>
      <c r="I81" s="896">
        <v>4</v>
      </c>
      <c r="J81" s="554">
        <v>40</v>
      </c>
      <c r="K81" s="724">
        <f t="shared" si="8"/>
        <v>52</v>
      </c>
      <c r="L81" s="674">
        <v>364</v>
      </c>
      <c r="M81" s="685">
        <v>472</v>
      </c>
      <c r="N81" s="674">
        <v>4</v>
      </c>
      <c r="O81" s="686">
        <v>23</v>
      </c>
      <c r="P81" s="685">
        <v>71</v>
      </c>
      <c r="Q81" s="847">
        <v>934</v>
      </c>
      <c r="R81" s="573">
        <v>0</v>
      </c>
      <c r="S81" s="570">
        <v>9</v>
      </c>
      <c r="T81" s="573">
        <v>0</v>
      </c>
      <c r="U81" s="570">
        <v>0</v>
      </c>
      <c r="V81" s="471">
        <f t="shared" ref="V81:V118" si="9">SUM(R81:U81)</f>
        <v>9</v>
      </c>
    </row>
    <row r="82" spans="1:22" ht="19.5" customHeight="1">
      <c r="A82" s="1085" t="s">
        <v>42</v>
      </c>
      <c r="B82" s="918">
        <v>28</v>
      </c>
      <c r="C82" s="667">
        <v>45110</v>
      </c>
      <c r="D82" s="668">
        <v>45113</v>
      </c>
      <c r="E82" s="465">
        <v>373</v>
      </c>
      <c r="F82" s="669">
        <v>681</v>
      </c>
      <c r="G82" s="670">
        <v>0</v>
      </c>
      <c r="H82" s="669">
        <v>0</v>
      </c>
      <c r="I82" s="670">
        <v>32</v>
      </c>
      <c r="J82" s="669">
        <v>16</v>
      </c>
      <c r="K82" s="722">
        <f t="shared" si="8"/>
        <v>48</v>
      </c>
      <c r="L82" s="670">
        <v>443</v>
      </c>
      <c r="M82" s="675">
        <v>411</v>
      </c>
      <c r="N82" s="670">
        <v>32</v>
      </c>
      <c r="O82" s="676">
        <v>0</v>
      </c>
      <c r="P82" s="675">
        <v>16</v>
      </c>
      <c r="Q82" s="846">
        <v>902</v>
      </c>
      <c r="R82" s="571">
        <v>0</v>
      </c>
      <c r="S82" s="572">
        <v>0</v>
      </c>
      <c r="T82" s="574">
        <v>0</v>
      </c>
      <c r="U82" s="572">
        <v>0</v>
      </c>
      <c r="V82" s="482">
        <f t="shared" si="9"/>
        <v>0</v>
      </c>
    </row>
    <row r="83" spans="1:22" ht="19.5" customHeight="1">
      <c r="A83" s="1086"/>
      <c r="B83" s="919"/>
      <c r="C83" s="379">
        <v>45114</v>
      </c>
      <c r="D83" s="380">
        <v>45114</v>
      </c>
      <c r="E83" s="472">
        <v>183</v>
      </c>
      <c r="F83" s="677">
        <v>354</v>
      </c>
      <c r="G83" s="678">
        <v>0</v>
      </c>
      <c r="H83" s="677">
        <v>0</v>
      </c>
      <c r="I83" s="678">
        <v>0</v>
      </c>
      <c r="J83" s="677">
        <v>0</v>
      </c>
      <c r="K83" s="723">
        <f t="shared" si="8"/>
        <v>0</v>
      </c>
      <c r="L83" s="678">
        <v>174</v>
      </c>
      <c r="M83" s="680">
        <v>162</v>
      </c>
      <c r="N83" s="678">
        <v>8</v>
      </c>
      <c r="O83" s="681">
        <v>12</v>
      </c>
      <c r="P83" s="680">
        <v>66</v>
      </c>
      <c r="Q83" s="804">
        <v>422</v>
      </c>
      <c r="R83" s="703">
        <v>0</v>
      </c>
      <c r="S83" s="704">
        <v>4</v>
      </c>
      <c r="T83" s="705">
        <v>0</v>
      </c>
      <c r="U83" s="704">
        <v>0</v>
      </c>
      <c r="V83" s="481">
        <f t="shared" si="9"/>
        <v>4</v>
      </c>
    </row>
    <row r="84" spans="1:22" ht="19.5" customHeight="1">
      <c r="A84" s="1086"/>
      <c r="B84" s="919"/>
      <c r="C84" s="667">
        <v>45115</v>
      </c>
      <c r="D84" s="668">
        <v>45115</v>
      </c>
      <c r="E84" s="472">
        <v>371</v>
      </c>
      <c r="F84" s="677">
        <v>858</v>
      </c>
      <c r="G84" s="678">
        <v>4</v>
      </c>
      <c r="H84" s="677">
        <v>0</v>
      </c>
      <c r="I84" s="678">
        <v>31</v>
      </c>
      <c r="J84" s="677">
        <v>13</v>
      </c>
      <c r="K84" s="723">
        <f t="shared" si="8"/>
        <v>48</v>
      </c>
      <c r="L84" s="678">
        <v>508</v>
      </c>
      <c r="M84" s="680">
        <v>647</v>
      </c>
      <c r="N84" s="678">
        <v>74</v>
      </c>
      <c r="O84" s="681">
        <v>48</v>
      </c>
      <c r="P84" s="680">
        <v>226</v>
      </c>
      <c r="Q84" s="804">
        <v>1503</v>
      </c>
      <c r="R84" s="703">
        <v>0</v>
      </c>
      <c r="S84" s="704">
        <v>0</v>
      </c>
      <c r="T84" s="705">
        <v>0</v>
      </c>
      <c r="U84" s="704">
        <v>0</v>
      </c>
      <c r="V84" s="481">
        <f t="shared" si="9"/>
        <v>0</v>
      </c>
    </row>
    <row r="85" spans="1:22" ht="19.5" customHeight="1">
      <c r="A85" s="1086"/>
      <c r="B85" s="920"/>
      <c r="C85" s="379">
        <v>45116</v>
      </c>
      <c r="D85" s="380">
        <v>45116</v>
      </c>
      <c r="E85" s="472">
        <v>850</v>
      </c>
      <c r="F85" s="677">
        <v>1969</v>
      </c>
      <c r="G85" s="678">
        <v>36</v>
      </c>
      <c r="H85" s="677">
        <v>0</v>
      </c>
      <c r="I85" s="678">
        <v>48</v>
      </c>
      <c r="J85" s="677">
        <v>45</v>
      </c>
      <c r="K85" s="723">
        <f t="shared" si="8"/>
        <v>129</v>
      </c>
      <c r="L85" s="678">
        <v>914</v>
      </c>
      <c r="M85" s="680">
        <v>1079</v>
      </c>
      <c r="N85" s="678">
        <v>78</v>
      </c>
      <c r="O85" s="681">
        <v>52</v>
      </c>
      <c r="P85" s="680">
        <v>309</v>
      </c>
      <c r="Q85" s="804">
        <v>2432</v>
      </c>
      <c r="R85" s="703">
        <v>0</v>
      </c>
      <c r="S85" s="704">
        <v>4</v>
      </c>
      <c r="T85" s="705">
        <v>0</v>
      </c>
      <c r="U85" s="704">
        <v>0</v>
      </c>
      <c r="V85" s="481">
        <f t="shared" si="9"/>
        <v>4</v>
      </c>
    </row>
    <row r="86" spans="1:22" ht="19.5" customHeight="1">
      <c r="A86" s="1086"/>
      <c r="B86" s="918">
        <v>29</v>
      </c>
      <c r="C86" s="383">
        <v>45117</v>
      </c>
      <c r="D86" s="384">
        <v>45119</v>
      </c>
      <c r="E86" s="674">
        <v>376</v>
      </c>
      <c r="F86" s="468">
        <v>790</v>
      </c>
      <c r="G86" s="674">
        <v>0</v>
      </c>
      <c r="H86" s="468">
        <v>0</v>
      </c>
      <c r="I86" s="674">
        <v>53</v>
      </c>
      <c r="J86" s="468">
        <v>24</v>
      </c>
      <c r="K86" s="790">
        <f t="shared" si="8"/>
        <v>77</v>
      </c>
      <c r="L86" s="678">
        <v>449</v>
      </c>
      <c r="M86" s="680">
        <v>554</v>
      </c>
      <c r="N86" s="678">
        <v>0</v>
      </c>
      <c r="O86" s="681">
        <v>36</v>
      </c>
      <c r="P86" s="680">
        <v>447</v>
      </c>
      <c r="Q86" s="804">
        <v>1486</v>
      </c>
      <c r="R86" s="703">
        <v>0</v>
      </c>
      <c r="S86" s="704">
        <v>0</v>
      </c>
      <c r="T86" s="705">
        <v>0</v>
      </c>
      <c r="U86" s="704">
        <v>0</v>
      </c>
      <c r="V86" s="481">
        <f t="shared" si="9"/>
        <v>0</v>
      </c>
    </row>
    <row r="87" spans="1:22" ht="19.5" customHeight="1">
      <c r="A87" s="1086"/>
      <c r="B87" s="919"/>
      <c r="C87" s="379">
        <v>45120</v>
      </c>
      <c r="D87" s="380">
        <v>45120</v>
      </c>
      <c r="E87" s="670">
        <v>349</v>
      </c>
      <c r="F87" s="669">
        <v>710</v>
      </c>
      <c r="G87" s="670">
        <v>93</v>
      </c>
      <c r="H87" s="669">
        <v>0</v>
      </c>
      <c r="I87" s="670">
        <v>197</v>
      </c>
      <c r="J87" s="669">
        <v>116</v>
      </c>
      <c r="K87" s="892">
        <v>406</v>
      </c>
      <c r="L87" s="678">
        <v>388</v>
      </c>
      <c r="M87" s="680">
        <v>297</v>
      </c>
      <c r="N87" s="678">
        <v>40</v>
      </c>
      <c r="O87" s="681">
        <v>48</v>
      </c>
      <c r="P87" s="680">
        <v>310</v>
      </c>
      <c r="Q87" s="804">
        <v>1083</v>
      </c>
      <c r="R87" s="703">
        <v>0</v>
      </c>
      <c r="S87" s="704">
        <v>0</v>
      </c>
      <c r="T87" s="705">
        <v>0</v>
      </c>
      <c r="U87" s="704">
        <v>0</v>
      </c>
      <c r="V87" s="481">
        <f t="shared" si="9"/>
        <v>0</v>
      </c>
    </row>
    <row r="88" spans="1:22" ht="19.5" customHeight="1">
      <c r="A88" s="1086"/>
      <c r="B88" s="919"/>
      <c r="C88" s="379">
        <v>45121</v>
      </c>
      <c r="D88" s="380">
        <v>45121</v>
      </c>
      <c r="E88" s="678">
        <v>267</v>
      </c>
      <c r="F88" s="677">
        <v>529</v>
      </c>
      <c r="G88" s="678">
        <v>66</v>
      </c>
      <c r="H88" s="677">
        <v>0</v>
      </c>
      <c r="I88" s="678">
        <v>141</v>
      </c>
      <c r="J88" s="677">
        <v>83</v>
      </c>
      <c r="K88" s="723">
        <v>290</v>
      </c>
      <c r="L88" s="678">
        <v>217</v>
      </c>
      <c r="M88" s="680">
        <v>290</v>
      </c>
      <c r="N88" s="678">
        <v>52</v>
      </c>
      <c r="O88" s="681">
        <v>16</v>
      </c>
      <c r="P88" s="680">
        <v>108</v>
      </c>
      <c r="Q88" s="804">
        <v>683</v>
      </c>
      <c r="R88" s="703">
        <v>0</v>
      </c>
      <c r="S88" s="704">
        <v>0</v>
      </c>
      <c r="T88" s="705">
        <v>0</v>
      </c>
      <c r="U88" s="704">
        <v>0</v>
      </c>
      <c r="V88" s="481">
        <f t="shared" si="9"/>
        <v>0</v>
      </c>
    </row>
    <row r="89" spans="1:22" ht="19.5" customHeight="1">
      <c r="A89" s="1086"/>
      <c r="B89" s="919"/>
      <c r="C89" s="379">
        <v>45122</v>
      </c>
      <c r="D89" s="380">
        <v>45122</v>
      </c>
      <c r="E89" s="678">
        <v>389</v>
      </c>
      <c r="F89" s="677">
        <v>910</v>
      </c>
      <c r="G89" s="678">
        <v>135</v>
      </c>
      <c r="H89" s="677">
        <v>8</v>
      </c>
      <c r="I89" s="678">
        <v>287</v>
      </c>
      <c r="J89" s="677">
        <v>161</v>
      </c>
      <c r="K89" s="723">
        <v>591</v>
      </c>
      <c r="L89" s="678">
        <v>311</v>
      </c>
      <c r="M89" s="680">
        <v>337</v>
      </c>
      <c r="N89" s="678">
        <v>18</v>
      </c>
      <c r="O89" s="681">
        <v>15</v>
      </c>
      <c r="P89" s="680">
        <v>120</v>
      </c>
      <c r="Q89" s="804">
        <v>801</v>
      </c>
      <c r="R89" s="703">
        <v>3</v>
      </c>
      <c r="S89" s="704">
        <v>0</v>
      </c>
      <c r="T89" s="705">
        <v>3</v>
      </c>
      <c r="U89" s="704">
        <v>0</v>
      </c>
      <c r="V89" s="481">
        <f t="shared" si="9"/>
        <v>6</v>
      </c>
    </row>
    <row r="90" spans="1:22" ht="19.5" customHeight="1">
      <c r="A90" s="1086"/>
      <c r="B90" s="920"/>
      <c r="C90" s="667">
        <v>45123</v>
      </c>
      <c r="D90" s="668">
        <v>45123</v>
      </c>
      <c r="E90" s="670">
        <v>652</v>
      </c>
      <c r="F90" s="669">
        <v>1563</v>
      </c>
      <c r="G90" s="670">
        <v>124</v>
      </c>
      <c r="H90" s="669">
        <v>0</v>
      </c>
      <c r="I90" s="670">
        <v>264</v>
      </c>
      <c r="J90" s="669">
        <v>156</v>
      </c>
      <c r="K90" s="723">
        <v>543</v>
      </c>
      <c r="L90" s="670">
        <v>252</v>
      </c>
      <c r="M90" s="675">
        <v>290</v>
      </c>
      <c r="N90" s="670">
        <v>49</v>
      </c>
      <c r="O90" s="676">
        <v>46</v>
      </c>
      <c r="P90" s="675">
        <v>174</v>
      </c>
      <c r="Q90" s="804">
        <v>811</v>
      </c>
      <c r="R90" s="703">
        <v>0</v>
      </c>
      <c r="S90" s="704">
        <v>0</v>
      </c>
      <c r="T90" s="705">
        <v>0</v>
      </c>
      <c r="U90" s="704">
        <v>0</v>
      </c>
      <c r="V90" s="481">
        <f t="shared" si="9"/>
        <v>0</v>
      </c>
    </row>
    <row r="91" spans="1:22" ht="19.5" customHeight="1">
      <c r="A91" s="1086"/>
      <c r="B91" s="1102">
        <v>30</v>
      </c>
      <c r="C91" s="667">
        <v>45124</v>
      </c>
      <c r="D91" s="668">
        <v>45127</v>
      </c>
      <c r="E91" s="678">
        <v>967</v>
      </c>
      <c r="F91" s="677">
        <v>1954</v>
      </c>
      <c r="G91" s="678">
        <v>139</v>
      </c>
      <c r="H91" s="677">
        <v>0</v>
      </c>
      <c r="I91" s="678">
        <v>295</v>
      </c>
      <c r="J91" s="677">
        <v>174</v>
      </c>
      <c r="K91" s="723">
        <v>608</v>
      </c>
      <c r="L91" s="678">
        <v>352</v>
      </c>
      <c r="M91" s="680">
        <v>360</v>
      </c>
      <c r="N91" s="678">
        <v>68</v>
      </c>
      <c r="O91" s="681">
        <v>34</v>
      </c>
      <c r="P91" s="680">
        <v>237</v>
      </c>
      <c r="Q91" s="804">
        <v>1051</v>
      </c>
      <c r="R91" s="703">
        <v>0</v>
      </c>
      <c r="S91" s="704">
        <v>0</v>
      </c>
      <c r="T91" s="705">
        <v>0</v>
      </c>
      <c r="U91" s="704">
        <v>0</v>
      </c>
      <c r="V91" s="481">
        <f t="shared" si="9"/>
        <v>0</v>
      </c>
    </row>
    <row r="92" spans="1:22" ht="19.5" customHeight="1">
      <c r="A92" s="1086"/>
      <c r="B92" s="1083"/>
      <c r="C92" s="667">
        <v>45128</v>
      </c>
      <c r="D92" s="668">
        <v>45128</v>
      </c>
      <c r="E92" s="678">
        <v>293</v>
      </c>
      <c r="F92" s="677">
        <v>587</v>
      </c>
      <c r="G92" s="678">
        <v>53</v>
      </c>
      <c r="H92" s="677">
        <v>0</v>
      </c>
      <c r="I92" s="678">
        <v>113</v>
      </c>
      <c r="J92" s="677">
        <v>67</v>
      </c>
      <c r="K92" s="723">
        <v>234</v>
      </c>
      <c r="L92" s="678">
        <v>112</v>
      </c>
      <c r="M92" s="680">
        <v>134</v>
      </c>
      <c r="N92" s="678">
        <v>27</v>
      </c>
      <c r="O92" s="681">
        <v>35</v>
      </c>
      <c r="P92" s="680">
        <v>52</v>
      </c>
      <c r="Q92" s="804">
        <v>360</v>
      </c>
      <c r="R92" s="703">
        <v>3</v>
      </c>
      <c r="S92" s="704">
        <v>0</v>
      </c>
      <c r="T92" s="705">
        <v>6</v>
      </c>
      <c r="U92" s="704">
        <v>0</v>
      </c>
      <c r="V92" s="481">
        <f t="shared" si="9"/>
        <v>9</v>
      </c>
    </row>
    <row r="93" spans="1:22" ht="19.5" customHeight="1">
      <c r="A93" s="1086"/>
      <c r="B93" s="1083"/>
      <c r="C93" s="667">
        <v>45129</v>
      </c>
      <c r="D93" s="668">
        <v>45129</v>
      </c>
      <c r="E93" s="678">
        <v>345</v>
      </c>
      <c r="F93" s="677">
        <v>786</v>
      </c>
      <c r="G93" s="678">
        <v>45</v>
      </c>
      <c r="H93" s="677">
        <v>0</v>
      </c>
      <c r="I93" s="678">
        <v>97</v>
      </c>
      <c r="J93" s="677">
        <v>57</v>
      </c>
      <c r="K93" s="723">
        <v>199</v>
      </c>
      <c r="L93" s="678">
        <v>224</v>
      </c>
      <c r="M93" s="680">
        <v>265</v>
      </c>
      <c r="N93" s="678">
        <v>91</v>
      </c>
      <c r="O93" s="681">
        <v>62</v>
      </c>
      <c r="P93" s="680">
        <v>65</v>
      </c>
      <c r="Q93" s="804">
        <v>707</v>
      </c>
      <c r="R93" s="703">
        <v>8</v>
      </c>
      <c r="S93" s="704">
        <v>0</v>
      </c>
      <c r="T93" s="705">
        <v>0</v>
      </c>
      <c r="U93" s="704">
        <v>0</v>
      </c>
      <c r="V93" s="481">
        <f t="shared" si="9"/>
        <v>8</v>
      </c>
    </row>
    <row r="94" spans="1:22" ht="19.5" customHeight="1">
      <c r="A94" s="1086"/>
      <c r="B94" s="1098"/>
      <c r="C94" s="667">
        <v>45130</v>
      </c>
      <c r="D94" s="668">
        <v>45130</v>
      </c>
      <c r="E94" s="678">
        <v>610</v>
      </c>
      <c r="F94" s="677">
        <v>1433</v>
      </c>
      <c r="G94" s="678">
        <v>85</v>
      </c>
      <c r="H94" s="677">
        <v>0</v>
      </c>
      <c r="I94" s="678">
        <v>181</v>
      </c>
      <c r="J94" s="677">
        <v>107</v>
      </c>
      <c r="K94" s="723">
        <v>373</v>
      </c>
      <c r="L94" s="678">
        <v>258</v>
      </c>
      <c r="M94" s="680">
        <v>317</v>
      </c>
      <c r="N94" s="678">
        <v>106</v>
      </c>
      <c r="O94" s="681">
        <v>63</v>
      </c>
      <c r="P94" s="680">
        <v>136</v>
      </c>
      <c r="Q94" s="804">
        <v>880</v>
      </c>
      <c r="R94" s="703">
        <v>32</v>
      </c>
      <c r="S94" s="704">
        <v>20</v>
      </c>
      <c r="T94" s="705">
        <v>0</v>
      </c>
      <c r="U94" s="704">
        <v>0</v>
      </c>
      <c r="V94" s="481">
        <f t="shared" si="9"/>
        <v>52</v>
      </c>
    </row>
    <row r="95" spans="1:22" ht="19.5" customHeight="1">
      <c r="A95" s="1086"/>
      <c r="B95" s="1102">
        <v>31</v>
      </c>
      <c r="C95" s="379">
        <v>45131</v>
      </c>
      <c r="D95" s="380">
        <v>45134</v>
      </c>
      <c r="E95" s="670">
        <v>1191</v>
      </c>
      <c r="F95" s="669">
        <v>2180</v>
      </c>
      <c r="G95" s="670">
        <v>287</v>
      </c>
      <c r="H95" s="669">
        <v>0</v>
      </c>
      <c r="I95" s="670">
        <v>610</v>
      </c>
      <c r="J95" s="669">
        <v>360</v>
      </c>
      <c r="K95" s="723">
        <v>1257</v>
      </c>
      <c r="L95" s="670">
        <v>445</v>
      </c>
      <c r="M95" s="675">
        <v>742</v>
      </c>
      <c r="N95" s="670">
        <v>74</v>
      </c>
      <c r="O95" s="676">
        <v>141</v>
      </c>
      <c r="P95" s="675">
        <v>273</v>
      </c>
      <c r="Q95" s="804">
        <v>1675</v>
      </c>
      <c r="R95" s="703">
        <v>234</v>
      </c>
      <c r="S95" s="704">
        <v>67</v>
      </c>
      <c r="T95" s="705">
        <v>0</v>
      </c>
      <c r="U95" s="704">
        <v>0</v>
      </c>
      <c r="V95" s="481">
        <f t="shared" si="9"/>
        <v>301</v>
      </c>
    </row>
    <row r="96" spans="1:22" ht="19.5" customHeight="1">
      <c r="A96" s="1086"/>
      <c r="B96" s="1083"/>
      <c r="C96" s="379">
        <v>45135</v>
      </c>
      <c r="D96" s="380">
        <v>45135</v>
      </c>
      <c r="E96" s="678">
        <v>299</v>
      </c>
      <c r="F96" s="677">
        <v>546</v>
      </c>
      <c r="G96" s="678">
        <v>88</v>
      </c>
      <c r="H96" s="677">
        <v>0</v>
      </c>
      <c r="I96" s="678">
        <v>188</v>
      </c>
      <c r="J96" s="677">
        <v>111</v>
      </c>
      <c r="K96" s="723">
        <v>386</v>
      </c>
      <c r="L96" s="678">
        <v>69</v>
      </c>
      <c r="M96" s="680">
        <v>82</v>
      </c>
      <c r="N96" s="678">
        <v>17</v>
      </c>
      <c r="O96" s="681">
        <v>3</v>
      </c>
      <c r="P96" s="680">
        <v>45</v>
      </c>
      <c r="Q96" s="804">
        <v>216</v>
      </c>
      <c r="R96" s="703">
        <v>53</v>
      </c>
      <c r="S96" s="704">
        <v>8</v>
      </c>
      <c r="T96" s="705">
        <v>0</v>
      </c>
      <c r="U96" s="704">
        <v>0</v>
      </c>
      <c r="V96" s="481">
        <f t="shared" si="9"/>
        <v>61</v>
      </c>
    </row>
    <row r="97" spans="1:22" ht="19.5" customHeight="1">
      <c r="A97" s="1086"/>
      <c r="B97" s="1083"/>
      <c r="C97" s="667">
        <v>45136</v>
      </c>
      <c r="D97" s="668">
        <v>45136</v>
      </c>
      <c r="E97" s="678">
        <v>484</v>
      </c>
      <c r="F97" s="677">
        <v>1069</v>
      </c>
      <c r="G97" s="678">
        <v>112</v>
      </c>
      <c r="H97" s="677">
        <v>0</v>
      </c>
      <c r="I97" s="678">
        <v>239</v>
      </c>
      <c r="J97" s="677">
        <v>141</v>
      </c>
      <c r="K97" s="723">
        <v>493</v>
      </c>
      <c r="L97" s="678">
        <v>166</v>
      </c>
      <c r="M97" s="680">
        <v>117</v>
      </c>
      <c r="N97" s="678">
        <v>18</v>
      </c>
      <c r="O97" s="681">
        <v>27</v>
      </c>
      <c r="P97" s="680">
        <v>56</v>
      </c>
      <c r="Q97" s="804">
        <v>384</v>
      </c>
      <c r="R97" s="703">
        <v>129</v>
      </c>
      <c r="S97" s="704">
        <v>57</v>
      </c>
      <c r="T97" s="705">
        <v>0</v>
      </c>
      <c r="U97" s="704">
        <v>0</v>
      </c>
      <c r="V97" s="481">
        <f t="shared" si="9"/>
        <v>186</v>
      </c>
    </row>
    <row r="98" spans="1:22" ht="19.5" customHeight="1">
      <c r="A98" s="1092"/>
      <c r="B98" s="1083"/>
      <c r="C98" s="381">
        <v>45137</v>
      </c>
      <c r="D98" s="382">
        <v>45137</v>
      </c>
      <c r="E98" s="674">
        <v>606</v>
      </c>
      <c r="F98" s="468">
        <v>1314</v>
      </c>
      <c r="G98" s="674">
        <v>131</v>
      </c>
      <c r="H98" s="468">
        <v>3</v>
      </c>
      <c r="I98" s="674">
        <v>279</v>
      </c>
      <c r="J98" s="468">
        <v>162</v>
      </c>
      <c r="K98" s="724">
        <v>575</v>
      </c>
      <c r="L98" s="674">
        <v>165</v>
      </c>
      <c r="M98" s="685">
        <v>153</v>
      </c>
      <c r="N98" s="674">
        <v>68</v>
      </c>
      <c r="O98" s="686">
        <v>16</v>
      </c>
      <c r="P98" s="685">
        <v>71</v>
      </c>
      <c r="Q98" s="805">
        <v>473</v>
      </c>
      <c r="R98" s="470">
        <v>101</v>
      </c>
      <c r="S98" s="570">
        <v>29</v>
      </c>
      <c r="T98" s="573">
        <v>0</v>
      </c>
      <c r="U98" s="570">
        <v>0</v>
      </c>
      <c r="V98" s="471">
        <f t="shared" si="9"/>
        <v>130</v>
      </c>
    </row>
    <row r="99" spans="1:22" ht="19.5" customHeight="1">
      <c r="A99" s="1085" t="s">
        <v>70</v>
      </c>
      <c r="B99" s="1123">
        <v>32</v>
      </c>
      <c r="C99" s="752">
        <v>45138</v>
      </c>
      <c r="D99" s="753">
        <v>45141</v>
      </c>
      <c r="E99" s="754">
        <v>834</v>
      </c>
      <c r="F99" s="755">
        <v>1595</v>
      </c>
      <c r="G99" s="754">
        <v>246</v>
      </c>
      <c r="H99" s="755">
        <v>0</v>
      </c>
      <c r="I99" s="754">
        <v>524</v>
      </c>
      <c r="J99" s="755">
        <v>309</v>
      </c>
      <c r="K99" s="756">
        <v>1079</v>
      </c>
      <c r="L99" s="670">
        <v>226</v>
      </c>
      <c r="M99" s="675">
        <v>168</v>
      </c>
      <c r="N99" s="670">
        <v>125</v>
      </c>
      <c r="O99" s="676">
        <v>20</v>
      </c>
      <c r="P99" s="675">
        <v>115</v>
      </c>
      <c r="Q99" s="804">
        <v>654</v>
      </c>
      <c r="R99" s="671">
        <v>514</v>
      </c>
      <c r="S99" s="575">
        <v>298</v>
      </c>
      <c r="T99" s="702">
        <v>0</v>
      </c>
      <c r="U99" s="575">
        <v>0</v>
      </c>
      <c r="V99" s="467">
        <f t="shared" si="9"/>
        <v>812</v>
      </c>
    </row>
    <row r="100" spans="1:22" ht="19.5" customHeight="1">
      <c r="A100" s="1086"/>
      <c r="B100" s="1083"/>
      <c r="C100" s="379">
        <v>45142</v>
      </c>
      <c r="D100" s="380">
        <v>45142</v>
      </c>
      <c r="E100" s="670">
        <v>197</v>
      </c>
      <c r="F100" s="669">
        <v>482</v>
      </c>
      <c r="G100" s="670"/>
      <c r="H100" s="669"/>
      <c r="I100" s="670"/>
      <c r="J100" s="669"/>
      <c r="K100" s="466"/>
      <c r="L100" s="678">
        <v>99</v>
      </c>
      <c r="M100" s="680">
        <v>54</v>
      </c>
      <c r="N100" s="678">
        <v>34</v>
      </c>
      <c r="O100" s="681">
        <v>3</v>
      </c>
      <c r="P100" s="680">
        <v>40</v>
      </c>
      <c r="Q100" s="804">
        <v>230</v>
      </c>
      <c r="R100" s="703">
        <v>344</v>
      </c>
      <c r="S100" s="704">
        <v>78</v>
      </c>
      <c r="T100" s="705">
        <v>0</v>
      </c>
      <c r="U100" s="704">
        <v>0</v>
      </c>
      <c r="V100" s="481">
        <f t="shared" si="9"/>
        <v>422</v>
      </c>
    </row>
    <row r="101" spans="1:22" ht="19.5" customHeight="1">
      <c r="A101" s="1086"/>
      <c r="B101" s="1083"/>
      <c r="C101" s="379">
        <v>45143</v>
      </c>
      <c r="D101" s="380">
        <v>45143</v>
      </c>
      <c r="E101" s="678">
        <v>207</v>
      </c>
      <c r="F101" s="677">
        <v>504</v>
      </c>
      <c r="G101" s="678"/>
      <c r="H101" s="677"/>
      <c r="I101" s="678"/>
      <c r="J101" s="677"/>
      <c r="K101" s="679"/>
      <c r="L101" s="678">
        <v>84</v>
      </c>
      <c r="M101" s="680">
        <v>37</v>
      </c>
      <c r="N101" s="678">
        <v>9</v>
      </c>
      <c r="O101" s="681">
        <v>0</v>
      </c>
      <c r="P101" s="680">
        <v>27</v>
      </c>
      <c r="Q101" s="804">
        <v>157</v>
      </c>
      <c r="R101" s="703">
        <v>430</v>
      </c>
      <c r="S101" s="704">
        <v>85</v>
      </c>
      <c r="T101" s="705">
        <v>0</v>
      </c>
      <c r="U101" s="704">
        <v>0</v>
      </c>
      <c r="V101" s="481">
        <f t="shared" si="9"/>
        <v>515</v>
      </c>
    </row>
    <row r="102" spans="1:22" ht="19.5" customHeight="1">
      <c r="A102" s="1086"/>
      <c r="B102" s="1098"/>
      <c r="C102" s="381">
        <v>45144</v>
      </c>
      <c r="D102" s="382">
        <v>45144</v>
      </c>
      <c r="E102" s="682">
        <v>316</v>
      </c>
      <c r="F102" s="479">
        <v>861</v>
      </c>
      <c r="G102" s="678"/>
      <c r="H102" s="677"/>
      <c r="I102" s="678"/>
      <c r="J102" s="677"/>
      <c r="K102" s="679"/>
      <c r="L102" s="678">
        <v>108</v>
      </c>
      <c r="M102" s="680">
        <v>75</v>
      </c>
      <c r="N102" s="678">
        <v>43</v>
      </c>
      <c r="O102" s="681">
        <v>18</v>
      </c>
      <c r="P102" s="680">
        <v>66</v>
      </c>
      <c r="Q102" s="804">
        <v>310</v>
      </c>
      <c r="R102" s="703">
        <v>552</v>
      </c>
      <c r="S102" s="704">
        <v>162</v>
      </c>
      <c r="T102" s="705">
        <v>0</v>
      </c>
      <c r="U102" s="704">
        <v>0</v>
      </c>
      <c r="V102" s="481">
        <f t="shared" si="9"/>
        <v>714</v>
      </c>
    </row>
    <row r="103" spans="1:22" ht="19.5" customHeight="1">
      <c r="A103" s="1086"/>
      <c r="B103" s="1102">
        <v>33</v>
      </c>
      <c r="C103" s="383">
        <v>45145</v>
      </c>
      <c r="D103" s="384">
        <v>45148</v>
      </c>
      <c r="E103" s="674">
        <v>769</v>
      </c>
      <c r="F103" s="468">
        <v>1525</v>
      </c>
      <c r="G103" s="674"/>
      <c r="H103" s="468"/>
      <c r="I103" s="674"/>
      <c r="J103" s="468"/>
      <c r="K103" s="469"/>
      <c r="L103" s="472">
        <v>203</v>
      </c>
      <c r="M103" s="680">
        <v>141</v>
      </c>
      <c r="N103" s="678">
        <v>42</v>
      </c>
      <c r="O103" s="681">
        <v>209</v>
      </c>
      <c r="P103" s="680">
        <v>58</v>
      </c>
      <c r="Q103" s="804">
        <v>653</v>
      </c>
      <c r="R103" s="703">
        <v>1250</v>
      </c>
      <c r="S103" s="704">
        <v>603</v>
      </c>
      <c r="T103" s="705">
        <v>0</v>
      </c>
      <c r="U103" s="704">
        <v>0</v>
      </c>
      <c r="V103" s="481">
        <f t="shared" si="9"/>
        <v>1853</v>
      </c>
    </row>
    <row r="104" spans="1:22" ht="19.5" customHeight="1">
      <c r="A104" s="1086"/>
      <c r="B104" s="1083"/>
      <c r="C104" s="379">
        <v>45149</v>
      </c>
      <c r="D104" s="380">
        <v>45149</v>
      </c>
      <c r="E104" s="670">
        <v>439</v>
      </c>
      <c r="F104" s="669">
        <v>934</v>
      </c>
      <c r="G104" s="670">
        <v>164</v>
      </c>
      <c r="H104" s="669">
        <v>11</v>
      </c>
      <c r="I104" s="670">
        <v>348</v>
      </c>
      <c r="J104" s="669">
        <v>194</v>
      </c>
      <c r="K104" s="466">
        <v>717</v>
      </c>
      <c r="L104" s="678">
        <v>139</v>
      </c>
      <c r="M104" s="680">
        <v>87</v>
      </c>
      <c r="N104" s="678">
        <v>43</v>
      </c>
      <c r="O104" s="681">
        <v>53</v>
      </c>
      <c r="P104" s="680">
        <v>28</v>
      </c>
      <c r="Q104" s="804">
        <v>350</v>
      </c>
      <c r="R104" s="703">
        <v>747</v>
      </c>
      <c r="S104" s="704">
        <v>1007</v>
      </c>
      <c r="T104" s="705">
        <v>0</v>
      </c>
      <c r="U104" s="704">
        <v>0</v>
      </c>
      <c r="V104" s="481">
        <f t="shared" si="9"/>
        <v>1754</v>
      </c>
    </row>
    <row r="105" spans="1:22" ht="19.5" customHeight="1">
      <c r="A105" s="1086"/>
      <c r="B105" s="1083"/>
      <c r="C105" s="667">
        <v>45150</v>
      </c>
      <c r="D105" s="668">
        <v>45150</v>
      </c>
      <c r="E105" s="678">
        <v>450</v>
      </c>
      <c r="F105" s="677">
        <v>1090</v>
      </c>
      <c r="G105" s="678">
        <v>160</v>
      </c>
      <c r="H105" s="677">
        <v>6</v>
      </c>
      <c r="I105" s="678">
        <v>340</v>
      </c>
      <c r="J105" s="677">
        <v>195</v>
      </c>
      <c r="K105" s="679">
        <v>701</v>
      </c>
      <c r="L105" s="678">
        <v>186</v>
      </c>
      <c r="M105" s="680">
        <v>113</v>
      </c>
      <c r="N105" s="678">
        <v>28</v>
      </c>
      <c r="O105" s="681">
        <v>24</v>
      </c>
      <c r="P105" s="680">
        <v>12</v>
      </c>
      <c r="Q105" s="804">
        <v>363</v>
      </c>
      <c r="R105" s="703">
        <v>828</v>
      </c>
      <c r="S105" s="704">
        <v>1227</v>
      </c>
      <c r="T105" s="705">
        <v>0</v>
      </c>
      <c r="U105" s="704">
        <v>0</v>
      </c>
      <c r="V105" s="481">
        <f t="shared" si="9"/>
        <v>2055</v>
      </c>
    </row>
    <row r="106" spans="1:22" ht="19.5" customHeight="1">
      <c r="A106" s="1086"/>
      <c r="B106" s="1098"/>
      <c r="C106" s="383">
        <v>45151</v>
      </c>
      <c r="D106" s="384">
        <v>45151</v>
      </c>
      <c r="E106" s="674">
        <v>623</v>
      </c>
      <c r="F106" s="468">
        <v>1462</v>
      </c>
      <c r="G106" s="674">
        <v>266</v>
      </c>
      <c r="H106" s="468">
        <v>3</v>
      </c>
      <c r="I106" s="674">
        <v>565</v>
      </c>
      <c r="J106" s="468">
        <v>330</v>
      </c>
      <c r="K106" s="469">
        <v>1164</v>
      </c>
      <c r="L106" s="678">
        <v>92</v>
      </c>
      <c r="M106" s="680">
        <v>153</v>
      </c>
      <c r="N106" s="678">
        <v>41</v>
      </c>
      <c r="O106" s="681">
        <v>6</v>
      </c>
      <c r="P106" s="680">
        <v>100</v>
      </c>
      <c r="Q106" s="804">
        <v>392</v>
      </c>
      <c r="R106" s="703">
        <v>944</v>
      </c>
      <c r="S106" s="704">
        <v>974</v>
      </c>
      <c r="T106" s="705">
        <v>0</v>
      </c>
      <c r="U106" s="704">
        <v>0</v>
      </c>
      <c r="V106" s="481">
        <f t="shared" si="9"/>
        <v>1918</v>
      </c>
    </row>
    <row r="107" spans="1:22" ht="19.5" customHeight="1">
      <c r="A107" s="1086"/>
      <c r="B107" s="1102">
        <v>34</v>
      </c>
      <c r="C107" s="752">
        <v>45152</v>
      </c>
      <c r="D107" s="753">
        <v>45155</v>
      </c>
      <c r="E107" s="754">
        <v>676</v>
      </c>
      <c r="F107" s="755">
        <v>1279</v>
      </c>
      <c r="G107" s="754"/>
      <c r="H107" s="755"/>
      <c r="I107" s="754"/>
      <c r="J107" s="755"/>
      <c r="K107" s="756"/>
      <c r="L107" s="678">
        <v>157</v>
      </c>
      <c r="M107" s="680">
        <v>62</v>
      </c>
      <c r="N107" s="678">
        <v>35</v>
      </c>
      <c r="O107" s="681">
        <v>23</v>
      </c>
      <c r="P107" s="680">
        <v>193</v>
      </c>
      <c r="Q107" s="804">
        <v>470</v>
      </c>
      <c r="R107" s="703">
        <v>1231</v>
      </c>
      <c r="S107" s="704">
        <v>847</v>
      </c>
      <c r="T107" s="705">
        <v>0</v>
      </c>
      <c r="U107" s="704">
        <v>0</v>
      </c>
      <c r="V107" s="481">
        <f t="shared" si="9"/>
        <v>2078</v>
      </c>
    </row>
    <row r="108" spans="1:22" ht="19.5" customHeight="1">
      <c r="A108" s="1086"/>
      <c r="B108" s="1083"/>
      <c r="C108" s="379">
        <v>45156</v>
      </c>
      <c r="D108" s="380">
        <v>45156</v>
      </c>
      <c r="E108" s="670">
        <v>663</v>
      </c>
      <c r="F108" s="669">
        <v>1446</v>
      </c>
      <c r="G108" s="670">
        <v>360</v>
      </c>
      <c r="H108" s="669">
        <v>0</v>
      </c>
      <c r="I108" s="670">
        <v>766</v>
      </c>
      <c r="J108" s="669">
        <v>452</v>
      </c>
      <c r="K108" s="466">
        <v>1577</v>
      </c>
      <c r="L108" s="678">
        <v>246</v>
      </c>
      <c r="M108" s="680">
        <v>189</v>
      </c>
      <c r="N108" s="678">
        <v>30</v>
      </c>
      <c r="O108" s="681">
        <v>33</v>
      </c>
      <c r="P108" s="680">
        <v>199</v>
      </c>
      <c r="Q108" s="804">
        <v>697</v>
      </c>
      <c r="R108" s="703">
        <v>735</v>
      </c>
      <c r="S108" s="704">
        <v>1031</v>
      </c>
      <c r="T108" s="705">
        <v>0</v>
      </c>
      <c r="U108" s="704">
        <v>0</v>
      </c>
      <c r="V108" s="481">
        <f t="shared" si="9"/>
        <v>1766</v>
      </c>
    </row>
    <row r="109" spans="1:22" ht="19.5" customHeight="1">
      <c r="A109" s="1086"/>
      <c r="B109" s="1083"/>
      <c r="C109" s="667">
        <v>45157</v>
      </c>
      <c r="D109" s="668">
        <v>45157</v>
      </c>
      <c r="E109" s="682">
        <v>748</v>
      </c>
      <c r="F109" s="479">
        <v>1826</v>
      </c>
      <c r="G109" s="678">
        <v>371</v>
      </c>
      <c r="H109" s="677">
        <v>3</v>
      </c>
      <c r="I109" s="678">
        <v>790</v>
      </c>
      <c r="J109" s="677">
        <v>463</v>
      </c>
      <c r="K109" s="679">
        <v>1628</v>
      </c>
      <c r="L109" s="678">
        <v>206</v>
      </c>
      <c r="M109" s="680">
        <v>187</v>
      </c>
      <c r="N109" s="678">
        <v>14</v>
      </c>
      <c r="O109" s="681">
        <v>62</v>
      </c>
      <c r="P109" s="680">
        <v>213</v>
      </c>
      <c r="Q109" s="804">
        <v>682</v>
      </c>
      <c r="R109" s="703">
        <v>1465</v>
      </c>
      <c r="S109" s="704">
        <v>1813</v>
      </c>
      <c r="T109" s="705">
        <v>0</v>
      </c>
      <c r="U109" s="704">
        <v>0</v>
      </c>
      <c r="V109" s="481">
        <f t="shared" si="9"/>
        <v>3278</v>
      </c>
    </row>
    <row r="110" spans="1:22" ht="19.5" customHeight="1">
      <c r="A110" s="1086"/>
      <c r="B110" s="1098"/>
      <c r="C110" s="383">
        <v>45158</v>
      </c>
      <c r="D110" s="384">
        <v>45158</v>
      </c>
      <c r="E110" s="674">
        <v>1017</v>
      </c>
      <c r="F110" s="468">
        <v>2538</v>
      </c>
      <c r="G110" s="674">
        <v>461</v>
      </c>
      <c r="H110" s="468">
        <v>0</v>
      </c>
      <c r="I110" s="674">
        <v>982</v>
      </c>
      <c r="J110" s="468">
        <v>579</v>
      </c>
      <c r="K110" s="469">
        <v>2023</v>
      </c>
      <c r="L110" s="678">
        <v>264</v>
      </c>
      <c r="M110" s="680">
        <v>255</v>
      </c>
      <c r="N110" s="678">
        <v>28</v>
      </c>
      <c r="O110" s="681">
        <v>22</v>
      </c>
      <c r="P110" s="680">
        <v>182</v>
      </c>
      <c r="Q110" s="804">
        <v>751</v>
      </c>
      <c r="R110" s="703">
        <v>1957</v>
      </c>
      <c r="S110" s="704">
        <v>2439</v>
      </c>
      <c r="T110" s="705">
        <v>0</v>
      </c>
      <c r="U110" s="704">
        <v>0</v>
      </c>
      <c r="V110" s="481">
        <f t="shared" si="9"/>
        <v>4396</v>
      </c>
    </row>
    <row r="111" spans="1:22" ht="19.5" customHeight="1">
      <c r="A111" s="1086"/>
      <c r="B111" s="1102">
        <v>35</v>
      </c>
      <c r="C111" s="379">
        <v>45159</v>
      </c>
      <c r="D111" s="380">
        <v>45162</v>
      </c>
      <c r="E111" s="670">
        <v>734</v>
      </c>
      <c r="F111" s="669">
        <v>1471</v>
      </c>
      <c r="G111" s="670"/>
      <c r="H111" s="669"/>
      <c r="I111" s="670"/>
      <c r="J111" s="669"/>
      <c r="K111" s="466"/>
      <c r="L111" s="670">
        <v>195</v>
      </c>
      <c r="M111" s="675">
        <v>127</v>
      </c>
      <c r="N111" s="670">
        <v>55</v>
      </c>
      <c r="O111" s="676">
        <v>34</v>
      </c>
      <c r="P111" s="675">
        <v>49</v>
      </c>
      <c r="Q111" s="804">
        <v>460</v>
      </c>
      <c r="R111" s="703">
        <v>1076</v>
      </c>
      <c r="S111" s="704">
        <v>1100</v>
      </c>
      <c r="T111" s="705">
        <v>0</v>
      </c>
      <c r="U111" s="704">
        <v>0</v>
      </c>
      <c r="V111" s="481">
        <f t="shared" si="9"/>
        <v>2176</v>
      </c>
    </row>
    <row r="112" spans="1:22" ht="19.5" customHeight="1">
      <c r="A112" s="1086"/>
      <c r="B112" s="1083"/>
      <c r="C112" s="667">
        <v>45163</v>
      </c>
      <c r="D112" s="668">
        <v>45163</v>
      </c>
      <c r="E112" s="678">
        <v>239</v>
      </c>
      <c r="F112" s="677">
        <v>558</v>
      </c>
      <c r="G112" s="678"/>
      <c r="H112" s="677"/>
      <c r="I112" s="678"/>
      <c r="J112" s="677"/>
      <c r="K112" s="679"/>
      <c r="L112" s="678">
        <v>96</v>
      </c>
      <c r="M112" s="680">
        <v>75</v>
      </c>
      <c r="N112" s="678">
        <v>12</v>
      </c>
      <c r="O112" s="681">
        <v>0</v>
      </c>
      <c r="P112" s="680">
        <v>17</v>
      </c>
      <c r="Q112" s="804">
        <v>200</v>
      </c>
      <c r="R112" s="703">
        <v>404</v>
      </c>
      <c r="S112" s="704">
        <v>279</v>
      </c>
      <c r="T112" s="705">
        <v>0</v>
      </c>
      <c r="U112" s="704">
        <v>0</v>
      </c>
      <c r="V112" s="481">
        <f t="shared" si="9"/>
        <v>683</v>
      </c>
    </row>
    <row r="113" spans="1:22" ht="19.5" customHeight="1">
      <c r="A113" s="1086"/>
      <c r="B113" s="1083"/>
      <c r="C113" s="667">
        <v>45164</v>
      </c>
      <c r="D113" s="668">
        <v>45164</v>
      </c>
      <c r="E113" s="678">
        <v>370</v>
      </c>
      <c r="F113" s="677">
        <v>842</v>
      </c>
      <c r="G113" s="678"/>
      <c r="H113" s="677"/>
      <c r="I113" s="678"/>
      <c r="J113" s="677"/>
      <c r="K113" s="679"/>
      <c r="L113" s="678">
        <v>164</v>
      </c>
      <c r="M113" s="680">
        <v>181</v>
      </c>
      <c r="N113" s="678">
        <v>38</v>
      </c>
      <c r="O113" s="681">
        <v>12</v>
      </c>
      <c r="P113" s="680">
        <v>56</v>
      </c>
      <c r="Q113" s="804">
        <v>451</v>
      </c>
      <c r="R113" s="703">
        <v>672</v>
      </c>
      <c r="S113" s="704">
        <v>883</v>
      </c>
      <c r="T113" s="705">
        <v>0</v>
      </c>
      <c r="U113" s="704">
        <v>0</v>
      </c>
      <c r="V113" s="481">
        <f t="shared" si="9"/>
        <v>1555</v>
      </c>
    </row>
    <row r="114" spans="1:22" ht="19.5" customHeight="1">
      <c r="A114" s="1086"/>
      <c r="B114" s="1098"/>
      <c r="C114" s="381">
        <v>45165</v>
      </c>
      <c r="D114" s="382">
        <v>45165</v>
      </c>
      <c r="E114" s="678">
        <v>705</v>
      </c>
      <c r="F114" s="677">
        <v>1654</v>
      </c>
      <c r="G114" s="678"/>
      <c r="H114" s="677"/>
      <c r="I114" s="678"/>
      <c r="J114" s="677"/>
      <c r="K114" s="679"/>
      <c r="L114" s="678">
        <v>221</v>
      </c>
      <c r="M114" s="680">
        <v>207</v>
      </c>
      <c r="N114" s="678">
        <v>81</v>
      </c>
      <c r="O114" s="681">
        <v>41</v>
      </c>
      <c r="P114" s="680">
        <v>64</v>
      </c>
      <c r="Q114" s="804">
        <v>614</v>
      </c>
      <c r="R114" s="703">
        <v>1586</v>
      </c>
      <c r="S114" s="704">
        <v>1597</v>
      </c>
      <c r="T114" s="705">
        <v>0</v>
      </c>
      <c r="U114" s="704">
        <v>0</v>
      </c>
      <c r="V114" s="481">
        <f t="shared" si="9"/>
        <v>3183</v>
      </c>
    </row>
    <row r="115" spans="1:22" ht="19.149999999999999" customHeight="1">
      <c r="A115" s="1086"/>
      <c r="B115" s="1102">
        <v>36</v>
      </c>
      <c r="C115" s="381">
        <v>45166</v>
      </c>
      <c r="D115" s="382">
        <v>45169</v>
      </c>
      <c r="E115" s="678">
        <v>645</v>
      </c>
      <c r="F115" s="677">
        <v>1337</v>
      </c>
      <c r="G115" s="678"/>
      <c r="H115" s="677"/>
      <c r="I115" s="678"/>
      <c r="J115" s="677"/>
      <c r="K115" s="679"/>
      <c r="L115" s="678">
        <v>145</v>
      </c>
      <c r="M115" s="680">
        <v>393</v>
      </c>
      <c r="N115" s="678">
        <v>67</v>
      </c>
      <c r="O115" s="681">
        <v>98</v>
      </c>
      <c r="P115" s="680">
        <v>44</v>
      </c>
      <c r="Q115" s="804">
        <v>747</v>
      </c>
      <c r="R115" s="703">
        <v>1242</v>
      </c>
      <c r="S115" s="704">
        <v>1817</v>
      </c>
      <c r="T115" s="705">
        <v>0</v>
      </c>
      <c r="U115" s="704">
        <v>0</v>
      </c>
      <c r="V115" s="481">
        <f t="shared" si="9"/>
        <v>3059</v>
      </c>
    </row>
    <row r="116" spans="1:22" ht="19.149999999999999" customHeight="1">
      <c r="A116" s="1086"/>
      <c r="B116" s="1083"/>
      <c r="C116" s="381">
        <v>45170</v>
      </c>
      <c r="D116" s="382">
        <v>45170</v>
      </c>
      <c r="E116" s="678">
        <v>269</v>
      </c>
      <c r="F116" s="677">
        <v>599</v>
      </c>
      <c r="G116" s="678"/>
      <c r="H116" s="677"/>
      <c r="I116" s="678"/>
      <c r="J116" s="677"/>
      <c r="K116" s="679"/>
      <c r="L116" s="678">
        <v>193</v>
      </c>
      <c r="M116" s="680">
        <v>176</v>
      </c>
      <c r="N116" s="678">
        <v>48</v>
      </c>
      <c r="O116" s="681">
        <v>32</v>
      </c>
      <c r="P116" s="680">
        <v>22</v>
      </c>
      <c r="Q116" s="804">
        <v>471</v>
      </c>
      <c r="R116" s="703">
        <v>347</v>
      </c>
      <c r="S116" s="704">
        <v>532</v>
      </c>
      <c r="T116" s="705">
        <v>0</v>
      </c>
      <c r="U116" s="704">
        <v>0</v>
      </c>
      <c r="V116" s="481">
        <f t="shared" si="9"/>
        <v>879</v>
      </c>
    </row>
    <row r="117" spans="1:22" ht="19.149999999999999" customHeight="1">
      <c r="A117" s="1086"/>
      <c r="B117" s="1083"/>
      <c r="C117" s="381">
        <v>45171</v>
      </c>
      <c r="D117" s="382">
        <v>45171</v>
      </c>
      <c r="E117" s="678">
        <v>421</v>
      </c>
      <c r="F117" s="677">
        <v>1013</v>
      </c>
      <c r="G117" s="678"/>
      <c r="H117" s="677"/>
      <c r="I117" s="678"/>
      <c r="J117" s="677"/>
      <c r="K117" s="679"/>
      <c r="L117" s="678">
        <v>337</v>
      </c>
      <c r="M117" s="680">
        <v>242</v>
      </c>
      <c r="N117" s="678">
        <v>43</v>
      </c>
      <c r="O117" s="681">
        <v>19</v>
      </c>
      <c r="P117" s="680">
        <v>81</v>
      </c>
      <c r="Q117" s="804">
        <v>722</v>
      </c>
      <c r="R117" s="703">
        <v>628</v>
      </c>
      <c r="S117" s="704">
        <v>654</v>
      </c>
      <c r="T117" s="705">
        <v>0</v>
      </c>
      <c r="U117" s="704">
        <v>0</v>
      </c>
      <c r="V117" s="481">
        <f t="shared" si="9"/>
        <v>1282</v>
      </c>
    </row>
    <row r="118" spans="1:22" ht="19.149999999999999" customHeight="1">
      <c r="A118" s="1092"/>
      <c r="B118" s="1122"/>
      <c r="C118" s="383">
        <v>45172</v>
      </c>
      <c r="D118" s="384">
        <v>45173</v>
      </c>
      <c r="E118" s="674">
        <v>805</v>
      </c>
      <c r="F118" s="468">
        <v>1958</v>
      </c>
      <c r="G118" s="674"/>
      <c r="H118" s="468"/>
      <c r="I118" s="674"/>
      <c r="J118" s="468"/>
      <c r="K118" s="469"/>
      <c r="L118" s="674">
        <v>398</v>
      </c>
      <c r="M118" s="685">
        <v>473</v>
      </c>
      <c r="N118" s="674">
        <v>110</v>
      </c>
      <c r="O118" s="686">
        <v>98</v>
      </c>
      <c r="P118" s="685">
        <v>41</v>
      </c>
      <c r="Q118" s="847">
        <v>1120</v>
      </c>
      <c r="R118" s="470">
        <v>1174</v>
      </c>
      <c r="S118" s="570">
        <v>1149</v>
      </c>
      <c r="T118" s="573">
        <v>0</v>
      </c>
      <c r="U118" s="570">
        <v>0</v>
      </c>
      <c r="V118" s="481">
        <f t="shared" si="9"/>
        <v>2323</v>
      </c>
    </row>
    <row r="119" spans="1:22" ht="19.149999999999999" customHeight="1">
      <c r="A119" s="1085" t="s">
        <v>97</v>
      </c>
      <c r="B119" s="1123">
        <v>37</v>
      </c>
      <c r="C119" s="377">
        <v>45174</v>
      </c>
      <c r="D119" s="378">
        <v>45176</v>
      </c>
      <c r="E119" s="670">
        <v>676</v>
      </c>
      <c r="F119" s="669">
        <v>1303</v>
      </c>
      <c r="G119" s="670"/>
      <c r="H119" s="669"/>
      <c r="I119" s="670"/>
      <c r="J119" s="669"/>
      <c r="K119" s="466"/>
      <c r="L119" s="670">
        <v>469</v>
      </c>
      <c r="M119" s="675">
        <v>495</v>
      </c>
      <c r="N119" s="670">
        <v>210</v>
      </c>
      <c r="O119" s="676">
        <v>40</v>
      </c>
      <c r="P119" s="675">
        <v>81</v>
      </c>
      <c r="Q119" s="467">
        <v>1295</v>
      </c>
      <c r="R119" s="571">
        <v>676</v>
      </c>
      <c r="S119" s="572">
        <v>539</v>
      </c>
      <c r="T119" s="574">
        <v>0</v>
      </c>
      <c r="U119" s="799">
        <v>0</v>
      </c>
      <c r="V119" s="801">
        <f>SUM(R119:U119)</f>
        <v>1215</v>
      </c>
    </row>
    <row r="120" spans="1:22" ht="19.149999999999999" customHeight="1">
      <c r="A120" s="1086"/>
      <c r="B120" s="1083"/>
      <c r="C120" s="379">
        <v>45177</v>
      </c>
      <c r="D120" s="380">
        <v>45177</v>
      </c>
      <c r="E120" s="678">
        <v>289</v>
      </c>
      <c r="F120" s="677">
        <v>602</v>
      </c>
      <c r="G120" s="678"/>
      <c r="H120" s="677"/>
      <c r="I120" s="678"/>
      <c r="J120" s="677"/>
      <c r="K120" s="679"/>
      <c r="L120" s="678">
        <v>191</v>
      </c>
      <c r="M120" s="680">
        <v>193</v>
      </c>
      <c r="N120" s="678">
        <v>119</v>
      </c>
      <c r="O120" s="681">
        <v>58</v>
      </c>
      <c r="P120" s="680">
        <v>11</v>
      </c>
      <c r="Q120" s="467">
        <v>572</v>
      </c>
      <c r="R120" s="703">
        <v>197</v>
      </c>
      <c r="S120" s="704">
        <v>264</v>
      </c>
      <c r="T120" s="705">
        <v>0</v>
      </c>
      <c r="U120" s="800">
        <v>0</v>
      </c>
      <c r="V120" s="802">
        <f t="shared" ref="V120:V121" si="10">SUM(R120:U120)</f>
        <v>461</v>
      </c>
    </row>
    <row r="121" spans="1:22" ht="19.149999999999999" customHeight="1">
      <c r="A121" s="1086"/>
      <c r="B121" s="1083"/>
      <c r="C121" s="667">
        <v>45178</v>
      </c>
      <c r="D121" s="668">
        <v>45178</v>
      </c>
      <c r="E121" s="678">
        <v>475</v>
      </c>
      <c r="F121" s="677">
        <v>1171</v>
      </c>
      <c r="G121" s="678"/>
      <c r="H121" s="677"/>
      <c r="I121" s="678"/>
      <c r="J121" s="677"/>
      <c r="K121" s="679"/>
      <c r="L121" s="678">
        <v>306</v>
      </c>
      <c r="M121" s="680">
        <v>472</v>
      </c>
      <c r="N121" s="678">
        <v>122</v>
      </c>
      <c r="O121" s="681">
        <v>113</v>
      </c>
      <c r="P121" s="680">
        <v>180</v>
      </c>
      <c r="Q121" s="467">
        <v>1193</v>
      </c>
      <c r="R121" s="703">
        <v>584</v>
      </c>
      <c r="S121" s="704">
        <v>186</v>
      </c>
      <c r="T121" s="705">
        <v>0</v>
      </c>
      <c r="U121" s="800">
        <v>0</v>
      </c>
      <c r="V121" s="803">
        <f t="shared" si="10"/>
        <v>770</v>
      </c>
    </row>
    <row r="122" spans="1:22" ht="19.149999999999999" customHeight="1">
      <c r="A122" s="1086"/>
      <c r="B122" s="1098"/>
      <c r="C122" s="667">
        <v>45179</v>
      </c>
      <c r="D122" s="668">
        <v>45179</v>
      </c>
      <c r="E122" s="678">
        <v>532</v>
      </c>
      <c r="F122" s="677">
        <v>1190</v>
      </c>
      <c r="G122" s="678"/>
      <c r="H122" s="677"/>
      <c r="I122" s="678"/>
      <c r="J122" s="677"/>
      <c r="K122" s="679"/>
      <c r="L122" s="678">
        <v>367</v>
      </c>
      <c r="M122" s="680">
        <v>457</v>
      </c>
      <c r="N122" s="678">
        <v>111</v>
      </c>
      <c r="O122" s="681">
        <v>120</v>
      </c>
      <c r="P122" s="680">
        <v>192</v>
      </c>
      <c r="Q122" s="467">
        <v>1247</v>
      </c>
      <c r="R122" s="703">
        <v>430</v>
      </c>
      <c r="S122" s="704">
        <v>150</v>
      </c>
      <c r="T122" s="705">
        <v>0</v>
      </c>
      <c r="U122" s="800">
        <v>0</v>
      </c>
      <c r="V122" s="802">
        <f>SUM(R122:U122)</f>
        <v>580</v>
      </c>
    </row>
    <row r="123" spans="1:22" ht="19.149999999999999" customHeight="1">
      <c r="A123" s="1086"/>
      <c r="B123" s="1102">
        <v>38</v>
      </c>
      <c r="C123" s="667">
        <v>45180</v>
      </c>
      <c r="D123" s="668">
        <v>45183</v>
      </c>
      <c r="E123" s="678">
        <v>1066</v>
      </c>
      <c r="F123" s="677">
        <v>2171</v>
      </c>
      <c r="G123" s="678"/>
      <c r="H123" s="677"/>
      <c r="I123" s="678"/>
      <c r="J123" s="677"/>
      <c r="K123" s="679"/>
      <c r="L123" s="678">
        <v>648</v>
      </c>
      <c r="M123" s="680">
        <v>768</v>
      </c>
      <c r="N123" s="678">
        <v>421</v>
      </c>
      <c r="O123" s="681">
        <v>327</v>
      </c>
      <c r="P123" s="680">
        <v>493</v>
      </c>
      <c r="Q123" s="467">
        <v>2657</v>
      </c>
      <c r="R123" s="703">
        <v>270</v>
      </c>
      <c r="S123" s="704">
        <v>293</v>
      </c>
      <c r="T123" s="705">
        <v>0</v>
      </c>
      <c r="U123" s="704">
        <v>0</v>
      </c>
      <c r="V123" s="482">
        <f t="shared" ref="V123:V125" si="11">SUM(R123:U123)</f>
        <v>563</v>
      </c>
    </row>
    <row r="124" spans="1:22" ht="19.149999999999999" customHeight="1">
      <c r="A124" s="1086"/>
      <c r="B124" s="1083"/>
      <c r="C124" s="667">
        <v>45184</v>
      </c>
      <c r="D124" s="668">
        <v>45184</v>
      </c>
      <c r="E124" s="678">
        <v>377</v>
      </c>
      <c r="F124" s="677">
        <v>747</v>
      </c>
      <c r="G124" s="678"/>
      <c r="H124" s="677"/>
      <c r="I124" s="678"/>
      <c r="J124" s="677"/>
      <c r="K124" s="679"/>
      <c r="L124" s="678">
        <v>259</v>
      </c>
      <c r="M124" s="680">
        <v>246</v>
      </c>
      <c r="N124" s="678">
        <v>121</v>
      </c>
      <c r="O124" s="681">
        <v>76</v>
      </c>
      <c r="P124" s="680">
        <v>130</v>
      </c>
      <c r="Q124" s="467">
        <v>832</v>
      </c>
      <c r="R124" s="703">
        <v>32</v>
      </c>
      <c r="S124" s="704">
        <v>11</v>
      </c>
      <c r="T124" s="705">
        <v>0</v>
      </c>
      <c r="U124" s="704">
        <v>0</v>
      </c>
      <c r="V124" s="481">
        <f t="shared" si="11"/>
        <v>43</v>
      </c>
    </row>
    <row r="125" spans="1:22" ht="19.149999999999999" customHeight="1">
      <c r="A125" s="1086"/>
      <c r="B125" s="1098"/>
      <c r="C125" s="667">
        <v>45185</v>
      </c>
      <c r="D125" s="668">
        <v>45186</v>
      </c>
      <c r="E125" s="678">
        <v>781</v>
      </c>
      <c r="F125" s="677">
        <v>1806</v>
      </c>
      <c r="G125" s="678"/>
      <c r="H125" s="677"/>
      <c r="I125" s="678"/>
      <c r="J125" s="677"/>
      <c r="K125" s="679"/>
      <c r="L125" s="678">
        <v>542</v>
      </c>
      <c r="M125" s="680">
        <v>442</v>
      </c>
      <c r="N125" s="678">
        <v>316</v>
      </c>
      <c r="O125" s="681">
        <v>188</v>
      </c>
      <c r="P125" s="680">
        <v>436</v>
      </c>
      <c r="Q125" s="467">
        <v>1924</v>
      </c>
      <c r="R125" s="703">
        <v>38</v>
      </c>
      <c r="S125" s="704">
        <v>71</v>
      </c>
      <c r="T125" s="705">
        <v>0</v>
      </c>
      <c r="U125" s="704">
        <v>0</v>
      </c>
      <c r="V125" s="481">
        <f t="shared" si="11"/>
        <v>109</v>
      </c>
    </row>
    <row r="126" spans="1:22" ht="19.149999999999999" customHeight="1">
      <c r="A126" s="1086"/>
      <c r="B126" s="1102">
        <v>39</v>
      </c>
      <c r="C126" s="667">
        <v>45187</v>
      </c>
      <c r="D126" s="668">
        <v>45190</v>
      </c>
      <c r="E126" s="670">
        <v>608</v>
      </c>
      <c r="F126" s="669">
        <v>987</v>
      </c>
      <c r="G126" s="670"/>
      <c r="H126" s="669"/>
      <c r="I126" s="670"/>
      <c r="J126" s="669"/>
      <c r="K126" s="466"/>
      <c r="L126" s="670">
        <v>274</v>
      </c>
      <c r="M126" s="675">
        <v>235</v>
      </c>
      <c r="N126" s="670">
        <v>199</v>
      </c>
      <c r="O126" s="676">
        <v>87</v>
      </c>
      <c r="P126" s="675">
        <v>327</v>
      </c>
      <c r="Q126" s="467">
        <v>1122</v>
      </c>
      <c r="R126" s="703">
        <v>33</v>
      </c>
      <c r="S126" s="704">
        <v>28</v>
      </c>
      <c r="T126" s="705">
        <v>0</v>
      </c>
      <c r="U126" s="704">
        <v>0</v>
      </c>
      <c r="V126" s="481">
        <f t="shared" ref="V126:V129" si="12">SUM(R126:U126)</f>
        <v>61</v>
      </c>
    </row>
    <row r="127" spans="1:22" ht="19.149999999999999" customHeight="1">
      <c r="A127" s="1086"/>
      <c r="B127" s="1083"/>
      <c r="C127" s="667">
        <v>45191</v>
      </c>
      <c r="D127" s="668">
        <v>45191</v>
      </c>
      <c r="E127" s="678">
        <v>519</v>
      </c>
      <c r="F127" s="677">
        <v>1013</v>
      </c>
      <c r="G127" s="678"/>
      <c r="H127" s="677"/>
      <c r="I127" s="678"/>
      <c r="J127" s="677"/>
      <c r="K127" s="679"/>
      <c r="L127" s="678">
        <v>588</v>
      </c>
      <c r="M127" s="680">
        <v>455</v>
      </c>
      <c r="N127" s="678">
        <v>185</v>
      </c>
      <c r="O127" s="681">
        <v>150</v>
      </c>
      <c r="P127" s="680">
        <v>267</v>
      </c>
      <c r="Q127" s="666">
        <v>1645</v>
      </c>
      <c r="R127" s="703">
        <v>11</v>
      </c>
      <c r="S127" s="704">
        <v>48</v>
      </c>
      <c r="T127" s="705">
        <v>0</v>
      </c>
      <c r="U127" s="704">
        <v>0</v>
      </c>
      <c r="V127" s="481">
        <f t="shared" si="12"/>
        <v>59</v>
      </c>
    </row>
    <row r="128" spans="1:22" ht="19.149999999999999" customHeight="1">
      <c r="A128" s="1086"/>
      <c r="B128" s="1083"/>
      <c r="C128" s="667">
        <v>45192</v>
      </c>
      <c r="D128" s="668">
        <v>45192</v>
      </c>
      <c r="E128" s="678">
        <v>310</v>
      </c>
      <c r="F128" s="677">
        <v>717</v>
      </c>
      <c r="G128" s="678"/>
      <c r="H128" s="677"/>
      <c r="I128" s="678"/>
      <c r="J128" s="677"/>
      <c r="K128" s="679"/>
      <c r="L128" s="678">
        <v>268</v>
      </c>
      <c r="M128" s="680">
        <v>366</v>
      </c>
      <c r="N128" s="678">
        <v>78</v>
      </c>
      <c r="O128" s="681">
        <v>13</v>
      </c>
      <c r="P128" s="680">
        <v>226</v>
      </c>
      <c r="Q128" s="666">
        <v>951</v>
      </c>
      <c r="R128" s="703">
        <v>10</v>
      </c>
      <c r="S128" s="704">
        <v>16</v>
      </c>
      <c r="T128" s="705">
        <v>0</v>
      </c>
      <c r="U128" s="704">
        <v>0</v>
      </c>
      <c r="V128" s="481">
        <f t="shared" si="12"/>
        <v>26</v>
      </c>
    </row>
    <row r="129" spans="1:22" ht="19.149999999999999" customHeight="1">
      <c r="A129" s="1086"/>
      <c r="B129" s="1098"/>
      <c r="C129" s="667">
        <v>45193</v>
      </c>
      <c r="D129" s="668">
        <v>45193</v>
      </c>
      <c r="E129" s="678">
        <v>436</v>
      </c>
      <c r="F129" s="677">
        <v>936</v>
      </c>
      <c r="G129" s="678"/>
      <c r="H129" s="677"/>
      <c r="I129" s="678"/>
      <c r="J129" s="677"/>
      <c r="K129" s="679"/>
      <c r="L129" s="678">
        <v>407</v>
      </c>
      <c r="M129" s="680">
        <v>437</v>
      </c>
      <c r="N129" s="678">
        <v>118</v>
      </c>
      <c r="O129" s="681">
        <v>45</v>
      </c>
      <c r="P129" s="680">
        <v>177</v>
      </c>
      <c r="Q129" s="666">
        <v>1184</v>
      </c>
      <c r="R129" s="703">
        <v>21</v>
      </c>
      <c r="S129" s="704">
        <v>24</v>
      </c>
      <c r="T129" s="705">
        <v>0</v>
      </c>
      <c r="U129" s="704">
        <v>0</v>
      </c>
      <c r="V129" s="481">
        <f t="shared" si="12"/>
        <v>45</v>
      </c>
    </row>
    <row r="130" spans="1:22" ht="19.149999999999999" customHeight="1">
      <c r="A130" s="1086"/>
      <c r="B130" s="1102">
        <v>40</v>
      </c>
      <c r="C130" s="667">
        <v>45194</v>
      </c>
      <c r="D130" s="668">
        <v>45197</v>
      </c>
      <c r="E130" s="678">
        <v>279</v>
      </c>
      <c r="F130" s="677">
        <v>474</v>
      </c>
      <c r="G130" s="678"/>
      <c r="H130" s="677"/>
      <c r="I130" s="678"/>
      <c r="J130" s="677"/>
      <c r="K130" s="679"/>
      <c r="L130" s="678">
        <v>126</v>
      </c>
      <c r="M130" s="680">
        <v>190</v>
      </c>
      <c r="N130" s="678">
        <v>60</v>
      </c>
      <c r="O130" s="681">
        <v>27</v>
      </c>
      <c r="P130" s="680">
        <v>177</v>
      </c>
      <c r="Q130" s="666">
        <v>580</v>
      </c>
      <c r="R130" s="703">
        <v>7</v>
      </c>
      <c r="S130" s="704">
        <v>13</v>
      </c>
      <c r="T130" s="705">
        <v>0</v>
      </c>
      <c r="U130" s="704">
        <v>0</v>
      </c>
      <c r="V130" s="481">
        <f t="shared" ref="V130:V132" si="13">SUM(R130:U130)</f>
        <v>20</v>
      </c>
    </row>
    <row r="131" spans="1:22" ht="19.149999999999999" customHeight="1">
      <c r="A131" s="1086"/>
      <c r="B131" s="1083"/>
      <c r="C131" s="667">
        <v>45198</v>
      </c>
      <c r="D131" s="668">
        <v>45198</v>
      </c>
      <c r="E131" s="678">
        <v>239</v>
      </c>
      <c r="F131" s="677">
        <v>471</v>
      </c>
      <c r="G131" s="678"/>
      <c r="H131" s="677"/>
      <c r="I131" s="678"/>
      <c r="J131" s="677"/>
      <c r="K131" s="679"/>
      <c r="L131" s="678">
        <v>161</v>
      </c>
      <c r="M131" s="680">
        <v>239</v>
      </c>
      <c r="N131" s="678">
        <v>77</v>
      </c>
      <c r="O131" s="681">
        <v>27</v>
      </c>
      <c r="P131" s="680">
        <v>156</v>
      </c>
      <c r="Q131" s="666">
        <v>660</v>
      </c>
      <c r="R131" s="703">
        <v>8</v>
      </c>
      <c r="S131" s="704">
        <v>8</v>
      </c>
      <c r="T131" s="705">
        <v>0</v>
      </c>
      <c r="U131" s="704">
        <v>0</v>
      </c>
      <c r="V131" s="481">
        <f t="shared" si="13"/>
        <v>16</v>
      </c>
    </row>
    <row r="132" spans="1:22" ht="19.149999999999999" customHeight="1">
      <c r="A132" s="1086"/>
      <c r="B132" s="1083"/>
      <c r="C132" s="667">
        <v>45199</v>
      </c>
      <c r="D132" s="668">
        <v>45199</v>
      </c>
      <c r="E132" s="678">
        <v>365</v>
      </c>
      <c r="F132" s="677">
        <v>760</v>
      </c>
      <c r="G132" s="678"/>
      <c r="H132" s="677"/>
      <c r="I132" s="678"/>
      <c r="J132" s="677"/>
      <c r="K132" s="679"/>
      <c r="L132" s="678">
        <v>228</v>
      </c>
      <c r="M132" s="680">
        <v>360</v>
      </c>
      <c r="N132" s="678">
        <v>75</v>
      </c>
      <c r="O132" s="681">
        <v>56</v>
      </c>
      <c r="P132" s="680">
        <v>94</v>
      </c>
      <c r="Q132" s="666">
        <v>813</v>
      </c>
      <c r="R132" s="703">
        <v>0</v>
      </c>
      <c r="S132" s="704">
        <v>26</v>
      </c>
      <c r="T132" s="705">
        <v>0</v>
      </c>
      <c r="U132" s="704">
        <v>0</v>
      </c>
      <c r="V132" s="481">
        <f t="shared" si="13"/>
        <v>26</v>
      </c>
    </row>
    <row r="133" spans="1:22" ht="19.149999999999999" customHeight="1">
      <c r="A133" s="1092"/>
      <c r="B133" s="1122"/>
      <c r="C133" s="383">
        <v>45200</v>
      </c>
      <c r="D133" s="384">
        <v>45200</v>
      </c>
      <c r="E133" s="674">
        <v>402</v>
      </c>
      <c r="F133" s="468">
        <v>857</v>
      </c>
      <c r="G133" s="674"/>
      <c r="H133" s="468"/>
      <c r="I133" s="674"/>
      <c r="J133" s="468"/>
      <c r="K133" s="469"/>
      <c r="L133" s="674">
        <v>196</v>
      </c>
      <c r="M133" s="685">
        <v>266</v>
      </c>
      <c r="N133" s="674">
        <v>117</v>
      </c>
      <c r="O133" s="686">
        <v>76</v>
      </c>
      <c r="P133" s="685">
        <v>263</v>
      </c>
      <c r="Q133" s="471">
        <v>918</v>
      </c>
      <c r="R133" s="848">
        <v>0</v>
      </c>
      <c r="S133" s="849">
        <v>0</v>
      </c>
      <c r="T133" s="470">
        <v>0</v>
      </c>
      <c r="U133" s="570">
        <v>0</v>
      </c>
      <c r="V133" s="471">
        <f t="shared" ref="V133:V137" si="14">SUM(R133:U133)</f>
        <v>0</v>
      </c>
    </row>
    <row r="134" spans="1:22" ht="19.149999999999999" customHeight="1">
      <c r="A134" s="1085" t="s">
        <v>98</v>
      </c>
      <c r="B134" s="1083">
        <v>41</v>
      </c>
      <c r="C134" s="379">
        <v>45201</v>
      </c>
      <c r="D134" s="380">
        <v>45204</v>
      </c>
      <c r="E134" s="670">
        <v>390</v>
      </c>
      <c r="F134" s="669">
        <v>732</v>
      </c>
      <c r="G134" s="670"/>
      <c r="H134" s="669"/>
      <c r="I134" s="670"/>
      <c r="J134" s="669"/>
      <c r="K134" s="466"/>
      <c r="L134" s="670">
        <v>93</v>
      </c>
      <c r="M134" s="675">
        <v>256</v>
      </c>
      <c r="N134" s="670">
        <v>91</v>
      </c>
      <c r="O134" s="676">
        <v>34</v>
      </c>
      <c r="P134" s="675">
        <v>71</v>
      </c>
      <c r="Q134" s="467">
        <v>545</v>
      </c>
      <c r="R134" s="571">
        <v>0</v>
      </c>
      <c r="S134" s="572">
        <v>0</v>
      </c>
      <c r="T134" s="574">
        <v>0</v>
      </c>
      <c r="U134" s="572">
        <v>0</v>
      </c>
      <c r="V134" s="482">
        <f t="shared" si="14"/>
        <v>0</v>
      </c>
    </row>
    <row r="135" spans="1:22" ht="19.149999999999999" customHeight="1">
      <c r="A135" s="1086"/>
      <c r="B135" s="1083"/>
      <c r="C135" s="667">
        <v>45205</v>
      </c>
      <c r="D135" s="668">
        <v>45205</v>
      </c>
      <c r="E135" s="678">
        <v>201</v>
      </c>
      <c r="F135" s="677">
        <v>336</v>
      </c>
      <c r="G135" s="678"/>
      <c r="H135" s="677"/>
      <c r="I135" s="678"/>
      <c r="J135" s="677"/>
      <c r="K135" s="679"/>
      <c r="L135" s="678">
        <v>42</v>
      </c>
      <c r="M135" s="680">
        <v>127</v>
      </c>
      <c r="N135" s="678">
        <v>45</v>
      </c>
      <c r="O135" s="681">
        <v>42</v>
      </c>
      <c r="P135" s="680">
        <v>13</v>
      </c>
      <c r="Q135" s="666">
        <v>269</v>
      </c>
      <c r="R135" s="703">
        <v>0</v>
      </c>
      <c r="S135" s="704">
        <v>0</v>
      </c>
      <c r="T135" s="705">
        <v>0</v>
      </c>
      <c r="U135" s="704">
        <v>0</v>
      </c>
      <c r="V135" s="481">
        <f t="shared" si="14"/>
        <v>0</v>
      </c>
    </row>
    <row r="136" spans="1:22" ht="19.149999999999999" customHeight="1">
      <c r="A136" s="1086"/>
      <c r="B136" s="1083"/>
      <c r="C136" s="667">
        <v>45206</v>
      </c>
      <c r="D136" s="668">
        <v>45206</v>
      </c>
      <c r="E136" s="678">
        <v>324</v>
      </c>
      <c r="F136" s="677">
        <v>671</v>
      </c>
      <c r="G136" s="678"/>
      <c r="H136" s="677"/>
      <c r="I136" s="678"/>
      <c r="J136" s="677"/>
      <c r="K136" s="679"/>
      <c r="L136" s="678">
        <v>88</v>
      </c>
      <c r="M136" s="680">
        <v>173</v>
      </c>
      <c r="N136" s="678">
        <v>37</v>
      </c>
      <c r="O136" s="681">
        <v>26</v>
      </c>
      <c r="P136" s="680">
        <v>258</v>
      </c>
      <c r="Q136" s="666">
        <v>582</v>
      </c>
      <c r="R136" s="703">
        <v>0</v>
      </c>
      <c r="S136" s="704">
        <v>7</v>
      </c>
      <c r="T136" s="705">
        <v>0</v>
      </c>
      <c r="U136" s="704">
        <v>0</v>
      </c>
      <c r="V136" s="481">
        <f t="shared" si="14"/>
        <v>7</v>
      </c>
    </row>
    <row r="137" spans="1:22" ht="19.149999999999999" customHeight="1">
      <c r="A137" s="1086"/>
      <c r="B137" s="1098"/>
      <c r="C137" s="667">
        <v>45207</v>
      </c>
      <c r="D137" s="668">
        <v>45207</v>
      </c>
      <c r="E137" s="678">
        <v>226</v>
      </c>
      <c r="F137" s="677">
        <v>487</v>
      </c>
      <c r="G137" s="678"/>
      <c r="H137" s="677"/>
      <c r="I137" s="678"/>
      <c r="J137" s="677"/>
      <c r="K137" s="679"/>
      <c r="L137" s="678">
        <v>67</v>
      </c>
      <c r="M137" s="680">
        <v>114</v>
      </c>
      <c r="N137" s="678">
        <v>133</v>
      </c>
      <c r="O137" s="681">
        <v>127</v>
      </c>
      <c r="P137" s="680">
        <v>157</v>
      </c>
      <c r="Q137" s="666">
        <v>598</v>
      </c>
      <c r="R137" s="703">
        <v>0</v>
      </c>
      <c r="S137" s="704">
        <v>0</v>
      </c>
      <c r="T137" s="705">
        <v>0</v>
      </c>
      <c r="U137" s="704">
        <v>0</v>
      </c>
      <c r="V137" s="481">
        <f t="shared" si="14"/>
        <v>0</v>
      </c>
    </row>
    <row r="138" spans="1:22" ht="19.149999999999999" customHeight="1">
      <c r="A138" s="1086"/>
      <c r="B138" s="1102">
        <v>42</v>
      </c>
      <c r="C138" s="667">
        <v>45208</v>
      </c>
      <c r="D138" s="668">
        <v>45211</v>
      </c>
      <c r="E138" s="678">
        <v>32</v>
      </c>
      <c r="F138" s="677">
        <v>67</v>
      </c>
      <c r="G138" s="678"/>
      <c r="H138" s="677"/>
      <c r="I138" s="678"/>
      <c r="J138" s="677"/>
      <c r="K138" s="679"/>
      <c r="L138" s="678">
        <v>15</v>
      </c>
      <c r="M138" s="680">
        <v>20</v>
      </c>
      <c r="N138" s="678">
        <v>12</v>
      </c>
      <c r="O138" s="681">
        <v>0</v>
      </c>
      <c r="P138" s="680">
        <v>29</v>
      </c>
      <c r="Q138" s="666">
        <v>76</v>
      </c>
      <c r="R138" s="703">
        <v>0</v>
      </c>
      <c r="S138" s="704">
        <v>0</v>
      </c>
      <c r="T138" s="705">
        <v>0</v>
      </c>
      <c r="U138" s="704">
        <v>0</v>
      </c>
      <c r="V138" s="481">
        <f t="shared" ref="V138:V141" si="15">SUM(R138:U138)</f>
        <v>0</v>
      </c>
    </row>
    <row r="139" spans="1:22" ht="19.149999999999999" customHeight="1">
      <c r="A139" s="1086"/>
      <c r="B139" s="1083"/>
      <c r="C139" s="667">
        <v>45212</v>
      </c>
      <c r="D139" s="668">
        <v>45212</v>
      </c>
      <c r="E139" s="678">
        <v>126</v>
      </c>
      <c r="F139" s="677">
        <v>215</v>
      </c>
      <c r="G139" s="678"/>
      <c r="H139" s="677"/>
      <c r="I139" s="678"/>
      <c r="J139" s="677"/>
      <c r="K139" s="679"/>
      <c r="L139" s="678">
        <v>13</v>
      </c>
      <c r="M139" s="680">
        <v>48</v>
      </c>
      <c r="N139" s="678">
        <v>42</v>
      </c>
      <c r="O139" s="681">
        <v>19</v>
      </c>
      <c r="P139" s="680">
        <v>128</v>
      </c>
      <c r="Q139" s="666">
        <v>250</v>
      </c>
      <c r="R139" s="703">
        <v>0</v>
      </c>
      <c r="S139" s="704">
        <v>0</v>
      </c>
      <c r="T139" s="705">
        <v>0</v>
      </c>
      <c r="U139" s="704">
        <v>0</v>
      </c>
      <c r="V139" s="481">
        <f t="shared" si="15"/>
        <v>0</v>
      </c>
    </row>
    <row r="140" spans="1:22" ht="19.149999999999999" customHeight="1">
      <c r="A140" s="1086"/>
      <c r="B140" s="1083"/>
      <c r="C140" s="667">
        <v>45213</v>
      </c>
      <c r="D140" s="668">
        <v>45213</v>
      </c>
      <c r="E140" s="678">
        <v>80</v>
      </c>
      <c r="F140" s="677">
        <v>148</v>
      </c>
      <c r="G140" s="678"/>
      <c r="H140" s="677"/>
      <c r="I140" s="678"/>
      <c r="J140" s="677"/>
      <c r="K140" s="679"/>
      <c r="L140" s="678">
        <v>36</v>
      </c>
      <c r="M140" s="680">
        <v>36</v>
      </c>
      <c r="N140" s="678">
        <v>10</v>
      </c>
      <c r="O140" s="681">
        <v>4</v>
      </c>
      <c r="P140" s="680">
        <v>87</v>
      </c>
      <c r="Q140" s="666">
        <v>173</v>
      </c>
      <c r="R140" s="703">
        <v>0</v>
      </c>
      <c r="S140" s="704">
        <v>9</v>
      </c>
      <c r="T140" s="705">
        <v>0</v>
      </c>
      <c r="U140" s="704">
        <v>0</v>
      </c>
      <c r="V140" s="481">
        <f t="shared" si="15"/>
        <v>9</v>
      </c>
    </row>
    <row r="141" spans="1:22" ht="19.149999999999999" customHeight="1">
      <c r="A141" s="1086"/>
      <c r="B141" s="1098"/>
      <c r="C141" s="667">
        <v>45214</v>
      </c>
      <c r="D141" s="668">
        <v>45214</v>
      </c>
      <c r="E141" s="678">
        <v>79</v>
      </c>
      <c r="F141" s="677">
        <v>126</v>
      </c>
      <c r="G141" s="678"/>
      <c r="H141" s="677"/>
      <c r="I141" s="678"/>
      <c r="J141" s="677"/>
      <c r="K141" s="679"/>
      <c r="L141" s="678">
        <v>15</v>
      </c>
      <c r="M141" s="680">
        <v>48</v>
      </c>
      <c r="N141" s="678">
        <v>12</v>
      </c>
      <c r="O141" s="681">
        <v>12</v>
      </c>
      <c r="P141" s="680">
        <v>9</v>
      </c>
      <c r="Q141" s="666">
        <v>96</v>
      </c>
      <c r="R141" s="703">
        <v>0</v>
      </c>
      <c r="S141" s="704">
        <v>0</v>
      </c>
      <c r="T141" s="705">
        <v>0</v>
      </c>
      <c r="U141" s="704">
        <v>0</v>
      </c>
      <c r="V141" s="481">
        <f t="shared" si="15"/>
        <v>0</v>
      </c>
    </row>
    <row r="142" spans="1:22" ht="19.149999999999999" customHeight="1">
      <c r="A142" s="1086"/>
      <c r="B142" s="1102">
        <v>43</v>
      </c>
      <c r="C142" s="667">
        <v>45215</v>
      </c>
      <c r="D142" s="668">
        <v>45218</v>
      </c>
      <c r="E142" s="678">
        <v>171</v>
      </c>
      <c r="F142" s="677">
        <v>265</v>
      </c>
      <c r="G142" s="678"/>
      <c r="H142" s="677"/>
      <c r="I142" s="678"/>
      <c r="J142" s="677"/>
      <c r="K142" s="679"/>
      <c r="L142" s="678">
        <v>6</v>
      </c>
      <c r="M142" s="680">
        <v>26</v>
      </c>
      <c r="N142" s="678">
        <v>60</v>
      </c>
      <c r="O142" s="681">
        <v>6</v>
      </c>
      <c r="P142" s="680">
        <v>74</v>
      </c>
      <c r="Q142" s="666">
        <v>172</v>
      </c>
      <c r="R142" s="703">
        <v>0</v>
      </c>
      <c r="S142" s="704">
        <v>0</v>
      </c>
      <c r="T142" s="705">
        <v>0</v>
      </c>
      <c r="U142" s="704">
        <v>0</v>
      </c>
      <c r="V142" s="481">
        <f t="shared" ref="V142:V145" si="16">SUM(R142:U142)</f>
        <v>0</v>
      </c>
    </row>
    <row r="143" spans="1:22" ht="19.149999999999999" customHeight="1">
      <c r="A143" s="1086"/>
      <c r="B143" s="1083"/>
      <c r="C143" s="667">
        <v>45219</v>
      </c>
      <c r="D143" s="668">
        <v>45219</v>
      </c>
      <c r="E143" s="678">
        <v>33</v>
      </c>
      <c r="F143" s="677">
        <v>70</v>
      </c>
      <c r="G143" s="678"/>
      <c r="H143" s="677"/>
      <c r="I143" s="678"/>
      <c r="J143" s="677"/>
      <c r="K143" s="679"/>
      <c r="L143" s="678">
        <v>8</v>
      </c>
      <c r="M143" s="680">
        <v>8</v>
      </c>
      <c r="N143" s="678">
        <v>3</v>
      </c>
      <c r="O143" s="681">
        <v>6</v>
      </c>
      <c r="P143" s="680">
        <v>46</v>
      </c>
      <c r="Q143" s="666">
        <v>71</v>
      </c>
      <c r="R143" s="703">
        <v>0</v>
      </c>
      <c r="S143" s="704">
        <v>0</v>
      </c>
      <c r="T143" s="705">
        <v>0</v>
      </c>
      <c r="U143" s="704">
        <v>0</v>
      </c>
      <c r="V143" s="481">
        <f t="shared" si="16"/>
        <v>0</v>
      </c>
    </row>
    <row r="144" spans="1:22" ht="19.149999999999999" customHeight="1">
      <c r="A144" s="1086"/>
      <c r="B144" s="1083"/>
      <c r="C144" s="667">
        <v>45220</v>
      </c>
      <c r="D144" s="668">
        <v>45220</v>
      </c>
      <c r="E144" s="678">
        <v>80</v>
      </c>
      <c r="F144" s="677">
        <v>202</v>
      </c>
      <c r="G144" s="678"/>
      <c r="H144" s="677"/>
      <c r="I144" s="678"/>
      <c r="J144" s="677"/>
      <c r="K144" s="679"/>
      <c r="L144" s="678">
        <v>29</v>
      </c>
      <c r="M144" s="680">
        <v>46</v>
      </c>
      <c r="N144" s="678">
        <v>15</v>
      </c>
      <c r="O144" s="681">
        <v>22</v>
      </c>
      <c r="P144" s="680">
        <v>49</v>
      </c>
      <c r="Q144" s="666">
        <v>161</v>
      </c>
      <c r="R144" s="703">
        <v>0</v>
      </c>
      <c r="S144" s="704">
        <v>0</v>
      </c>
      <c r="T144" s="705">
        <v>0</v>
      </c>
      <c r="U144" s="704">
        <v>0</v>
      </c>
      <c r="V144" s="481">
        <f t="shared" si="16"/>
        <v>0</v>
      </c>
    </row>
    <row r="145" spans="1:22" ht="19.149999999999999" customHeight="1">
      <c r="A145" s="1086"/>
      <c r="B145" s="1098"/>
      <c r="C145" s="667">
        <v>45221</v>
      </c>
      <c r="D145" s="668">
        <v>45221</v>
      </c>
      <c r="E145" s="678">
        <v>23</v>
      </c>
      <c r="F145" s="677">
        <v>43</v>
      </c>
      <c r="G145" s="678"/>
      <c r="H145" s="677"/>
      <c r="I145" s="678"/>
      <c r="J145" s="677"/>
      <c r="K145" s="679"/>
      <c r="L145" s="678">
        <v>3</v>
      </c>
      <c r="M145" s="680">
        <v>0</v>
      </c>
      <c r="N145" s="678">
        <v>0</v>
      </c>
      <c r="O145" s="681">
        <v>0</v>
      </c>
      <c r="P145" s="680">
        <v>11</v>
      </c>
      <c r="Q145" s="666">
        <v>14</v>
      </c>
      <c r="R145" s="703">
        <v>0</v>
      </c>
      <c r="S145" s="704">
        <v>0</v>
      </c>
      <c r="T145" s="705">
        <v>0</v>
      </c>
      <c r="U145" s="704">
        <v>0</v>
      </c>
      <c r="V145" s="481">
        <f t="shared" si="16"/>
        <v>0</v>
      </c>
    </row>
    <row r="146" spans="1:22" ht="19.149999999999999" customHeight="1">
      <c r="A146" s="1086"/>
      <c r="B146" s="1102">
        <v>44</v>
      </c>
      <c r="C146" s="667">
        <v>45222</v>
      </c>
      <c r="D146" s="668">
        <v>45225</v>
      </c>
      <c r="E146" s="678">
        <v>29</v>
      </c>
      <c r="F146" s="677">
        <v>50</v>
      </c>
      <c r="G146" s="678"/>
      <c r="H146" s="677"/>
      <c r="I146" s="678"/>
      <c r="J146" s="677"/>
      <c r="K146" s="679"/>
      <c r="L146" s="678">
        <v>0</v>
      </c>
      <c r="M146" s="680">
        <v>6</v>
      </c>
      <c r="N146" s="678">
        <v>20</v>
      </c>
      <c r="O146" s="681">
        <v>15</v>
      </c>
      <c r="P146" s="680">
        <v>0</v>
      </c>
      <c r="Q146" s="666">
        <v>41</v>
      </c>
      <c r="R146" s="703">
        <v>0</v>
      </c>
      <c r="S146" s="704">
        <v>0</v>
      </c>
      <c r="T146" s="705">
        <v>0</v>
      </c>
      <c r="U146" s="704">
        <v>0</v>
      </c>
      <c r="V146" s="481">
        <f t="shared" ref="V146:V150" si="17">SUM(R146:U146)</f>
        <v>0</v>
      </c>
    </row>
    <row r="147" spans="1:22" ht="19.149999999999999" customHeight="1">
      <c r="A147" s="1086"/>
      <c r="B147" s="1083"/>
      <c r="C147" s="667">
        <v>45226</v>
      </c>
      <c r="D147" s="668">
        <v>45226</v>
      </c>
      <c r="E147" s="678">
        <v>11</v>
      </c>
      <c r="F147" s="677">
        <v>28</v>
      </c>
      <c r="G147" s="678"/>
      <c r="H147" s="677"/>
      <c r="I147" s="678"/>
      <c r="J147" s="677"/>
      <c r="K147" s="679"/>
      <c r="L147" s="678">
        <v>0</v>
      </c>
      <c r="M147" s="680">
        <v>0</v>
      </c>
      <c r="N147" s="678">
        <v>3</v>
      </c>
      <c r="O147" s="681">
        <v>0</v>
      </c>
      <c r="P147" s="680">
        <v>0</v>
      </c>
      <c r="Q147" s="666">
        <v>3</v>
      </c>
      <c r="R147" s="703">
        <v>0</v>
      </c>
      <c r="S147" s="704">
        <v>0</v>
      </c>
      <c r="T147" s="705">
        <v>0</v>
      </c>
      <c r="U147" s="704">
        <v>0</v>
      </c>
      <c r="V147" s="481">
        <f t="shared" si="17"/>
        <v>0</v>
      </c>
    </row>
    <row r="148" spans="1:22" ht="19.149999999999999" customHeight="1">
      <c r="A148" s="1086"/>
      <c r="B148" s="1083"/>
      <c r="C148" s="381">
        <v>45227</v>
      </c>
      <c r="D148" s="382">
        <v>45227</v>
      </c>
      <c r="E148" s="678">
        <v>29</v>
      </c>
      <c r="F148" s="677">
        <v>39</v>
      </c>
      <c r="G148" s="678"/>
      <c r="H148" s="677"/>
      <c r="I148" s="678"/>
      <c r="J148" s="677"/>
      <c r="K148" s="679"/>
      <c r="L148" s="678">
        <v>0</v>
      </c>
      <c r="M148" s="680">
        <v>0</v>
      </c>
      <c r="N148" s="678">
        <v>7</v>
      </c>
      <c r="O148" s="681">
        <v>6</v>
      </c>
      <c r="P148" s="680">
        <v>24</v>
      </c>
      <c r="Q148" s="666">
        <v>37</v>
      </c>
      <c r="R148" s="703">
        <v>0</v>
      </c>
      <c r="S148" s="704">
        <v>0</v>
      </c>
      <c r="T148" s="705">
        <v>0</v>
      </c>
      <c r="U148" s="704">
        <v>0</v>
      </c>
      <c r="V148" s="481">
        <f t="shared" si="17"/>
        <v>0</v>
      </c>
    </row>
    <row r="149" spans="1:22" ht="19.149999999999999" customHeight="1">
      <c r="A149" s="1086"/>
      <c r="B149" s="1098"/>
      <c r="C149" s="381">
        <v>45228</v>
      </c>
      <c r="D149" s="382">
        <v>45228</v>
      </c>
      <c r="E149" s="678">
        <v>20</v>
      </c>
      <c r="F149" s="677">
        <v>35</v>
      </c>
      <c r="G149" s="678"/>
      <c r="H149" s="677"/>
      <c r="I149" s="678"/>
      <c r="J149" s="677"/>
      <c r="K149" s="679"/>
      <c r="L149" s="678">
        <v>0</v>
      </c>
      <c r="M149" s="680">
        <v>9</v>
      </c>
      <c r="N149" s="678">
        <v>0</v>
      </c>
      <c r="O149" s="681">
        <v>0</v>
      </c>
      <c r="P149" s="680">
        <v>6</v>
      </c>
      <c r="Q149" s="666">
        <v>15</v>
      </c>
      <c r="R149" s="703">
        <v>0</v>
      </c>
      <c r="S149" s="704">
        <v>0</v>
      </c>
      <c r="T149" s="705">
        <v>0</v>
      </c>
      <c r="U149" s="704">
        <v>0</v>
      </c>
      <c r="V149" s="481">
        <f t="shared" si="17"/>
        <v>0</v>
      </c>
    </row>
    <row r="150" spans="1:22" ht="19.149999999999999" customHeight="1" thickBot="1">
      <c r="A150" s="1092"/>
      <c r="B150" s="429">
        <v>45</v>
      </c>
      <c r="C150" s="383">
        <v>45229</v>
      </c>
      <c r="D150" s="384">
        <v>45230</v>
      </c>
      <c r="E150" s="473">
        <v>12</v>
      </c>
      <c r="F150" s="474">
        <v>21</v>
      </c>
      <c r="G150" s="473"/>
      <c r="H150" s="474"/>
      <c r="I150" s="473"/>
      <c r="J150" s="474"/>
      <c r="K150" s="475"/>
      <c r="L150" s="473">
        <v>0</v>
      </c>
      <c r="M150" s="476">
        <v>0</v>
      </c>
      <c r="N150" s="473">
        <v>0</v>
      </c>
      <c r="O150" s="477">
        <v>0</v>
      </c>
      <c r="P150" s="476">
        <v>0</v>
      </c>
      <c r="Q150" s="478">
        <v>0</v>
      </c>
      <c r="R150" s="470">
        <v>0</v>
      </c>
      <c r="S150" s="570">
        <v>0</v>
      </c>
      <c r="T150" s="573">
        <v>0</v>
      </c>
      <c r="U150" s="570">
        <v>0</v>
      </c>
      <c r="V150" s="471">
        <f t="shared" si="17"/>
        <v>0</v>
      </c>
    </row>
    <row r="151" spans="1:22" ht="45.75" thickBot="1">
      <c r="A151" s="511"/>
      <c r="B151" s="484" t="s">
        <v>235</v>
      </c>
      <c r="C151" s="446">
        <v>45185</v>
      </c>
      <c r="D151" s="447">
        <v>45185</v>
      </c>
      <c r="E151" s="485">
        <v>58</v>
      </c>
      <c r="F151" s="486">
        <v>126</v>
      </c>
      <c r="G151" s="485"/>
      <c r="H151" s="486"/>
      <c r="I151" s="485"/>
      <c r="J151" s="486"/>
      <c r="K151" s="487"/>
      <c r="L151" s="485">
        <v>29</v>
      </c>
      <c r="M151" s="488">
        <v>32</v>
      </c>
      <c r="N151" s="485">
        <v>25</v>
      </c>
      <c r="O151" s="489">
        <v>14</v>
      </c>
      <c r="P151" s="488">
        <v>11</v>
      </c>
      <c r="Q151" s="490">
        <f>SUM(L151:P151)</f>
        <v>111</v>
      </c>
      <c r="R151" s="489"/>
      <c r="S151" s="488"/>
      <c r="T151" s="489"/>
      <c r="U151" s="488"/>
      <c r="V151" s="490"/>
    </row>
    <row r="152" spans="1:22" ht="30.75" thickBot="1">
      <c r="A152" s="511"/>
      <c r="B152" s="484" t="s">
        <v>221</v>
      </c>
      <c r="C152" s="446">
        <v>45192</v>
      </c>
      <c r="D152" s="447">
        <v>45192</v>
      </c>
      <c r="E152" s="485">
        <v>706</v>
      </c>
      <c r="F152" s="486">
        <v>2118</v>
      </c>
      <c r="G152" s="485"/>
      <c r="H152" s="486"/>
      <c r="I152" s="485"/>
      <c r="J152" s="486"/>
      <c r="K152" s="487"/>
      <c r="L152" s="485">
        <v>13</v>
      </c>
      <c r="M152" s="488">
        <v>8</v>
      </c>
      <c r="N152" s="485"/>
      <c r="O152" s="489"/>
      <c r="P152" s="488"/>
      <c r="Q152" s="490">
        <f>SUM(L152:P152)</f>
        <v>21</v>
      </c>
      <c r="R152" s="489"/>
      <c r="S152" s="488"/>
      <c r="T152" s="489"/>
      <c r="U152" s="488"/>
      <c r="V152" s="490"/>
    </row>
    <row r="153" spans="1:22" ht="19.149999999999999" customHeight="1">
      <c r="A153" s="1099" t="s">
        <v>236</v>
      </c>
      <c r="B153" s="1100"/>
      <c r="C153" s="1100"/>
      <c r="D153" s="1101"/>
      <c r="E153" s="491">
        <f>SUM(E62:E152)</f>
        <v>33886</v>
      </c>
      <c r="F153" s="492">
        <f>SUM(F62:F152)</f>
        <v>73203</v>
      </c>
      <c r="G153" s="565">
        <f>SUM(G87:G110)</f>
        <v>3386</v>
      </c>
      <c r="H153" s="564">
        <f>SUM(H87:H152)</f>
        <v>34</v>
      </c>
      <c r="I153" s="565">
        <f>SUM(I87:I152)</f>
        <v>7206</v>
      </c>
      <c r="J153" s="564">
        <f>SUM(J87:J152)</f>
        <v>4217</v>
      </c>
      <c r="K153" s="491">
        <f>SUM(K87:K152)</f>
        <v>14844</v>
      </c>
      <c r="L153" s="334">
        <f t="shared" ref="L153:V153" si="18">SUM(L62:L152)</f>
        <v>18073</v>
      </c>
      <c r="M153" s="495">
        <f t="shared" si="18"/>
        <v>18941</v>
      </c>
      <c r="N153" s="494">
        <f t="shared" si="18"/>
        <v>4873</v>
      </c>
      <c r="O153" s="496">
        <f t="shared" si="18"/>
        <v>3337</v>
      </c>
      <c r="P153" s="497">
        <f t="shared" si="18"/>
        <v>9414</v>
      </c>
      <c r="Q153" s="498">
        <f t="shared" si="18"/>
        <v>54638</v>
      </c>
      <c r="R153" s="496">
        <f t="shared" si="18"/>
        <v>21046</v>
      </c>
      <c r="S153" s="497">
        <f t="shared" si="18"/>
        <v>20504</v>
      </c>
      <c r="T153" s="496">
        <f t="shared" si="18"/>
        <v>9</v>
      </c>
      <c r="U153" s="497">
        <f t="shared" si="18"/>
        <v>0</v>
      </c>
      <c r="V153" s="498">
        <f t="shared" si="18"/>
        <v>41559</v>
      </c>
    </row>
    <row r="154" spans="1:22" ht="19.149999999999999" customHeight="1">
      <c r="A154" s="1107" t="s">
        <v>72</v>
      </c>
      <c r="B154" s="1108"/>
      <c r="C154" s="1108"/>
      <c r="D154" s="1109"/>
      <c r="E154" s="670">
        <f>(35663)+(64494)+(17253)+(5826)+(9333)+(54045)+(261854)</f>
        <v>448468</v>
      </c>
      <c r="F154" s="669">
        <f>(306055)+(366755)+(92230)+(28636)+(14467)+(502990)+(1209508)</f>
        <v>2520641</v>
      </c>
      <c r="G154" s="763">
        <v>35663</v>
      </c>
      <c r="H154" s="546">
        <v>306055</v>
      </c>
      <c r="I154" s="545">
        <v>1583600</v>
      </c>
      <c r="J154" s="548">
        <v>428534</v>
      </c>
      <c r="K154" s="548">
        <v>3901222</v>
      </c>
      <c r="L154" s="341">
        <v>188780</v>
      </c>
      <c r="M154" s="342">
        <v>177101</v>
      </c>
      <c r="N154" s="341">
        <v>34294</v>
      </c>
      <c r="O154" s="463">
        <v>64970</v>
      </c>
      <c r="P154" s="344">
        <v>311308</v>
      </c>
      <c r="Q154" s="345">
        <v>777220</v>
      </c>
      <c r="R154" s="463">
        <v>768677</v>
      </c>
      <c r="S154" s="464">
        <v>1150370</v>
      </c>
      <c r="T154" s="463">
        <v>27</v>
      </c>
      <c r="U154" s="464">
        <v>0</v>
      </c>
      <c r="V154" s="345">
        <f>SUM(R154:U154)</f>
        <v>1919074</v>
      </c>
    </row>
    <row r="155" spans="1:22" ht="19.149999999999999" customHeight="1">
      <c r="A155" s="1103" t="s">
        <v>73</v>
      </c>
      <c r="B155" s="1104"/>
      <c r="C155" s="1104"/>
      <c r="D155" s="1105"/>
      <c r="E155" s="349">
        <f>SQRT(E154)</f>
        <v>669.67753434022256</v>
      </c>
      <c r="F155" s="679">
        <f>SQRT(F154)</f>
        <v>1587.6526698242283</v>
      </c>
      <c r="G155" s="764">
        <v>202</v>
      </c>
      <c r="H155" s="770">
        <v>13</v>
      </c>
      <c r="I155" s="566">
        <v>1258</v>
      </c>
      <c r="J155" s="767">
        <v>655</v>
      </c>
      <c r="K155" s="566">
        <v>1975</v>
      </c>
      <c r="L155" s="349">
        <v>434</v>
      </c>
      <c r="M155" s="499">
        <v>421</v>
      </c>
      <c r="N155" s="349">
        <v>185</v>
      </c>
      <c r="O155" s="692">
        <v>255</v>
      </c>
      <c r="P155" s="353">
        <v>558</v>
      </c>
      <c r="Q155" s="666">
        <v>882</v>
      </c>
      <c r="R155" s="692">
        <v>877</v>
      </c>
      <c r="S155" s="693">
        <v>1073</v>
      </c>
      <c r="T155" s="692">
        <v>5</v>
      </c>
      <c r="U155" s="693">
        <v>0</v>
      </c>
      <c r="V155" s="666">
        <f>SQRT(V154)</f>
        <v>1385.3064642886786</v>
      </c>
    </row>
    <row r="156" spans="1:22" ht="19.149999999999999" customHeight="1">
      <c r="A156" s="1103" t="s">
        <v>74</v>
      </c>
      <c r="B156" s="1104"/>
      <c r="C156" s="1104"/>
      <c r="D156" s="1105"/>
      <c r="E156" s="395">
        <f t="shared" ref="E156:F156" si="19">E155/E153</f>
        <v>1.9762661109019138E-2</v>
      </c>
      <c r="F156" s="502">
        <f t="shared" si="19"/>
        <v>2.1688355256263107E-2</v>
      </c>
      <c r="G156" s="765">
        <v>0.06</v>
      </c>
      <c r="H156" s="771">
        <v>0.27</v>
      </c>
      <c r="I156" s="500">
        <v>0.17</v>
      </c>
      <c r="J156" s="768">
        <v>0.15</v>
      </c>
      <c r="K156" s="500">
        <v>0.13</v>
      </c>
      <c r="L156" s="395">
        <v>0.02</v>
      </c>
      <c r="M156" s="358">
        <v>0.02</v>
      </c>
      <c r="N156" s="395">
        <v>0.04</v>
      </c>
      <c r="O156" s="505">
        <v>0.08</v>
      </c>
      <c r="P156" s="359">
        <v>0.06</v>
      </c>
      <c r="Q156" s="360">
        <v>0.02</v>
      </c>
      <c r="R156" s="505">
        <v>0.04</v>
      </c>
      <c r="S156" s="506">
        <v>0.08</v>
      </c>
      <c r="T156" s="505">
        <v>0.56000000000000005</v>
      </c>
      <c r="U156" s="506" t="s">
        <v>140</v>
      </c>
      <c r="V156" s="360">
        <f t="shared" ref="V156" si="20">V155/V153</f>
        <v>3.3333488878189529E-2</v>
      </c>
    </row>
    <row r="157" spans="1:22" ht="19.149999999999999" customHeight="1">
      <c r="A157" s="1110" t="s">
        <v>75</v>
      </c>
      <c r="B157" s="1111"/>
      <c r="C157" s="1111"/>
      <c r="D157" s="1112"/>
      <c r="E157" s="365" t="str">
        <f t="shared" ref="E157:F157" si="21">CONCATENATE(TEXT(ROUND(E153-1.96*SQRT(E154),0),"#,###"),"-",TEXT(ROUND(E153+1.96*SQRT(E154),0),"#,###"))</f>
        <v>32,573-35,199</v>
      </c>
      <c r="F157" s="469" t="str">
        <f t="shared" si="21"/>
        <v>70,091-76,315</v>
      </c>
      <c r="G157" s="766" t="s">
        <v>255</v>
      </c>
      <c r="H157" s="772" t="s">
        <v>256</v>
      </c>
      <c r="I157" s="896" t="s">
        <v>257</v>
      </c>
      <c r="J157" s="769" t="s">
        <v>258</v>
      </c>
      <c r="K157" s="896" t="s">
        <v>259</v>
      </c>
      <c r="L157" s="365" t="s">
        <v>326</v>
      </c>
      <c r="M157" s="371" t="s">
        <v>327</v>
      </c>
      <c r="N157" s="365" t="s">
        <v>328</v>
      </c>
      <c r="O157" s="370" t="s">
        <v>329</v>
      </c>
      <c r="P157" s="371" t="s">
        <v>330</v>
      </c>
      <c r="Q157" s="368" t="s">
        <v>331</v>
      </c>
      <c r="R157" s="370" t="s">
        <v>260</v>
      </c>
      <c r="S157" s="371" t="s">
        <v>261</v>
      </c>
      <c r="T157" s="370" t="s">
        <v>262</v>
      </c>
      <c r="U157" s="371" t="s">
        <v>151</v>
      </c>
      <c r="V157" s="368" t="str">
        <f t="shared" ref="V157" si="22">CONCATENATE(TEXT(ROUND(V153-1.96*SQRT(V154),0),"#,###"),"-",TEXT(ROUND(V153+1.96*SQRT(V154),0),"#,###"))</f>
        <v>38,844-44,274</v>
      </c>
    </row>
    <row r="158" spans="1:22" ht="15.75">
      <c r="A158" t="s">
        <v>252</v>
      </c>
      <c r="B158" s="874"/>
      <c r="C158" s="874"/>
      <c r="D158" s="1106"/>
      <c r="E158" s="1106"/>
      <c r="F158" s="1106"/>
      <c r="G158" s="1106"/>
      <c r="H158" s="1106"/>
      <c r="I158" s="874"/>
      <c r="J158" s="874"/>
      <c r="K158" s="180">
        <f>G153/'Area9&amp;10 test fishing'!C24/0.87</f>
        <v>14718.66248693835</v>
      </c>
    </row>
    <row r="159" spans="1:22" ht="15.75">
      <c r="A159" s="874"/>
      <c r="B159" s="874"/>
      <c r="C159" s="874"/>
      <c r="E159"/>
      <c r="F159"/>
      <c r="G159" s="387"/>
      <c r="H159" s="388"/>
      <c r="I159" s="874"/>
      <c r="J159" s="874"/>
      <c r="K159" s="874"/>
    </row>
    <row r="160" spans="1:22">
      <c r="E160"/>
      <c r="F160"/>
      <c r="L160"/>
      <c r="M160"/>
      <c r="N160"/>
      <c r="O160"/>
      <c r="P160"/>
      <c r="Q160"/>
    </row>
    <row r="161" spans="5:18">
      <c r="E161"/>
      <c r="F161"/>
      <c r="G161"/>
      <c r="H161"/>
      <c r="I161"/>
      <c r="J161"/>
      <c r="K161"/>
      <c r="L161" s="48"/>
    </row>
    <row r="162" spans="5:18">
      <c r="E162"/>
      <c r="F162"/>
      <c r="M162"/>
    </row>
    <row r="163" spans="5:18">
      <c r="E163"/>
      <c r="F163"/>
      <c r="R163" s="774"/>
    </row>
    <row r="164" spans="5:18">
      <c r="E164"/>
      <c r="F164"/>
      <c r="R164" s="774"/>
    </row>
    <row r="165" spans="5:18">
      <c r="E165"/>
      <c r="F165"/>
    </row>
    <row r="166" spans="5:18">
      <c r="M166" s="49"/>
    </row>
    <row r="167" spans="5:18">
      <c r="E167"/>
      <c r="F167"/>
      <c r="M167" s="49"/>
    </row>
    <row r="168" spans="5:18">
      <c r="E168"/>
      <c r="F168"/>
      <c r="L168" s="775"/>
    </row>
    <row r="169" spans="5:18">
      <c r="E169"/>
      <c r="F169"/>
    </row>
    <row r="170" spans="5:18">
      <c r="E170"/>
      <c r="F170"/>
    </row>
    <row r="171" spans="5:18">
      <c r="O171" s="49"/>
    </row>
    <row r="174" spans="5:18">
      <c r="E174"/>
      <c r="F174"/>
    </row>
    <row r="175" spans="5:18">
      <c r="E175"/>
      <c r="F175"/>
    </row>
    <row r="176" spans="5:18">
      <c r="E176"/>
      <c r="F176"/>
    </row>
    <row r="177" spans="5:6">
      <c r="E177"/>
      <c r="F177"/>
    </row>
  </sheetData>
  <mergeCells count="90">
    <mergeCell ref="B12:B15"/>
    <mergeCell ref="A6:A15"/>
    <mergeCell ref="R59:V59"/>
    <mergeCell ref="R60:R61"/>
    <mergeCell ref="S60:S61"/>
    <mergeCell ref="T60:T61"/>
    <mergeCell ref="U60:U61"/>
    <mergeCell ref="V60:V61"/>
    <mergeCell ref="B16:B19"/>
    <mergeCell ref="B20:B23"/>
    <mergeCell ref="B6:B8"/>
    <mergeCell ref="B9:B11"/>
    <mergeCell ref="Q60:Q61"/>
    <mergeCell ref="N60:P60"/>
    <mergeCell ref="A53:D53"/>
    <mergeCell ref="A54:D54"/>
    <mergeCell ref="R3:V3"/>
    <mergeCell ref="R4:R5"/>
    <mergeCell ref="S4:S5"/>
    <mergeCell ref="T4:T5"/>
    <mergeCell ref="U4:U5"/>
    <mergeCell ref="V4:V5"/>
    <mergeCell ref="B142:B145"/>
    <mergeCell ref="B146:B149"/>
    <mergeCell ref="A99:A118"/>
    <mergeCell ref="A134:A150"/>
    <mergeCell ref="B130:B133"/>
    <mergeCell ref="B99:B102"/>
    <mergeCell ref="B103:B106"/>
    <mergeCell ref="B107:B110"/>
    <mergeCell ref="B138:B141"/>
    <mergeCell ref="B111:B114"/>
    <mergeCell ref="B115:B118"/>
    <mergeCell ref="B119:B122"/>
    <mergeCell ref="B126:B129"/>
    <mergeCell ref="A119:A133"/>
    <mergeCell ref="A1:Q1"/>
    <mergeCell ref="B4:B5"/>
    <mergeCell ref="C4:C5"/>
    <mergeCell ref="D4:D5"/>
    <mergeCell ref="E4:F4"/>
    <mergeCell ref="G4:H4"/>
    <mergeCell ref="I4:J4"/>
    <mergeCell ref="N4:P4"/>
    <mergeCell ref="Q4:Q5"/>
    <mergeCell ref="K4:K5"/>
    <mergeCell ref="A2:Q2"/>
    <mergeCell ref="L4:M4"/>
    <mergeCell ref="A4:A5"/>
    <mergeCell ref="K60:K61"/>
    <mergeCell ref="L60:M60"/>
    <mergeCell ref="A60:A61"/>
    <mergeCell ref="B60:B61"/>
    <mergeCell ref="A56:D56"/>
    <mergeCell ref="C60:C61"/>
    <mergeCell ref="G60:H60"/>
    <mergeCell ref="D57:H57"/>
    <mergeCell ref="E60:F60"/>
    <mergeCell ref="I60:J60"/>
    <mergeCell ref="D158:H158"/>
    <mergeCell ref="A153:D153"/>
    <mergeCell ref="A154:D154"/>
    <mergeCell ref="A155:D155"/>
    <mergeCell ref="A156:D156"/>
    <mergeCell ref="A157:D157"/>
    <mergeCell ref="A62:A81"/>
    <mergeCell ref="D60:D61"/>
    <mergeCell ref="A82:A98"/>
    <mergeCell ref="B134:B137"/>
    <mergeCell ref="A52:D52"/>
    <mergeCell ref="B91:B94"/>
    <mergeCell ref="B95:B98"/>
    <mergeCell ref="B62:B65"/>
    <mergeCell ref="B66:B69"/>
    <mergeCell ref="B70:B73"/>
    <mergeCell ref="B74:B77"/>
    <mergeCell ref="B78:B81"/>
    <mergeCell ref="B86:B90"/>
    <mergeCell ref="B82:B85"/>
    <mergeCell ref="A55:D55"/>
    <mergeCell ref="B123:B125"/>
    <mergeCell ref="B47:B49"/>
    <mergeCell ref="A32:A49"/>
    <mergeCell ref="B24:B27"/>
    <mergeCell ref="A16:A31"/>
    <mergeCell ref="B28:B31"/>
    <mergeCell ref="B32:B35"/>
    <mergeCell ref="B36:B39"/>
    <mergeCell ref="B40:B42"/>
    <mergeCell ref="B43:B46"/>
  </mergeCells>
  <pageMargins left="0.32" right="0.25" top="0.46" bottom="0.45" header="0.3" footer="0.3"/>
  <pageSetup scale="50" fitToHeight="2" orientation="landscape" r:id="rId1"/>
  <headerFooter>
    <oddFooter>&amp;L&amp;8&amp;D&amp;R&amp;8&amp;F  &amp;A</oddFooter>
  </headerFooter>
  <rowBreaks count="1" manualBreakCount="1">
    <brk id="58" max="16383" man="1"/>
  </row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48"/>
  <sheetViews>
    <sheetView zoomScale="80" workbookViewId="0">
      <selection sqref="A1:H1"/>
    </sheetView>
  </sheetViews>
  <sheetFormatPr defaultRowHeight="12.75"/>
  <cols>
    <col min="1" max="1" width="10" style="50" customWidth="1"/>
    <col min="2" max="2" width="11.83203125" style="50" bestFit="1" customWidth="1"/>
    <col min="3" max="8" width="10" style="50" customWidth="1"/>
    <col min="9" max="9" width="11.83203125" style="50" customWidth="1"/>
    <col min="10" max="10" width="8.83203125" style="50"/>
    <col min="11" max="12" width="8.83203125" style="50" customWidth="1"/>
    <col min="13" max="232" width="8.83203125" style="50"/>
    <col min="233" max="233" width="9.83203125" style="50" customWidth="1"/>
    <col min="234" max="234" width="8.33203125" style="50" customWidth="1"/>
    <col min="235" max="235" width="9" style="50" customWidth="1"/>
    <col min="236" max="236" width="7.33203125" style="50" customWidth="1"/>
    <col min="237" max="237" width="8.1640625" style="50" customWidth="1"/>
    <col min="238" max="238" width="8.83203125" style="50" customWidth="1"/>
    <col min="239" max="239" width="7.33203125" style="50" customWidth="1"/>
    <col min="240" max="240" width="2.33203125" style="50" customWidth="1"/>
    <col min="241" max="241" width="9.5" style="50" customWidth="1"/>
    <col min="242" max="242" width="8.83203125" style="50" customWidth="1"/>
    <col min="243" max="243" width="8.5" style="50" customWidth="1"/>
    <col min="244" max="244" width="11" style="50" customWidth="1"/>
    <col min="245" max="245" width="8.83203125" style="50"/>
    <col min="246" max="246" width="9.33203125" style="50" customWidth="1"/>
    <col min="247" max="247" width="10.5" style="50" customWidth="1"/>
    <col min="248" max="248" width="8.83203125" style="50" customWidth="1"/>
    <col min="249" max="488" width="8.83203125" style="50"/>
    <col min="489" max="489" width="9.83203125" style="50" customWidth="1"/>
    <col min="490" max="490" width="8.33203125" style="50" customWidth="1"/>
    <col min="491" max="491" width="9" style="50" customWidth="1"/>
    <col min="492" max="492" width="7.33203125" style="50" customWidth="1"/>
    <col min="493" max="493" width="8.1640625" style="50" customWidth="1"/>
    <col min="494" max="494" width="8.83203125" style="50" customWidth="1"/>
    <col min="495" max="495" width="7.33203125" style="50" customWidth="1"/>
    <col min="496" max="496" width="2.33203125" style="50" customWidth="1"/>
    <col min="497" max="497" width="9.5" style="50" customWidth="1"/>
    <col min="498" max="498" width="8.83203125" style="50" customWidth="1"/>
    <col min="499" max="499" width="8.5" style="50" customWidth="1"/>
    <col min="500" max="500" width="11" style="50" customWidth="1"/>
    <col min="501" max="501" width="8.83203125" style="50"/>
    <col min="502" max="502" width="9.33203125" style="50" customWidth="1"/>
    <col min="503" max="503" width="10.5" style="50" customWidth="1"/>
    <col min="504" max="504" width="8.83203125" style="50" customWidth="1"/>
    <col min="505" max="744" width="8.83203125" style="50"/>
    <col min="745" max="745" width="9.83203125" style="50" customWidth="1"/>
    <col min="746" max="746" width="8.33203125" style="50" customWidth="1"/>
    <col min="747" max="747" width="9" style="50" customWidth="1"/>
    <col min="748" max="748" width="7.33203125" style="50" customWidth="1"/>
    <col min="749" max="749" width="8.1640625" style="50" customWidth="1"/>
    <col min="750" max="750" width="8.83203125" style="50" customWidth="1"/>
    <col min="751" max="751" width="7.33203125" style="50" customWidth="1"/>
    <col min="752" max="752" width="2.33203125" style="50" customWidth="1"/>
    <col min="753" max="753" width="9.5" style="50" customWidth="1"/>
    <col min="754" max="754" width="8.83203125" style="50" customWidth="1"/>
    <col min="755" max="755" width="8.5" style="50" customWidth="1"/>
    <col min="756" max="756" width="11" style="50" customWidth="1"/>
    <col min="757" max="757" width="8.83203125" style="50"/>
    <col min="758" max="758" width="9.33203125" style="50" customWidth="1"/>
    <col min="759" max="759" width="10.5" style="50" customWidth="1"/>
    <col min="760" max="760" width="8.83203125" style="50" customWidth="1"/>
    <col min="761" max="1000" width="8.83203125" style="50"/>
    <col min="1001" max="1001" width="9.83203125" style="50" customWidth="1"/>
    <col min="1002" max="1002" width="8.33203125" style="50" customWidth="1"/>
    <col min="1003" max="1003" width="9" style="50" customWidth="1"/>
    <col min="1004" max="1004" width="7.33203125" style="50" customWidth="1"/>
    <col min="1005" max="1005" width="8.1640625" style="50" customWidth="1"/>
    <col min="1006" max="1006" width="8.83203125" style="50" customWidth="1"/>
    <col min="1007" max="1007" width="7.33203125" style="50" customWidth="1"/>
    <col min="1008" max="1008" width="2.33203125" style="50" customWidth="1"/>
    <col min="1009" max="1009" width="9.5" style="50" customWidth="1"/>
    <col min="1010" max="1010" width="8.83203125" style="50" customWidth="1"/>
    <col min="1011" max="1011" width="8.5" style="50" customWidth="1"/>
    <col min="1012" max="1012" width="11" style="50" customWidth="1"/>
    <col min="1013" max="1013" width="8.83203125" style="50"/>
    <col min="1014" max="1014" width="9.33203125" style="50" customWidth="1"/>
    <col min="1015" max="1015" width="10.5" style="50" customWidth="1"/>
    <col min="1016" max="1016" width="8.83203125" style="50" customWidth="1"/>
    <col min="1017" max="1256" width="8.83203125" style="50"/>
    <col min="1257" max="1257" width="9.83203125" style="50" customWidth="1"/>
    <col min="1258" max="1258" width="8.33203125" style="50" customWidth="1"/>
    <col min="1259" max="1259" width="9" style="50" customWidth="1"/>
    <col min="1260" max="1260" width="7.33203125" style="50" customWidth="1"/>
    <col min="1261" max="1261" width="8.1640625" style="50" customWidth="1"/>
    <col min="1262" max="1262" width="8.83203125" style="50" customWidth="1"/>
    <col min="1263" max="1263" width="7.33203125" style="50" customWidth="1"/>
    <col min="1264" max="1264" width="2.33203125" style="50" customWidth="1"/>
    <col min="1265" max="1265" width="9.5" style="50" customWidth="1"/>
    <col min="1266" max="1266" width="8.83203125" style="50" customWidth="1"/>
    <col min="1267" max="1267" width="8.5" style="50" customWidth="1"/>
    <col min="1268" max="1268" width="11" style="50" customWidth="1"/>
    <col min="1269" max="1269" width="8.83203125" style="50"/>
    <col min="1270" max="1270" width="9.33203125" style="50" customWidth="1"/>
    <col min="1271" max="1271" width="10.5" style="50" customWidth="1"/>
    <col min="1272" max="1272" width="8.83203125" style="50" customWidth="1"/>
    <col min="1273" max="1512" width="8.83203125" style="50"/>
    <col min="1513" max="1513" width="9.83203125" style="50" customWidth="1"/>
    <col min="1514" max="1514" width="8.33203125" style="50" customWidth="1"/>
    <col min="1515" max="1515" width="9" style="50" customWidth="1"/>
    <col min="1516" max="1516" width="7.33203125" style="50" customWidth="1"/>
    <col min="1517" max="1517" width="8.1640625" style="50" customWidth="1"/>
    <col min="1518" max="1518" width="8.83203125" style="50" customWidth="1"/>
    <col min="1519" max="1519" width="7.33203125" style="50" customWidth="1"/>
    <col min="1520" max="1520" width="2.33203125" style="50" customWidth="1"/>
    <col min="1521" max="1521" width="9.5" style="50" customWidth="1"/>
    <col min="1522" max="1522" width="8.83203125" style="50" customWidth="1"/>
    <col min="1523" max="1523" width="8.5" style="50" customWidth="1"/>
    <col min="1524" max="1524" width="11" style="50" customWidth="1"/>
    <col min="1525" max="1525" width="8.83203125" style="50"/>
    <col min="1526" max="1526" width="9.33203125" style="50" customWidth="1"/>
    <col min="1527" max="1527" width="10.5" style="50" customWidth="1"/>
    <col min="1528" max="1528" width="8.83203125" style="50" customWidth="1"/>
    <col min="1529" max="1768" width="8.83203125" style="50"/>
    <col min="1769" max="1769" width="9.83203125" style="50" customWidth="1"/>
    <col min="1770" max="1770" width="8.33203125" style="50" customWidth="1"/>
    <col min="1771" max="1771" width="9" style="50" customWidth="1"/>
    <col min="1772" max="1772" width="7.33203125" style="50" customWidth="1"/>
    <col min="1773" max="1773" width="8.1640625" style="50" customWidth="1"/>
    <col min="1774" max="1774" width="8.83203125" style="50" customWidth="1"/>
    <col min="1775" max="1775" width="7.33203125" style="50" customWidth="1"/>
    <col min="1776" max="1776" width="2.33203125" style="50" customWidth="1"/>
    <col min="1777" max="1777" width="9.5" style="50" customWidth="1"/>
    <col min="1778" max="1778" width="8.83203125" style="50" customWidth="1"/>
    <col min="1779" max="1779" width="8.5" style="50" customWidth="1"/>
    <col min="1780" max="1780" width="11" style="50" customWidth="1"/>
    <col min="1781" max="1781" width="8.83203125" style="50"/>
    <col min="1782" max="1782" width="9.33203125" style="50" customWidth="1"/>
    <col min="1783" max="1783" width="10.5" style="50" customWidth="1"/>
    <col min="1784" max="1784" width="8.83203125" style="50" customWidth="1"/>
    <col min="1785" max="2024" width="8.83203125" style="50"/>
    <col min="2025" max="2025" width="9.83203125" style="50" customWidth="1"/>
    <col min="2026" max="2026" width="8.33203125" style="50" customWidth="1"/>
    <col min="2027" max="2027" width="9" style="50" customWidth="1"/>
    <col min="2028" max="2028" width="7.33203125" style="50" customWidth="1"/>
    <col min="2029" max="2029" width="8.1640625" style="50" customWidth="1"/>
    <col min="2030" max="2030" width="8.83203125" style="50" customWidth="1"/>
    <col min="2031" max="2031" width="7.33203125" style="50" customWidth="1"/>
    <col min="2032" max="2032" width="2.33203125" style="50" customWidth="1"/>
    <col min="2033" max="2033" width="9.5" style="50" customWidth="1"/>
    <col min="2034" max="2034" width="8.83203125" style="50" customWidth="1"/>
    <col min="2035" max="2035" width="8.5" style="50" customWidth="1"/>
    <col min="2036" max="2036" width="11" style="50" customWidth="1"/>
    <col min="2037" max="2037" width="8.83203125" style="50"/>
    <col min="2038" max="2038" width="9.33203125" style="50" customWidth="1"/>
    <col min="2039" max="2039" width="10.5" style="50" customWidth="1"/>
    <col min="2040" max="2040" width="8.83203125" style="50" customWidth="1"/>
    <col min="2041" max="2280" width="8.83203125" style="50"/>
    <col min="2281" max="2281" width="9.83203125" style="50" customWidth="1"/>
    <col min="2282" max="2282" width="8.33203125" style="50" customWidth="1"/>
    <col min="2283" max="2283" width="9" style="50" customWidth="1"/>
    <col min="2284" max="2284" width="7.33203125" style="50" customWidth="1"/>
    <col min="2285" max="2285" width="8.1640625" style="50" customWidth="1"/>
    <col min="2286" max="2286" width="8.83203125" style="50" customWidth="1"/>
    <col min="2287" max="2287" width="7.33203125" style="50" customWidth="1"/>
    <col min="2288" max="2288" width="2.33203125" style="50" customWidth="1"/>
    <col min="2289" max="2289" width="9.5" style="50" customWidth="1"/>
    <col min="2290" max="2290" width="8.83203125" style="50" customWidth="1"/>
    <col min="2291" max="2291" width="8.5" style="50" customWidth="1"/>
    <col min="2292" max="2292" width="11" style="50" customWidth="1"/>
    <col min="2293" max="2293" width="8.83203125" style="50"/>
    <col min="2294" max="2294" width="9.33203125" style="50" customWidth="1"/>
    <col min="2295" max="2295" width="10.5" style="50" customWidth="1"/>
    <col min="2296" max="2296" width="8.83203125" style="50" customWidth="1"/>
    <col min="2297" max="2536" width="8.83203125" style="50"/>
    <col min="2537" max="2537" width="9.83203125" style="50" customWidth="1"/>
    <col min="2538" max="2538" width="8.33203125" style="50" customWidth="1"/>
    <col min="2539" max="2539" width="9" style="50" customWidth="1"/>
    <col min="2540" max="2540" width="7.33203125" style="50" customWidth="1"/>
    <col min="2541" max="2541" width="8.1640625" style="50" customWidth="1"/>
    <col min="2542" max="2542" width="8.83203125" style="50" customWidth="1"/>
    <col min="2543" max="2543" width="7.33203125" style="50" customWidth="1"/>
    <col min="2544" max="2544" width="2.33203125" style="50" customWidth="1"/>
    <col min="2545" max="2545" width="9.5" style="50" customWidth="1"/>
    <col min="2546" max="2546" width="8.83203125" style="50" customWidth="1"/>
    <col min="2547" max="2547" width="8.5" style="50" customWidth="1"/>
    <col min="2548" max="2548" width="11" style="50" customWidth="1"/>
    <col min="2549" max="2549" width="8.83203125" style="50"/>
    <col min="2550" max="2550" width="9.33203125" style="50" customWidth="1"/>
    <col min="2551" max="2551" width="10.5" style="50" customWidth="1"/>
    <col min="2552" max="2552" width="8.83203125" style="50" customWidth="1"/>
    <col min="2553" max="2792" width="8.83203125" style="50"/>
    <col min="2793" max="2793" width="9.83203125" style="50" customWidth="1"/>
    <col min="2794" max="2794" width="8.33203125" style="50" customWidth="1"/>
    <col min="2795" max="2795" width="9" style="50" customWidth="1"/>
    <col min="2796" max="2796" width="7.33203125" style="50" customWidth="1"/>
    <col min="2797" max="2797" width="8.1640625" style="50" customWidth="1"/>
    <col min="2798" max="2798" width="8.83203125" style="50" customWidth="1"/>
    <col min="2799" max="2799" width="7.33203125" style="50" customWidth="1"/>
    <col min="2800" max="2800" width="2.33203125" style="50" customWidth="1"/>
    <col min="2801" max="2801" width="9.5" style="50" customWidth="1"/>
    <col min="2802" max="2802" width="8.83203125" style="50" customWidth="1"/>
    <col min="2803" max="2803" width="8.5" style="50" customWidth="1"/>
    <col min="2804" max="2804" width="11" style="50" customWidth="1"/>
    <col min="2805" max="2805" width="8.83203125" style="50"/>
    <col min="2806" max="2806" width="9.33203125" style="50" customWidth="1"/>
    <col min="2807" max="2807" width="10.5" style="50" customWidth="1"/>
    <col min="2808" max="2808" width="8.83203125" style="50" customWidth="1"/>
    <col min="2809" max="3048" width="8.83203125" style="50"/>
    <col min="3049" max="3049" width="9.83203125" style="50" customWidth="1"/>
    <col min="3050" max="3050" width="8.33203125" style="50" customWidth="1"/>
    <col min="3051" max="3051" width="9" style="50" customWidth="1"/>
    <col min="3052" max="3052" width="7.33203125" style="50" customWidth="1"/>
    <col min="3053" max="3053" width="8.1640625" style="50" customWidth="1"/>
    <col min="3054" max="3054" width="8.83203125" style="50" customWidth="1"/>
    <col min="3055" max="3055" width="7.33203125" style="50" customWidth="1"/>
    <col min="3056" max="3056" width="2.33203125" style="50" customWidth="1"/>
    <col min="3057" max="3057" width="9.5" style="50" customWidth="1"/>
    <col min="3058" max="3058" width="8.83203125" style="50" customWidth="1"/>
    <col min="3059" max="3059" width="8.5" style="50" customWidth="1"/>
    <col min="3060" max="3060" width="11" style="50" customWidth="1"/>
    <col min="3061" max="3061" width="8.83203125" style="50"/>
    <col min="3062" max="3062" width="9.33203125" style="50" customWidth="1"/>
    <col min="3063" max="3063" width="10.5" style="50" customWidth="1"/>
    <col min="3064" max="3064" width="8.83203125" style="50" customWidth="1"/>
    <col min="3065" max="3304" width="8.83203125" style="50"/>
    <col min="3305" max="3305" width="9.83203125" style="50" customWidth="1"/>
    <col min="3306" max="3306" width="8.33203125" style="50" customWidth="1"/>
    <col min="3307" max="3307" width="9" style="50" customWidth="1"/>
    <col min="3308" max="3308" width="7.33203125" style="50" customWidth="1"/>
    <col min="3309" max="3309" width="8.1640625" style="50" customWidth="1"/>
    <col min="3310" max="3310" width="8.83203125" style="50" customWidth="1"/>
    <col min="3311" max="3311" width="7.33203125" style="50" customWidth="1"/>
    <col min="3312" max="3312" width="2.33203125" style="50" customWidth="1"/>
    <col min="3313" max="3313" width="9.5" style="50" customWidth="1"/>
    <col min="3314" max="3314" width="8.83203125" style="50" customWidth="1"/>
    <col min="3315" max="3315" width="8.5" style="50" customWidth="1"/>
    <col min="3316" max="3316" width="11" style="50" customWidth="1"/>
    <col min="3317" max="3317" width="8.83203125" style="50"/>
    <col min="3318" max="3318" width="9.33203125" style="50" customWidth="1"/>
    <col min="3319" max="3319" width="10.5" style="50" customWidth="1"/>
    <col min="3320" max="3320" width="8.83203125" style="50" customWidth="1"/>
    <col min="3321" max="3560" width="8.83203125" style="50"/>
    <col min="3561" max="3561" width="9.83203125" style="50" customWidth="1"/>
    <col min="3562" max="3562" width="8.33203125" style="50" customWidth="1"/>
    <col min="3563" max="3563" width="9" style="50" customWidth="1"/>
    <col min="3564" max="3564" width="7.33203125" style="50" customWidth="1"/>
    <col min="3565" max="3565" width="8.1640625" style="50" customWidth="1"/>
    <col min="3566" max="3566" width="8.83203125" style="50" customWidth="1"/>
    <col min="3567" max="3567" width="7.33203125" style="50" customWidth="1"/>
    <col min="3568" max="3568" width="2.33203125" style="50" customWidth="1"/>
    <col min="3569" max="3569" width="9.5" style="50" customWidth="1"/>
    <col min="3570" max="3570" width="8.83203125" style="50" customWidth="1"/>
    <col min="3571" max="3571" width="8.5" style="50" customWidth="1"/>
    <col min="3572" max="3572" width="11" style="50" customWidth="1"/>
    <col min="3573" max="3573" width="8.83203125" style="50"/>
    <col min="3574" max="3574" width="9.33203125" style="50" customWidth="1"/>
    <col min="3575" max="3575" width="10.5" style="50" customWidth="1"/>
    <col min="3576" max="3576" width="8.83203125" style="50" customWidth="1"/>
    <col min="3577" max="3816" width="8.83203125" style="50"/>
    <col min="3817" max="3817" width="9.83203125" style="50" customWidth="1"/>
    <col min="3818" max="3818" width="8.33203125" style="50" customWidth="1"/>
    <col min="3819" max="3819" width="9" style="50" customWidth="1"/>
    <col min="3820" max="3820" width="7.33203125" style="50" customWidth="1"/>
    <col min="3821" max="3821" width="8.1640625" style="50" customWidth="1"/>
    <col min="3822" max="3822" width="8.83203125" style="50" customWidth="1"/>
    <col min="3823" max="3823" width="7.33203125" style="50" customWidth="1"/>
    <col min="3824" max="3824" width="2.33203125" style="50" customWidth="1"/>
    <col min="3825" max="3825" width="9.5" style="50" customWidth="1"/>
    <col min="3826" max="3826" width="8.83203125" style="50" customWidth="1"/>
    <col min="3827" max="3827" width="8.5" style="50" customWidth="1"/>
    <col min="3828" max="3828" width="11" style="50" customWidth="1"/>
    <col min="3829" max="3829" width="8.83203125" style="50"/>
    <col min="3830" max="3830" width="9.33203125" style="50" customWidth="1"/>
    <col min="3831" max="3831" width="10.5" style="50" customWidth="1"/>
    <col min="3832" max="3832" width="8.83203125" style="50" customWidth="1"/>
    <col min="3833" max="4072" width="8.83203125" style="50"/>
    <col min="4073" max="4073" width="9.83203125" style="50" customWidth="1"/>
    <col min="4074" max="4074" width="8.33203125" style="50" customWidth="1"/>
    <col min="4075" max="4075" width="9" style="50" customWidth="1"/>
    <col min="4076" max="4076" width="7.33203125" style="50" customWidth="1"/>
    <col min="4077" max="4077" width="8.1640625" style="50" customWidth="1"/>
    <col min="4078" max="4078" width="8.83203125" style="50" customWidth="1"/>
    <col min="4079" max="4079" width="7.33203125" style="50" customWidth="1"/>
    <col min="4080" max="4080" width="2.33203125" style="50" customWidth="1"/>
    <col min="4081" max="4081" width="9.5" style="50" customWidth="1"/>
    <col min="4082" max="4082" width="8.83203125" style="50" customWidth="1"/>
    <col min="4083" max="4083" width="8.5" style="50" customWidth="1"/>
    <col min="4084" max="4084" width="11" style="50" customWidth="1"/>
    <col min="4085" max="4085" width="8.83203125" style="50"/>
    <col min="4086" max="4086" width="9.33203125" style="50" customWidth="1"/>
    <col min="4087" max="4087" width="10.5" style="50" customWidth="1"/>
    <col min="4088" max="4088" width="8.83203125" style="50" customWidth="1"/>
    <col min="4089" max="4328" width="8.83203125" style="50"/>
    <col min="4329" max="4329" width="9.83203125" style="50" customWidth="1"/>
    <col min="4330" max="4330" width="8.33203125" style="50" customWidth="1"/>
    <col min="4331" max="4331" width="9" style="50" customWidth="1"/>
    <col min="4332" max="4332" width="7.33203125" style="50" customWidth="1"/>
    <col min="4333" max="4333" width="8.1640625" style="50" customWidth="1"/>
    <col min="4334" max="4334" width="8.83203125" style="50" customWidth="1"/>
    <col min="4335" max="4335" width="7.33203125" style="50" customWidth="1"/>
    <col min="4336" max="4336" width="2.33203125" style="50" customWidth="1"/>
    <col min="4337" max="4337" width="9.5" style="50" customWidth="1"/>
    <col min="4338" max="4338" width="8.83203125" style="50" customWidth="1"/>
    <col min="4339" max="4339" width="8.5" style="50" customWidth="1"/>
    <col min="4340" max="4340" width="11" style="50" customWidth="1"/>
    <col min="4341" max="4341" width="8.83203125" style="50"/>
    <col min="4342" max="4342" width="9.33203125" style="50" customWidth="1"/>
    <col min="4343" max="4343" width="10.5" style="50" customWidth="1"/>
    <col min="4344" max="4344" width="8.83203125" style="50" customWidth="1"/>
    <col min="4345" max="4584" width="8.83203125" style="50"/>
    <col min="4585" max="4585" width="9.83203125" style="50" customWidth="1"/>
    <col min="4586" max="4586" width="8.33203125" style="50" customWidth="1"/>
    <col min="4587" max="4587" width="9" style="50" customWidth="1"/>
    <col min="4588" max="4588" width="7.33203125" style="50" customWidth="1"/>
    <col min="4589" max="4589" width="8.1640625" style="50" customWidth="1"/>
    <col min="4590" max="4590" width="8.83203125" style="50" customWidth="1"/>
    <col min="4591" max="4591" width="7.33203125" style="50" customWidth="1"/>
    <col min="4592" max="4592" width="2.33203125" style="50" customWidth="1"/>
    <col min="4593" max="4593" width="9.5" style="50" customWidth="1"/>
    <col min="4594" max="4594" width="8.83203125" style="50" customWidth="1"/>
    <col min="4595" max="4595" width="8.5" style="50" customWidth="1"/>
    <col min="4596" max="4596" width="11" style="50" customWidth="1"/>
    <col min="4597" max="4597" width="8.83203125" style="50"/>
    <col min="4598" max="4598" width="9.33203125" style="50" customWidth="1"/>
    <col min="4599" max="4599" width="10.5" style="50" customWidth="1"/>
    <col min="4600" max="4600" width="8.83203125" style="50" customWidth="1"/>
    <col min="4601" max="4840" width="8.83203125" style="50"/>
    <col min="4841" max="4841" width="9.83203125" style="50" customWidth="1"/>
    <col min="4842" max="4842" width="8.33203125" style="50" customWidth="1"/>
    <col min="4843" max="4843" width="9" style="50" customWidth="1"/>
    <col min="4844" max="4844" width="7.33203125" style="50" customWidth="1"/>
    <col min="4845" max="4845" width="8.1640625" style="50" customWidth="1"/>
    <col min="4846" max="4846" width="8.83203125" style="50" customWidth="1"/>
    <col min="4847" max="4847" width="7.33203125" style="50" customWidth="1"/>
    <col min="4848" max="4848" width="2.33203125" style="50" customWidth="1"/>
    <col min="4849" max="4849" width="9.5" style="50" customWidth="1"/>
    <col min="4850" max="4850" width="8.83203125" style="50" customWidth="1"/>
    <col min="4851" max="4851" width="8.5" style="50" customWidth="1"/>
    <col min="4852" max="4852" width="11" style="50" customWidth="1"/>
    <col min="4853" max="4853" width="8.83203125" style="50"/>
    <col min="4854" max="4854" width="9.33203125" style="50" customWidth="1"/>
    <col min="4855" max="4855" width="10.5" style="50" customWidth="1"/>
    <col min="4856" max="4856" width="8.83203125" style="50" customWidth="1"/>
    <col min="4857" max="5096" width="8.83203125" style="50"/>
    <col min="5097" max="5097" width="9.83203125" style="50" customWidth="1"/>
    <col min="5098" max="5098" width="8.33203125" style="50" customWidth="1"/>
    <col min="5099" max="5099" width="9" style="50" customWidth="1"/>
    <col min="5100" max="5100" width="7.33203125" style="50" customWidth="1"/>
    <col min="5101" max="5101" width="8.1640625" style="50" customWidth="1"/>
    <col min="5102" max="5102" width="8.83203125" style="50" customWidth="1"/>
    <col min="5103" max="5103" width="7.33203125" style="50" customWidth="1"/>
    <col min="5104" max="5104" width="2.33203125" style="50" customWidth="1"/>
    <col min="5105" max="5105" width="9.5" style="50" customWidth="1"/>
    <col min="5106" max="5106" width="8.83203125" style="50" customWidth="1"/>
    <col min="5107" max="5107" width="8.5" style="50" customWidth="1"/>
    <col min="5108" max="5108" width="11" style="50" customWidth="1"/>
    <col min="5109" max="5109" width="8.83203125" style="50"/>
    <col min="5110" max="5110" width="9.33203125" style="50" customWidth="1"/>
    <col min="5111" max="5111" width="10.5" style="50" customWidth="1"/>
    <col min="5112" max="5112" width="8.83203125" style="50" customWidth="1"/>
    <col min="5113" max="5352" width="8.83203125" style="50"/>
    <col min="5353" max="5353" width="9.83203125" style="50" customWidth="1"/>
    <col min="5354" max="5354" width="8.33203125" style="50" customWidth="1"/>
    <col min="5355" max="5355" width="9" style="50" customWidth="1"/>
    <col min="5356" max="5356" width="7.33203125" style="50" customWidth="1"/>
    <col min="5357" max="5357" width="8.1640625" style="50" customWidth="1"/>
    <col min="5358" max="5358" width="8.83203125" style="50" customWidth="1"/>
    <col min="5359" max="5359" width="7.33203125" style="50" customWidth="1"/>
    <col min="5360" max="5360" width="2.33203125" style="50" customWidth="1"/>
    <col min="5361" max="5361" width="9.5" style="50" customWidth="1"/>
    <col min="5362" max="5362" width="8.83203125" style="50" customWidth="1"/>
    <col min="5363" max="5363" width="8.5" style="50" customWidth="1"/>
    <col min="5364" max="5364" width="11" style="50" customWidth="1"/>
    <col min="5365" max="5365" width="8.83203125" style="50"/>
    <col min="5366" max="5366" width="9.33203125" style="50" customWidth="1"/>
    <col min="5367" max="5367" width="10.5" style="50" customWidth="1"/>
    <col min="5368" max="5368" width="8.83203125" style="50" customWidth="1"/>
    <col min="5369" max="5608" width="8.83203125" style="50"/>
    <col min="5609" max="5609" width="9.83203125" style="50" customWidth="1"/>
    <col min="5610" max="5610" width="8.33203125" style="50" customWidth="1"/>
    <col min="5611" max="5611" width="9" style="50" customWidth="1"/>
    <col min="5612" max="5612" width="7.33203125" style="50" customWidth="1"/>
    <col min="5613" max="5613" width="8.1640625" style="50" customWidth="1"/>
    <col min="5614" max="5614" width="8.83203125" style="50" customWidth="1"/>
    <col min="5615" max="5615" width="7.33203125" style="50" customWidth="1"/>
    <col min="5616" max="5616" width="2.33203125" style="50" customWidth="1"/>
    <col min="5617" max="5617" width="9.5" style="50" customWidth="1"/>
    <col min="5618" max="5618" width="8.83203125" style="50" customWidth="1"/>
    <col min="5619" max="5619" width="8.5" style="50" customWidth="1"/>
    <col min="5620" max="5620" width="11" style="50" customWidth="1"/>
    <col min="5621" max="5621" width="8.83203125" style="50"/>
    <col min="5622" max="5622" width="9.33203125" style="50" customWidth="1"/>
    <col min="5623" max="5623" width="10.5" style="50" customWidth="1"/>
    <col min="5624" max="5624" width="8.83203125" style="50" customWidth="1"/>
    <col min="5625" max="5864" width="8.83203125" style="50"/>
    <col min="5865" max="5865" width="9.83203125" style="50" customWidth="1"/>
    <col min="5866" max="5866" width="8.33203125" style="50" customWidth="1"/>
    <col min="5867" max="5867" width="9" style="50" customWidth="1"/>
    <col min="5868" max="5868" width="7.33203125" style="50" customWidth="1"/>
    <col min="5869" max="5869" width="8.1640625" style="50" customWidth="1"/>
    <col min="5870" max="5870" width="8.83203125" style="50" customWidth="1"/>
    <col min="5871" max="5871" width="7.33203125" style="50" customWidth="1"/>
    <col min="5872" max="5872" width="2.33203125" style="50" customWidth="1"/>
    <col min="5873" max="5873" width="9.5" style="50" customWidth="1"/>
    <col min="5874" max="5874" width="8.83203125" style="50" customWidth="1"/>
    <col min="5875" max="5875" width="8.5" style="50" customWidth="1"/>
    <col min="5876" max="5876" width="11" style="50" customWidth="1"/>
    <col min="5877" max="5877" width="8.83203125" style="50"/>
    <col min="5878" max="5878" width="9.33203125" style="50" customWidth="1"/>
    <col min="5879" max="5879" width="10.5" style="50" customWidth="1"/>
    <col min="5880" max="5880" width="8.83203125" style="50" customWidth="1"/>
    <col min="5881" max="6120" width="8.83203125" style="50"/>
    <col min="6121" max="6121" width="9.83203125" style="50" customWidth="1"/>
    <col min="6122" max="6122" width="8.33203125" style="50" customWidth="1"/>
    <col min="6123" max="6123" width="9" style="50" customWidth="1"/>
    <col min="6124" max="6124" width="7.33203125" style="50" customWidth="1"/>
    <col min="6125" max="6125" width="8.1640625" style="50" customWidth="1"/>
    <col min="6126" max="6126" width="8.83203125" style="50" customWidth="1"/>
    <col min="6127" max="6127" width="7.33203125" style="50" customWidth="1"/>
    <col min="6128" max="6128" width="2.33203125" style="50" customWidth="1"/>
    <col min="6129" max="6129" width="9.5" style="50" customWidth="1"/>
    <col min="6130" max="6130" width="8.83203125" style="50" customWidth="1"/>
    <col min="6131" max="6131" width="8.5" style="50" customWidth="1"/>
    <col min="6132" max="6132" width="11" style="50" customWidth="1"/>
    <col min="6133" max="6133" width="8.83203125" style="50"/>
    <col min="6134" max="6134" width="9.33203125" style="50" customWidth="1"/>
    <col min="6135" max="6135" width="10.5" style="50" customWidth="1"/>
    <col min="6136" max="6136" width="8.83203125" style="50" customWidth="1"/>
    <col min="6137" max="6376" width="8.83203125" style="50"/>
    <col min="6377" max="6377" width="9.83203125" style="50" customWidth="1"/>
    <col min="6378" max="6378" width="8.33203125" style="50" customWidth="1"/>
    <col min="6379" max="6379" width="9" style="50" customWidth="1"/>
    <col min="6380" max="6380" width="7.33203125" style="50" customWidth="1"/>
    <col min="6381" max="6381" width="8.1640625" style="50" customWidth="1"/>
    <col min="6382" max="6382" width="8.83203125" style="50" customWidth="1"/>
    <col min="6383" max="6383" width="7.33203125" style="50" customWidth="1"/>
    <col min="6384" max="6384" width="2.33203125" style="50" customWidth="1"/>
    <col min="6385" max="6385" width="9.5" style="50" customWidth="1"/>
    <col min="6386" max="6386" width="8.83203125" style="50" customWidth="1"/>
    <col min="6387" max="6387" width="8.5" style="50" customWidth="1"/>
    <col min="6388" max="6388" width="11" style="50" customWidth="1"/>
    <col min="6389" max="6389" width="8.83203125" style="50"/>
    <col min="6390" max="6390" width="9.33203125" style="50" customWidth="1"/>
    <col min="6391" max="6391" width="10.5" style="50" customWidth="1"/>
    <col min="6392" max="6392" width="8.83203125" style="50" customWidth="1"/>
    <col min="6393" max="6632" width="8.83203125" style="50"/>
    <col min="6633" max="6633" width="9.83203125" style="50" customWidth="1"/>
    <col min="6634" max="6634" width="8.33203125" style="50" customWidth="1"/>
    <col min="6635" max="6635" width="9" style="50" customWidth="1"/>
    <col min="6636" max="6636" width="7.33203125" style="50" customWidth="1"/>
    <col min="6637" max="6637" width="8.1640625" style="50" customWidth="1"/>
    <col min="6638" max="6638" width="8.83203125" style="50" customWidth="1"/>
    <col min="6639" max="6639" width="7.33203125" style="50" customWidth="1"/>
    <col min="6640" max="6640" width="2.33203125" style="50" customWidth="1"/>
    <col min="6641" max="6641" width="9.5" style="50" customWidth="1"/>
    <col min="6642" max="6642" width="8.83203125" style="50" customWidth="1"/>
    <col min="6643" max="6643" width="8.5" style="50" customWidth="1"/>
    <col min="6644" max="6644" width="11" style="50" customWidth="1"/>
    <col min="6645" max="6645" width="8.83203125" style="50"/>
    <col min="6646" max="6646" width="9.33203125" style="50" customWidth="1"/>
    <col min="6647" max="6647" width="10.5" style="50" customWidth="1"/>
    <col min="6648" max="6648" width="8.83203125" style="50" customWidth="1"/>
    <col min="6649" max="6888" width="8.83203125" style="50"/>
    <col min="6889" max="6889" width="9.83203125" style="50" customWidth="1"/>
    <col min="6890" max="6890" width="8.33203125" style="50" customWidth="1"/>
    <col min="6891" max="6891" width="9" style="50" customWidth="1"/>
    <col min="6892" max="6892" width="7.33203125" style="50" customWidth="1"/>
    <col min="6893" max="6893" width="8.1640625" style="50" customWidth="1"/>
    <col min="6894" max="6894" width="8.83203125" style="50" customWidth="1"/>
    <col min="6895" max="6895" width="7.33203125" style="50" customWidth="1"/>
    <col min="6896" max="6896" width="2.33203125" style="50" customWidth="1"/>
    <col min="6897" max="6897" width="9.5" style="50" customWidth="1"/>
    <col min="6898" max="6898" width="8.83203125" style="50" customWidth="1"/>
    <col min="6899" max="6899" width="8.5" style="50" customWidth="1"/>
    <col min="6900" max="6900" width="11" style="50" customWidth="1"/>
    <col min="6901" max="6901" width="8.83203125" style="50"/>
    <col min="6902" max="6902" width="9.33203125" style="50" customWidth="1"/>
    <col min="6903" max="6903" width="10.5" style="50" customWidth="1"/>
    <col min="6904" max="6904" width="8.83203125" style="50" customWidth="1"/>
    <col min="6905" max="7144" width="8.83203125" style="50"/>
    <col min="7145" max="7145" width="9.83203125" style="50" customWidth="1"/>
    <col min="7146" max="7146" width="8.33203125" style="50" customWidth="1"/>
    <col min="7147" max="7147" width="9" style="50" customWidth="1"/>
    <col min="7148" max="7148" width="7.33203125" style="50" customWidth="1"/>
    <col min="7149" max="7149" width="8.1640625" style="50" customWidth="1"/>
    <col min="7150" max="7150" width="8.83203125" style="50" customWidth="1"/>
    <col min="7151" max="7151" width="7.33203125" style="50" customWidth="1"/>
    <col min="7152" max="7152" width="2.33203125" style="50" customWidth="1"/>
    <col min="7153" max="7153" width="9.5" style="50" customWidth="1"/>
    <col min="7154" max="7154" width="8.83203125" style="50" customWidth="1"/>
    <col min="7155" max="7155" width="8.5" style="50" customWidth="1"/>
    <col min="7156" max="7156" width="11" style="50" customWidth="1"/>
    <col min="7157" max="7157" width="8.83203125" style="50"/>
    <col min="7158" max="7158" width="9.33203125" style="50" customWidth="1"/>
    <col min="7159" max="7159" width="10.5" style="50" customWidth="1"/>
    <col min="7160" max="7160" width="8.83203125" style="50" customWidth="1"/>
    <col min="7161" max="7400" width="8.83203125" style="50"/>
    <col min="7401" max="7401" width="9.83203125" style="50" customWidth="1"/>
    <col min="7402" max="7402" width="8.33203125" style="50" customWidth="1"/>
    <col min="7403" max="7403" width="9" style="50" customWidth="1"/>
    <col min="7404" max="7404" width="7.33203125" style="50" customWidth="1"/>
    <col min="7405" max="7405" width="8.1640625" style="50" customWidth="1"/>
    <col min="7406" max="7406" width="8.83203125" style="50" customWidth="1"/>
    <col min="7407" max="7407" width="7.33203125" style="50" customWidth="1"/>
    <col min="7408" max="7408" width="2.33203125" style="50" customWidth="1"/>
    <col min="7409" max="7409" width="9.5" style="50" customWidth="1"/>
    <col min="7410" max="7410" width="8.83203125" style="50" customWidth="1"/>
    <col min="7411" max="7411" width="8.5" style="50" customWidth="1"/>
    <col min="7412" max="7412" width="11" style="50" customWidth="1"/>
    <col min="7413" max="7413" width="8.83203125" style="50"/>
    <col min="7414" max="7414" width="9.33203125" style="50" customWidth="1"/>
    <col min="7415" max="7415" width="10.5" style="50" customWidth="1"/>
    <col min="7416" max="7416" width="8.83203125" style="50" customWidth="1"/>
    <col min="7417" max="7656" width="8.83203125" style="50"/>
    <col min="7657" max="7657" width="9.83203125" style="50" customWidth="1"/>
    <col min="7658" max="7658" width="8.33203125" style="50" customWidth="1"/>
    <col min="7659" max="7659" width="9" style="50" customWidth="1"/>
    <col min="7660" max="7660" width="7.33203125" style="50" customWidth="1"/>
    <col min="7661" max="7661" width="8.1640625" style="50" customWidth="1"/>
    <col min="7662" max="7662" width="8.83203125" style="50" customWidth="1"/>
    <col min="7663" max="7663" width="7.33203125" style="50" customWidth="1"/>
    <col min="7664" max="7664" width="2.33203125" style="50" customWidth="1"/>
    <col min="7665" max="7665" width="9.5" style="50" customWidth="1"/>
    <col min="7666" max="7666" width="8.83203125" style="50" customWidth="1"/>
    <col min="7667" max="7667" width="8.5" style="50" customWidth="1"/>
    <col min="7668" max="7668" width="11" style="50" customWidth="1"/>
    <col min="7669" max="7669" width="8.83203125" style="50"/>
    <col min="7670" max="7670" width="9.33203125" style="50" customWidth="1"/>
    <col min="7671" max="7671" width="10.5" style="50" customWidth="1"/>
    <col min="7672" max="7672" width="8.83203125" style="50" customWidth="1"/>
    <col min="7673" max="7912" width="8.83203125" style="50"/>
    <col min="7913" max="7913" width="9.83203125" style="50" customWidth="1"/>
    <col min="7914" max="7914" width="8.33203125" style="50" customWidth="1"/>
    <col min="7915" max="7915" width="9" style="50" customWidth="1"/>
    <col min="7916" max="7916" width="7.33203125" style="50" customWidth="1"/>
    <col min="7917" max="7917" width="8.1640625" style="50" customWidth="1"/>
    <col min="7918" max="7918" width="8.83203125" style="50" customWidth="1"/>
    <col min="7919" max="7919" width="7.33203125" style="50" customWidth="1"/>
    <col min="7920" max="7920" width="2.33203125" style="50" customWidth="1"/>
    <col min="7921" max="7921" width="9.5" style="50" customWidth="1"/>
    <col min="7922" max="7922" width="8.83203125" style="50" customWidth="1"/>
    <col min="7923" max="7923" width="8.5" style="50" customWidth="1"/>
    <col min="7924" max="7924" width="11" style="50" customWidth="1"/>
    <col min="7925" max="7925" width="8.83203125" style="50"/>
    <col min="7926" max="7926" width="9.33203125" style="50" customWidth="1"/>
    <col min="7927" max="7927" width="10.5" style="50" customWidth="1"/>
    <col min="7928" max="7928" width="8.83203125" style="50" customWidth="1"/>
    <col min="7929" max="8168" width="8.83203125" style="50"/>
    <col min="8169" max="8169" width="9.83203125" style="50" customWidth="1"/>
    <col min="8170" max="8170" width="8.33203125" style="50" customWidth="1"/>
    <col min="8171" max="8171" width="9" style="50" customWidth="1"/>
    <col min="8172" max="8172" width="7.33203125" style="50" customWidth="1"/>
    <col min="8173" max="8173" width="8.1640625" style="50" customWidth="1"/>
    <col min="8174" max="8174" width="8.83203125" style="50" customWidth="1"/>
    <col min="8175" max="8175" width="7.33203125" style="50" customWidth="1"/>
    <col min="8176" max="8176" width="2.33203125" style="50" customWidth="1"/>
    <col min="8177" max="8177" width="9.5" style="50" customWidth="1"/>
    <col min="8178" max="8178" width="8.83203125" style="50" customWidth="1"/>
    <col min="8179" max="8179" width="8.5" style="50" customWidth="1"/>
    <col min="8180" max="8180" width="11" style="50" customWidth="1"/>
    <col min="8181" max="8181" width="8.83203125" style="50"/>
    <col min="8182" max="8182" width="9.33203125" style="50" customWidth="1"/>
    <col min="8183" max="8183" width="10.5" style="50" customWidth="1"/>
    <col min="8184" max="8184" width="8.83203125" style="50" customWidth="1"/>
    <col min="8185" max="8424" width="8.83203125" style="50"/>
    <col min="8425" max="8425" width="9.83203125" style="50" customWidth="1"/>
    <col min="8426" max="8426" width="8.33203125" style="50" customWidth="1"/>
    <col min="8427" max="8427" width="9" style="50" customWidth="1"/>
    <col min="8428" max="8428" width="7.33203125" style="50" customWidth="1"/>
    <col min="8429" max="8429" width="8.1640625" style="50" customWidth="1"/>
    <col min="8430" max="8430" width="8.83203125" style="50" customWidth="1"/>
    <col min="8431" max="8431" width="7.33203125" style="50" customWidth="1"/>
    <col min="8432" max="8432" width="2.33203125" style="50" customWidth="1"/>
    <col min="8433" max="8433" width="9.5" style="50" customWidth="1"/>
    <col min="8434" max="8434" width="8.83203125" style="50" customWidth="1"/>
    <col min="8435" max="8435" width="8.5" style="50" customWidth="1"/>
    <col min="8436" max="8436" width="11" style="50" customWidth="1"/>
    <col min="8437" max="8437" width="8.83203125" style="50"/>
    <col min="8438" max="8438" width="9.33203125" style="50" customWidth="1"/>
    <col min="8439" max="8439" width="10.5" style="50" customWidth="1"/>
    <col min="8440" max="8440" width="8.83203125" style="50" customWidth="1"/>
    <col min="8441" max="8680" width="8.83203125" style="50"/>
    <col min="8681" max="8681" width="9.83203125" style="50" customWidth="1"/>
    <col min="8682" max="8682" width="8.33203125" style="50" customWidth="1"/>
    <col min="8683" max="8683" width="9" style="50" customWidth="1"/>
    <col min="8684" max="8684" width="7.33203125" style="50" customWidth="1"/>
    <col min="8685" max="8685" width="8.1640625" style="50" customWidth="1"/>
    <col min="8686" max="8686" width="8.83203125" style="50" customWidth="1"/>
    <col min="8687" max="8687" width="7.33203125" style="50" customWidth="1"/>
    <col min="8688" max="8688" width="2.33203125" style="50" customWidth="1"/>
    <col min="8689" max="8689" width="9.5" style="50" customWidth="1"/>
    <col min="8690" max="8690" width="8.83203125" style="50" customWidth="1"/>
    <col min="8691" max="8691" width="8.5" style="50" customWidth="1"/>
    <col min="8692" max="8692" width="11" style="50" customWidth="1"/>
    <col min="8693" max="8693" width="8.83203125" style="50"/>
    <col min="8694" max="8694" width="9.33203125" style="50" customWidth="1"/>
    <col min="8695" max="8695" width="10.5" style="50" customWidth="1"/>
    <col min="8696" max="8696" width="8.83203125" style="50" customWidth="1"/>
    <col min="8697" max="8936" width="8.83203125" style="50"/>
    <col min="8937" max="8937" width="9.83203125" style="50" customWidth="1"/>
    <col min="8938" max="8938" width="8.33203125" style="50" customWidth="1"/>
    <col min="8939" max="8939" width="9" style="50" customWidth="1"/>
    <col min="8940" max="8940" width="7.33203125" style="50" customWidth="1"/>
    <col min="8941" max="8941" width="8.1640625" style="50" customWidth="1"/>
    <col min="8942" max="8942" width="8.83203125" style="50" customWidth="1"/>
    <col min="8943" max="8943" width="7.33203125" style="50" customWidth="1"/>
    <col min="8944" max="8944" width="2.33203125" style="50" customWidth="1"/>
    <col min="8945" max="8945" width="9.5" style="50" customWidth="1"/>
    <col min="8946" max="8946" width="8.83203125" style="50" customWidth="1"/>
    <col min="8947" max="8947" width="8.5" style="50" customWidth="1"/>
    <col min="8948" max="8948" width="11" style="50" customWidth="1"/>
    <col min="8949" max="8949" width="8.83203125" style="50"/>
    <col min="8950" max="8950" width="9.33203125" style="50" customWidth="1"/>
    <col min="8951" max="8951" width="10.5" style="50" customWidth="1"/>
    <col min="8952" max="8952" width="8.83203125" style="50" customWidth="1"/>
    <col min="8953" max="9192" width="8.83203125" style="50"/>
    <col min="9193" max="9193" width="9.83203125" style="50" customWidth="1"/>
    <col min="9194" max="9194" width="8.33203125" style="50" customWidth="1"/>
    <col min="9195" max="9195" width="9" style="50" customWidth="1"/>
    <col min="9196" max="9196" width="7.33203125" style="50" customWidth="1"/>
    <col min="9197" max="9197" width="8.1640625" style="50" customWidth="1"/>
    <col min="9198" max="9198" width="8.83203125" style="50" customWidth="1"/>
    <col min="9199" max="9199" width="7.33203125" style="50" customWidth="1"/>
    <col min="9200" max="9200" width="2.33203125" style="50" customWidth="1"/>
    <col min="9201" max="9201" width="9.5" style="50" customWidth="1"/>
    <col min="9202" max="9202" width="8.83203125" style="50" customWidth="1"/>
    <col min="9203" max="9203" width="8.5" style="50" customWidth="1"/>
    <col min="9204" max="9204" width="11" style="50" customWidth="1"/>
    <col min="9205" max="9205" width="8.83203125" style="50"/>
    <col min="9206" max="9206" width="9.33203125" style="50" customWidth="1"/>
    <col min="9207" max="9207" width="10.5" style="50" customWidth="1"/>
    <col min="9208" max="9208" width="8.83203125" style="50" customWidth="1"/>
    <col min="9209" max="9448" width="8.83203125" style="50"/>
    <col min="9449" max="9449" width="9.83203125" style="50" customWidth="1"/>
    <col min="9450" max="9450" width="8.33203125" style="50" customWidth="1"/>
    <col min="9451" max="9451" width="9" style="50" customWidth="1"/>
    <col min="9452" max="9452" width="7.33203125" style="50" customWidth="1"/>
    <col min="9453" max="9453" width="8.1640625" style="50" customWidth="1"/>
    <col min="9454" max="9454" width="8.83203125" style="50" customWidth="1"/>
    <col min="9455" max="9455" width="7.33203125" style="50" customWidth="1"/>
    <col min="9456" max="9456" width="2.33203125" style="50" customWidth="1"/>
    <col min="9457" max="9457" width="9.5" style="50" customWidth="1"/>
    <col min="9458" max="9458" width="8.83203125" style="50" customWidth="1"/>
    <col min="9459" max="9459" width="8.5" style="50" customWidth="1"/>
    <col min="9460" max="9460" width="11" style="50" customWidth="1"/>
    <col min="9461" max="9461" width="8.83203125" style="50"/>
    <col min="9462" max="9462" width="9.33203125" style="50" customWidth="1"/>
    <col min="9463" max="9463" width="10.5" style="50" customWidth="1"/>
    <col min="9464" max="9464" width="8.83203125" style="50" customWidth="1"/>
    <col min="9465" max="9704" width="8.83203125" style="50"/>
    <col min="9705" max="9705" width="9.83203125" style="50" customWidth="1"/>
    <col min="9706" max="9706" width="8.33203125" style="50" customWidth="1"/>
    <col min="9707" max="9707" width="9" style="50" customWidth="1"/>
    <col min="9708" max="9708" width="7.33203125" style="50" customWidth="1"/>
    <col min="9709" max="9709" width="8.1640625" style="50" customWidth="1"/>
    <col min="9710" max="9710" width="8.83203125" style="50" customWidth="1"/>
    <col min="9711" max="9711" width="7.33203125" style="50" customWidth="1"/>
    <col min="9712" max="9712" width="2.33203125" style="50" customWidth="1"/>
    <col min="9713" max="9713" width="9.5" style="50" customWidth="1"/>
    <col min="9714" max="9714" width="8.83203125" style="50" customWidth="1"/>
    <col min="9715" max="9715" width="8.5" style="50" customWidth="1"/>
    <col min="9716" max="9716" width="11" style="50" customWidth="1"/>
    <col min="9717" max="9717" width="8.83203125" style="50"/>
    <col min="9718" max="9718" width="9.33203125" style="50" customWidth="1"/>
    <col min="9719" max="9719" width="10.5" style="50" customWidth="1"/>
    <col min="9720" max="9720" width="8.83203125" style="50" customWidth="1"/>
    <col min="9721" max="9960" width="8.83203125" style="50"/>
    <col min="9961" max="9961" width="9.83203125" style="50" customWidth="1"/>
    <col min="9962" max="9962" width="8.33203125" style="50" customWidth="1"/>
    <col min="9963" max="9963" width="9" style="50" customWidth="1"/>
    <col min="9964" max="9964" width="7.33203125" style="50" customWidth="1"/>
    <col min="9965" max="9965" width="8.1640625" style="50" customWidth="1"/>
    <col min="9966" max="9966" width="8.83203125" style="50" customWidth="1"/>
    <col min="9967" max="9967" width="7.33203125" style="50" customWidth="1"/>
    <col min="9968" max="9968" width="2.33203125" style="50" customWidth="1"/>
    <col min="9969" max="9969" width="9.5" style="50" customWidth="1"/>
    <col min="9970" max="9970" width="8.83203125" style="50" customWidth="1"/>
    <col min="9971" max="9971" width="8.5" style="50" customWidth="1"/>
    <col min="9972" max="9972" width="11" style="50" customWidth="1"/>
    <col min="9973" max="9973" width="8.83203125" style="50"/>
    <col min="9974" max="9974" width="9.33203125" style="50" customWidth="1"/>
    <col min="9975" max="9975" width="10.5" style="50" customWidth="1"/>
    <col min="9976" max="9976" width="8.83203125" style="50" customWidth="1"/>
    <col min="9977" max="10216" width="8.83203125" style="50"/>
    <col min="10217" max="10217" width="9.83203125" style="50" customWidth="1"/>
    <col min="10218" max="10218" width="8.33203125" style="50" customWidth="1"/>
    <col min="10219" max="10219" width="9" style="50" customWidth="1"/>
    <col min="10220" max="10220" width="7.33203125" style="50" customWidth="1"/>
    <col min="10221" max="10221" width="8.1640625" style="50" customWidth="1"/>
    <col min="10222" max="10222" width="8.83203125" style="50" customWidth="1"/>
    <col min="10223" max="10223" width="7.33203125" style="50" customWidth="1"/>
    <col min="10224" max="10224" width="2.33203125" style="50" customWidth="1"/>
    <col min="10225" max="10225" width="9.5" style="50" customWidth="1"/>
    <col min="10226" max="10226" width="8.83203125" style="50" customWidth="1"/>
    <col min="10227" max="10227" width="8.5" style="50" customWidth="1"/>
    <col min="10228" max="10228" width="11" style="50" customWidth="1"/>
    <col min="10229" max="10229" width="8.83203125" style="50"/>
    <col min="10230" max="10230" width="9.33203125" style="50" customWidth="1"/>
    <col min="10231" max="10231" width="10.5" style="50" customWidth="1"/>
    <col min="10232" max="10232" width="8.83203125" style="50" customWidth="1"/>
    <col min="10233" max="10472" width="8.83203125" style="50"/>
    <col min="10473" max="10473" width="9.83203125" style="50" customWidth="1"/>
    <col min="10474" max="10474" width="8.33203125" style="50" customWidth="1"/>
    <col min="10475" max="10475" width="9" style="50" customWidth="1"/>
    <col min="10476" max="10476" width="7.33203125" style="50" customWidth="1"/>
    <col min="10477" max="10477" width="8.1640625" style="50" customWidth="1"/>
    <col min="10478" max="10478" width="8.83203125" style="50" customWidth="1"/>
    <col min="10479" max="10479" width="7.33203125" style="50" customWidth="1"/>
    <col min="10480" max="10480" width="2.33203125" style="50" customWidth="1"/>
    <col min="10481" max="10481" width="9.5" style="50" customWidth="1"/>
    <col min="10482" max="10482" width="8.83203125" style="50" customWidth="1"/>
    <col min="10483" max="10483" width="8.5" style="50" customWidth="1"/>
    <col min="10484" max="10484" width="11" style="50" customWidth="1"/>
    <col min="10485" max="10485" width="8.83203125" style="50"/>
    <col min="10486" max="10486" width="9.33203125" style="50" customWidth="1"/>
    <col min="10487" max="10487" width="10.5" style="50" customWidth="1"/>
    <col min="10488" max="10488" width="8.83203125" style="50" customWidth="1"/>
    <col min="10489" max="10728" width="8.83203125" style="50"/>
    <col min="10729" max="10729" width="9.83203125" style="50" customWidth="1"/>
    <col min="10730" max="10730" width="8.33203125" style="50" customWidth="1"/>
    <col min="10731" max="10731" width="9" style="50" customWidth="1"/>
    <col min="10732" max="10732" width="7.33203125" style="50" customWidth="1"/>
    <col min="10733" max="10733" width="8.1640625" style="50" customWidth="1"/>
    <col min="10734" max="10734" width="8.83203125" style="50" customWidth="1"/>
    <col min="10735" max="10735" width="7.33203125" style="50" customWidth="1"/>
    <col min="10736" max="10736" width="2.33203125" style="50" customWidth="1"/>
    <col min="10737" max="10737" width="9.5" style="50" customWidth="1"/>
    <col min="10738" max="10738" width="8.83203125" style="50" customWidth="1"/>
    <col min="10739" max="10739" width="8.5" style="50" customWidth="1"/>
    <col min="10740" max="10740" width="11" style="50" customWidth="1"/>
    <col min="10741" max="10741" width="8.83203125" style="50"/>
    <col min="10742" max="10742" width="9.33203125" style="50" customWidth="1"/>
    <col min="10743" max="10743" width="10.5" style="50" customWidth="1"/>
    <col min="10744" max="10744" width="8.83203125" style="50" customWidth="1"/>
    <col min="10745" max="10984" width="8.83203125" style="50"/>
    <col min="10985" max="10985" width="9.83203125" style="50" customWidth="1"/>
    <col min="10986" max="10986" width="8.33203125" style="50" customWidth="1"/>
    <col min="10987" max="10987" width="9" style="50" customWidth="1"/>
    <col min="10988" max="10988" width="7.33203125" style="50" customWidth="1"/>
    <col min="10989" max="10989" width="8.1640625" style="50" customWidth="1"/>
    <col min="10990" max="10990" width="8.83203125" style="50" customWidth="1"/>
    <col min="10991" max="10991" width="7.33203125" style="50" customWidth="1"/>
    <col min="10992" max="10992" width="2.33203125" style="50" customWidth="1"/>
    <col min="10993" max="10993" width="9.5" style="50" customWidth="1"/>
    <col min="10994" max="10994" width="8.83203125" style="50" customWidth="1"/>
    <col min="10995" max="10995" width="8.5" style="50" customWidth="1"/>
    <col min="10996" max="10996" width="11" style="50" customWidth="1"/>
    <col min="10997" max="10997" width="8.83203125" style="50"/>
    <col min="10998" max="10998" width="9.33203125" style="50" customWidth="1"/>
    <col min="10999" max="10999" width="10.5" style="50" customWidth="1"/>
    <col min="11000" max="11000" width="8.83203125" style="50" customWidth="1"/>
    <col min="11001" max="11240" width="8.83203125" style="50"/>
    <col min="11241" max="11241" width="9.83203125" style="50" customWidth="1"/>
    <col min="11242" max="11242" width="8.33203125" style="50" customWidth="1"/>
    <col min="11243" max="11243" width="9" style="50" customWidth="1"/>
    <col min="11244" max="11244" width="7.33203125" style="50" customWidth="1"/>
    <col min="11245" max="11245" width="8.1640625" style="50" customWidth="1"/>
    <col min="11246" max="11246" width="8.83203125" style="50" customWidth="1"/>
    <col min="11247" max="11247" width="7.33203125" style="50" customWidth="1"/>
    <col min="11248" max="11248" width="2.33203125" style="50" customWidth="1"/>
    <col min="11249" max="11249" width="9.5" style="50" customWidth="1"/>
    <col min="11250" max="11250" width="8.83203125" style="50" customWidth="1"/>
    <col min="11251" max="11251" width="8.5" style="50" customWidth="1"/>
    <col min="11252" max="11252" width="11" style="50" customWidth="1"/>
    <col min="11253" max="11253" width="8.83203125" style="50"/>
    <col min="11254" max="11254" width="9.33203125" style="50" customWidth="1"/>
    <col min="11255" max="11255" width="10.5" style="50" customWidth="1"/>
    <col min="11256" max="11256" width="8.83203125" style="50" customWidth="1"/>
    <col min="11257" max="11496" width="8.83203125" style="50"/>
    <col min="11497" max="11497" width="9.83203125" style="50" customWidth="1"/>
    <col min="11498" max="11498" width="8.33203125" style="50" customWidth="1"/>
    <col min="11499" max="11499" width="9" style="50" customWidth="1"/>
    <col min="11500" max="11500" width="7.33203125" style="50" customWidth="1"/>
    <col min="11501" max="11501" width="8.1640625" style="50" customWidth="1"/>
    <col min="11502" max="11502" width="8.83203125" style="50" customWidth="1"/>
    <col min="11503" max="11503" width="7.33203125" style="50" customWidth="1"/>
    <col min="11504" max="11504" width="2.33203125" style="50" customWidth="1"/>
    <col min="11505" max="11505" width="9.5" style="50" customWidth="1"/>
    <col min="11506" max="11506" width="8.83203125" style="50" customWidth="1"/>
    <col min="11507" max="11507" width="8.5" style="50" customWidth="1"/>
    <col min="11508" max="11508" width="11" style="50" customWidth="1"/>
    <col min="11509" max="11509" width="8.83203125" style="50"/>
    <col min="11510" max="11510" width="9.33203125" style="50" customWidth="1"/>
    <col min="11511" max="11511" width="10.5" style="50" customWidth="1"/>
    <col min="11512" max="11512" width="8.83203125" style="50" customWidth="1"/>
    <col min="11513" max="11752" width="8.83203125" style="50"/>
    <col min="11753" max="11753" width="9.83203125" style="50" customWidth="1"/>
    <col min="11754" max="11754" width="8.33203125" style="50" customWidth="1"/>
    <col min="11755" max="11755" width="9" style="50" customWidth="1"/>
    <col min="11756" max="11756" width="7.33203125" style="50" customWidth="1"/>
    <col min="11757" max="11757" width="8.1640625" style="50" customWidth="1"/>
    <col min="11758" max="11758" width="8.83203125" style="50" customWidth="1"/>
    <col min="11759" max="11759" width="7.33203125" style="50" customWidth="1"/>
    <col min="11760" max="11760" width="2.33203125" style="50" customWidth="1"/>
    <col min="11761" max="11761" width="9.5" style="50" customWidth="1"/>
    <col min="11762" max="11762" width="8.83203125" style="50" customWidth="1"/>
    <col min="11763" max="11763" width="8.5" style="50" customWidth="1"/>
    <col min="11764" max="11764" width="11" style="50" customWidth="1"/>
    <col min="11765" max="11765" width="8.83203125" style="50"/>
    <col min="11766" max="11766" width="9.33203125" style="50" customWidth="1"/>
    <col min="11767" max="11767" width="10.5" style="50" customWidth="1"/>
    <col min="11768" max="11768" width="8.83203125" style="50" customWidth="1"/>
    <col min="11769" max="12008" width="8.83203125" style="50"/>
    <col min="12009" max="12009" width="9.83203125" style="50" customWidth="1"/>
    <col min="12010" max="12010" width="8.33203125" style="50" customWidth="1"/>
    <col min="12011" max="12011" width="9" style="50" customWidth="1"/>
    <col min="12012" max="12012" width="7.33203125" style="50" customWidth="1"/>
    <col min="12013" max="12013" width="8.1640625" style="50" customWidth="1"/>
    <col min="12014" max="12014" width="8.83203125" style="50" customWidth="1"/>
    <col min="12015" max="12015" width="7.33203125" style="50" customWidth="1"/>
    <col min="12016" max="12016" width="2.33203125" style="50" customWidth="1"/>
    <col min="12017" max="12017" width="9.5" style="50" customWidth="1"/>
    <col min="12018" max="12018" width="8.83203125" style="50" customWidth="1"/>
    <col min="12019" max="12019" width="8.5" style="50" customWidth="1"/>
    <col min="12020" max="12020" width="11" style="50" customWidth="1"/>
    <col min="12021" max="12021" width="8.83203125" style="50"/>
    <col min="12022" max="12022" width="9.33203125" style="50" customWidth="1"/>
    <col min="12023" max="12023" width="10.5" style="50" customWidth="1"/>
    <col min="12024" max="12024" width="8.83203125" style="50" customWidth="1"/>
    <col min="12025" max="12264" width="8.83203125" style="50"/>
    <col min="12265" max="12265" width="9.83203125" style="50" customWidth="1"/>
    <col min="12266" max="12266" width="8.33203125" style="50" customWidth="1"/>
    <col min="12267" max="12267" width="9" style="50" customWidth="1"/>
    <col min="12268" max="12268" width="7.33203125" style="50" customWidth="1"/>
    <col min="12269" max="12269" width="8.1640625" style="50" customWidth="1"/>
    <col min="12270" max="12270" width="8.83203125" style="50" customWidth="1"/>
    <col min="12271" max="12271" width="7.33203125" style="50" customWidth="1"/>
    <col min="12272" max="12272" width="2.33203125" style="50" customWidth="1"/>
    <col min="12273" max="12273" width="9.5" style="50" customWidth="1"/>
    <col min="12274" max="12274" width="8.83203125" style="50" customWidth="1"/>
    <col min="12275" max="12275" width="8.5" style="50" customWidth="1"/>
    <col min="12276" max="12276" width="11" style="50" customWidth="1"/>
    <col min="12277" max="12277" width="8.83203125" style="50"/>
    <col min="12278" max="12278" width="9.33203125" style="50" customWidth="1"/>
    <col min="12279" max="12279" width="10.5" style="50" customWidth="1"/>
    <col min="12280" max="12280" width="8.83203125" style="50" customWidth="1"/>
    <col min="12281" max="12520" width="8.83203125" style="50"/>
    <col min="12521" max="12521" width="9.83203125" style="50" customWidth="1"/>
    <col min="12522" max="12522" width="8.33203125" style="50" customWidth="1"/>
    <col min="12523" max="12523" width="9" style="50" customWidth="1"/>
    <col min="12524" max="12524" width="7.33203125" style="50" customWidth="1"/>
    <col min="12525" max="12525" width="8.1640625" style="50" customWidth="1"/>
    <col min="12526" max="12526" width="8.83203125" style="50" customWidth="1"/>
    <col min="12527" max="12527" width="7.33203125" style="50" customWidth="1"/>
    <col min="12528" max="12528" width="2.33203125" style="50" customWidth="1"/>
    <col min="12529" max="12529" width="9.5" style="50" customWidth="1"/>
    <col min="12530" max="12530" width="8.83203125" style="50" customWidth="1"/>
    <col min="12531" max="12531" width="8.5" style="50" customWidth="1"/>
    <col min="12532" max="12532" width="11" style="50" customWidth="1"/>
    <col min="12533" max="12533" width="8.83203125" style="50"/>
    <col min="12534" max="12534" width="9.33203125" style="50" customWidth="1"/>
    <col min="12535" max="12535" width="10.5" style="50" customWidth="1"/>
    <col min="12536" max="12536" width="8.83203125" style="50" customWidth="1"/>
    <col min="12537" max="12776" width="8.83203125" style="50"/>
    <col min="12777" max="12777" width="9.83203125" style="50" customWidth="1"/>
    <col min="12778" max="12778" width="8.33203125" style="50" customWidth="1"/>
    <col min="12779" max="12779" width="9" style="50" customWidth="1"/>
    <col min="12780" max="12780" width="7.33203125" style="50" customWidth="1"/>
    <col min="12781" max="12781" width="8.1640625" style="50" customWidth="1"/>
    <col min="12782" max="12782" width="8.83203125" style="50" customWidth="1"/>
    <col min="12783" max="12783" width="7.33203125" style="50" customWidth="1"/>
    <col min="12784" max="12784" width="2.33203125" style="50" customWidth="1"/>
    <col min="12785" max="12785" width="9.5" style="50" customWidth="1"/>
    <col min="12786" max="12786" width="8.83203125" style="50" customWidth="1"/>
    <col min="12787" max="12787" width="8.5" style="50" customWidth="1"/>
    <col min="12788" max="12788" width="11" style="50" customWidth="1"/>
    <col min="12789" max="12789" width="8.83203125" style="50"/>
    <col min="12790" max="12790" width="9.33203125" style="50" customWidth="1"/>
    <col min="12791" max="12791" width="10.5" style="50" customWidth="1"/>
    <col min="12792" max="12792" width="8.83203125" style="50" customWidth="1"/>
    <col min="12793" max="13032" width="8.83203125" style="50"/>
    <col min="13033" max="13033" width="9.83203125" style="50" customWidth="1"/>
    <col min="13034" max="13034" width="8.33203125" style="50" customWidth="1"/>
    <col min="13035" max="13035" width="9" style="50" customWidth="1"/>
    <col min="13036" max="13036" width="7.33203125" style="50" customWidth="1"/>
    <col min="13037" max="13037" width="8.1640625" style="50" customWidth="1"/>
    <col min="13038" max="13038" width="8.83203125" style="50" customWidth="1"/>
    <col min="13039" max="13039" width="7.33203125" style="50" customWidth="1"/>
    <col min="13040" max="13040" width="2.33203125" style="50" customWidth="1"/>
    <col min="13041" max="13041" width="9.5" style="50" customWidth="1"/>
    <col min="13042" max="13042" width="8.83203125" style="50" customWidth="1"/>
    <col min="13043" max="13043" width="8.5" style="50" customWidth="1"/>
    <col min="13044" max="13044" width="11" style="50" customWidth="1"/>
    <col min="13045" max="13045" width="8.83203125" style="50"/>
    <col min="13046" max="13046" width="9.33203125" style="50" customWidth="1"/>
    <col min="13047" max="13047" width="10.5" style="50" customWidth="1"/>
    <col min="13048" max="13048" width="8.83203125" style="50" customWidth="1"/>
    <col min="13049" max="13288" width="8.83203125" style="50"/>
    <col min="13289" max="13289" width="9.83203125" style="50" customWidth="1"/>
    <col min="13290" max="13290" width="8.33203125" style="50" customWidth="1"/>
    <col min="13291" max="13291" width="9" style="50" customWidth="1"/>
    <col min="13292" max="13292" width="7.33203125" style="50" customWidth="1"/>
    <col min="13293" max="13293" width="8.1640625" style="50" customWidth="1"/>
    <col min="13294" max="13294" width="8.83203125" style="50" customWidth="1"/>
    <col min="13295" max="13295" width="7.33203125" style="50" customWidth="1"/>
    <col min="13296" max="13296" width="2.33203125" style="50" customWidth="1"/>
    <col min="13297" max="13297" width="9.5" style="50" customWidth="1"/>
    <col min="13298" max="13298" width="8.83203125" style="50" customWidth="1"/>
    <col min="13299" max="13299" width="8.5" style="50" customWidth="1"/>
    <col min="13300" max="13300" width="11" style="50" customWidth="1"/>
    <col min="13301" max="13301" width="8.83203125" style="50"/>
    <col min="13302" max="13302" width="9.33203125" style="50" customWidth="1"/>
    <col min="13303" max="13303" width="10.5" style="50" customWidth="1"/>
    <col min="13304" max="13304" width="8.83203125" style="50" customWidth="1"/>
    <col min="13305" max="13544" width="8.83203125" style="50"/>
    <col min="13545" max="13545" width="9.83203125" style="50" customWidth="1"/>
    <col min="13546" max="13546" width="8.33203125" style="50" customWidth="1"/>
    <col min="13547" max="13547" width="9" style="50" customWidth="1"/>
    <col min="13548" max="13548" width="7.33203125" style="50" customWidth="1"/>
    <col min="13549" max="13549" width="8.1640625" style="50" customWidth="1"/>
    <col min="13550" max="13550" width="8.83203125" style="50" customWidth="1"/>
    <col min="13551" max="13551" width="7.33203125" style="50" customWidth="1"/>
    <col min="13552" max="13552" width="2.33203125" style="50" customWidth="1"/>
    <col min="13553" max="13553" width="9.5" style="50" customWidth="1"/>
    <col min="13554" max="13554" width="8.83203125" style="50" customWidth="1"/>
    <col min="13555" max="13555" width="8.5" style="50" customWidth="1"/>
    <col min="13556" max="13556" width="11" style="50" customWidth="1"/>
    <col min="13557" max="13557" width="8.83203125" style="50"/>
    <col min="13558" max="13558" width="9.33203125" style="50" customWidth="1"/>
    <col min="13559" max="13559" width="10.5" style="50" customWidth="1"/>
    <col min="13560" max="13560" width="8.83203125" style="50" customWidth="1"/>
    <col min="13561" max="13800" width="8.83203125" style="50"/>
    <col min="13801" max="13801" width="9.83203125" style="50" customWidth="1"/>
    <col min="13802" max="13802" width="8.33203125" style="50" customWidth="1"/>
    <col min="13803" max="13803" width="9" style="50" customWidth="1"/>
    <col min="13804" max="13804" width="7.33203125" style="50" customWidth="1"/>
    <col min="13805" max="13805" width="8.1640625" style="50" customWidth="1"/>
    <col min="13806" max="13806" width="8.83203125" style="50" customWidth="1"/>
    <col min="13807" max="13807" width="7.33203125" style="50" customWidth="1"/>
    <col min="13808" max="13808" width="2.33203125" style="50" customWidth="1"/>
    <col min="13809" max="13809" width="9.5" style="50" customWidth="1"/>
    <col min="13810" max="13810" width="8.83203125" style="50" customWidth="1"/>
    <col min="13811" max="13811" width="8.5" style="50" customWidth="1"/>
    <col min="13812" max="13812" width="11" style="50" customWidth="1"/>
    <col min="13813" max="13813" width="8.83203125" style="50"/>
    <col min="13814" max="13814" width="9.33203125" style="50" customWidth="1"/>
    <col min="13815" max="13815" width="10.5" style="50" customWidth="1"/>
    <col min="13816" max="13816" width="8.83203125" style="50" customWidth="1"/>
    <col min="13817" max="14056" width="8.83203125" style="50"/>
    <col min="14057" max="14057" width="9.83203125" style="50" customWidth="1"/>
    <col min="14058" max="14058" width="8.33203125" style="50" customWidth="1"/>
    <col min="14059" max="14059" width="9" style="50" customWidth="1"/>
    <col min="14060" max="14060" width="7.33203125" style="50" customWidth="1"/>
    <col min="14061" max="14061" width="8.1640625" style="50" customWidth="1"/>
    <col min="14062" max="14062" width="8.83203125" style="50" customWidth="1"/>
    <col min="14063" max="14063" width="7.33203125" style="50" customWidth="1"/>
    <col min="14064" max="14064" width="2.33203125" style="50" customWidth="1"/>
    <col min="14065" max="14065" width="9.5" style="50" customWidth="1"/>
    <col min="14066" max="14066" width="8.83203125" style="50" customWidth="1"/>
    <col min="14067" max="14067" width="8.5" style="50" customWidth="1"/>
    <col min="14068" max="14068" width="11" style="50" customWidth="1"/>
    <col min="14069" max="14069" width="8.83203125" style="50"/>
    <col min="14070" max="14070" width="9.33203125" style="50" customWidth="1"/>
    <col min="14071" max="14071" width="10.5" style="50" customWidth="1"/>
    <col min="14072" max="14072" width="8.83203125" style="50" customWidth="1"/>
    <col min="14073" max="14312" width="8.83203125" style="50"/>
    <col min="14313" max="14313" width="9.83203125" style="50" customWidth="1"/>
    <col min="14314" max="14314" width="8.33203125" style="50" customWidth="1"/>
    <col min="14315" max="14315" width="9" style="50" customWidth="1"/>
    <col min="14316" max="14316" width="7.33203125" style="50" customWidth="1"/>
    <col min="14317" max="14317" width="8.1640625" style="50" customWidth="1"/>
    <col min="14318" max="14318" width="8.83203125" style="50" customWidth="1"/>
    <col min="14319" max="14319" width="7.33203125" style="50" customWidth="1"/>
    <col min="14320" max="14320" width="2.33203125" style="50" customWidth="1"/>
    <col min="14321" max="14321" width="9.5" style="50" customWidth="1"/>
    <col min="14322" max="14322" width="8.83203125" style="50" customWidth="1"/>
    <col min="14323" max="14323" width="8.5" style="50" customWidth="1"/>
    <col min="14324" max="14324" width="11" style="50" customWidth="1"/>
    <col min="14325" max="14325" width="8.83203125" style="50"/>
    <col min="14326" max="14326" width="9.33203125" style="50" customWidth="1"/>
    <col min="14327" max="14327" width="10.5" style="50" customWidth="1"/>
    <col min="14328" max="14328" width="8.83203125" style="50" customWidth="1"/>
    <col min="14329" max="14568" width="8.83203125" style="50"/>
    <col min="14569" max="14569" width="9.83203125" style="50" customWidth="1"/>
    <col min="14570" max="14570" width="8.33203125" style="50" customWidth="1"/>
    <col min="14571" max="14571" width="9" style="50" customWidth="1"/>
    <col min="14572" max="14572" width="7.33203125" style="50" customWidth="1"/>
    <col min="14573" max="14573" width="8.1640625" style="50" customWidth="1"/>
    <col min="14574" max="14574" width="8.83203125" style="50" customWidth="1"/>
    <col min="14575" max="14575" width="7.33203125" style="50" customWidth="1"/>
    <col min="14576" max="14576" width="2.33203125" style="50" customWidth="1"/>
    <col min="14577" max="14577" width="9.5" style="50" customWidth="1"/>
    <col min="14578" max="14578" width="8.83203125" style="50" customWidth="1"/>
    <col min="14579" max="14579" width="8.5" style="50" customWidth="1"/>
    <col min="14580" max="14580" width="11" style="50" customWidth="1"/>
    <col min="14581" max="14581" width="8.83203125" style="50"/>
    <col min="14582" max="14582" width="9.33203125" style="50" customWidth="1"/>
    <col min="14583" max="14583" width="10.5" style="50" customWidth="1"/>
    <col min="14584" max="14584" width="8.83203125" style="50" customWidth="1"/>
    <col min="14585" max="14824" width="8.83203125" style="50"/>
    <col min="14825" max="14825" width="9.83203125" style="50" customWidth="1"/>
    <col min="14826" max="14826" width="8.33203125" style="50" customWidth="1"/>
    <col min="14827" max="14827" width="9" style="50" customWidth="1"/>
    <col min="14828" max="14828" width="7.33203125" style="50" customWidth="1"/>
    <col min="14829" max="14829" width="8.1640625" style="50" customWidth="1"/>
    <col min="14830" max="14830" width="8.83203125" style="50" customWidth="1"/>
    <col min="14831" max="14831" width="7.33203125" style="50" customWidth="1"/>
    <col min="14832" max="14832" width="2.33203125" style="50" customWidth="1"/>
    <col min="14833" max="14833" width="9.5" style="50" customWidth="1"/>
    <col min="14834" max="14834" width="8.83203125" style="50" customWidth="1"/>
    <col min="14835" max="14835" width="8.5" style="50" customWidth="1"/>
    <col min="14836" max="14836" width="11" style="50" customWidth="1"/>
    <col min="14837" max="14837" width="8.83203125" style="50"/>
    <col min="14838" max="14838" width="9.33203125" style="50" customWidth="1"/>
    <col min="14839" max="14839" width="10.5" style="50" customWidth="1"/>
    <col min="14840" max="14840" width="8.83203125" style="50" customWidth="1"/>
    <col min="14841" max="15080" width="8.83203125" style="50"/>
    <col min="15081" max="15081" width="9.83203125" style="50" customWidth="1"/>
    <col min="15082" max="15082" width="8.33203125" style="50" customWidth="1"/>
    <col min="15083" max="15083" width="9" style="50" customWidth="1"/>
    <col min="15084" max="15084" width="7.33203125" style="50" customWidth="1"/>
    <col min="15085" max="15085" width="8.1640625" style="50" customWidth="1"/>
    <col min="15086" max="15086" width="8.83203125" style="50" customWidth="1"/>
    <col min="15087" max="15087" width="7.33203125" style="50" customWidth="1"/>
    <col min="15088" max="15088" width="2.33203125" style="50" customWidth="1"/>
    <col min="15089" max="15089" width="9.5" style="50" customWidth="1"/>
    <col min="15090" max="15090" width="8.83203125" style="50" customWidth="1"/>
    <col min="15091" max="15091" width="8.5" style="50" customWidth="1"/>
    <col min="15092" max="15092" width="11" style="50" customWidth="1"/>
    <col min="15093" max="15093" width="8.83203125" style="50"/>
    <col min="15094" max="15094" width="9.33203125" style="50" customWidth="1"/>
    <col min="15095" max="15095" width="10.5" style="50" customWidth="1"/>
    <col min="15096" max="15096" width="8.83203125" style="50" customWidth="1"/>
    <col min="15097" max="15336" width="8.83203125" style="50"/>
    <col min="15337" max="15337" width="9.83203125" style="50" customWidth="1"/>
    <col min="15338" max="15338" width="8.33203125" style="50" customWidth="1"/>
    <col min="15339" max="15339" width="9" style="50" customWidth="1"/>
    <col min="15340" max="15340" width="7.33203125" style="50" customWidth="1"/>
    <col min="15341" max="15341" width="8.1640625" style="50" customWidth="1"/>
    <col min="15342" max="15342" width="8.83203125" style="50" customWidth="1"/>
    <col min="15343" max="15343" width="7.33203125" style="50" customWidth="1"/>
    <col min="15344" max="15344" width="2.33203125" style="50" customWidth="1"/>
    <col min="15345" max="15345" width="9.5" style="50" customWidth="1"/>
    <col min="15346" max="15346" width="8.83203125" style="50" customWidth="1"/>
    <col min="15347" max="15347" width="8.5" style="50" customWidth="1"/>
    <col min="15348" max="15348" width="11" style="50" customWidth="1"/>
    <col min="15349" max="15349" width="8.83203125" style="50"/>
    <col min="15350" max="15350" width="9.33203125" style="50" customWidth="1"/>
    <col min="15351" max="15351" width="10.5" style="50" customWidth="1"/>
    <col min="15352" max="15352" width="8.83203125" style="50" customWidth="1"/>
    <col min="15353" max="15592" width="8.83203125" style="50"/>
    <col min="15593" max="15593" width="9.83203125" style="50" customWidth="1"/>
    <col min="15594" max="15594" width="8.33203125" style="50" customWidth="1"/>
    <col min="15595" max="15595" width="9" style="50" customWidth="1"/>
    <col min="15596" max="15596" width="7.33203125" style="50" customWidth="1"/>
    <col min="15597" max="15597" width="8.1640625" style="50" customWidth="1"/>
    <col min="15598" max="15598" width="8.83203125" style="50" customWidth="1"/>
    <col min="15599" max="15599" width="7.33203125" style="50" customWidth="1"/>
    <col min="15600" max="15600" width="2.33203125" style="50" customWidth="1"/>
    <col min="15601" max="15601" width="9.5" style="50" customWidth="1"/>
    <col min="15602" max="15602" width="8.83203125" style="50" customWidth="1"/>
    <col min="15603" max="15603" width="8.5" style="50" customWidth="1"/>
    <col min="15604" max="15604" width="11" style="50" customWidth="1"/>
    <col min="15605" max="15605" width="8.83203125" style="50"/>
    <col min="15606" max="15606" width="9.33203125" style="50" customWidth="1"/>
    <col min="15607" max="15607" width="10.5" style="50" customWidth="1"/>
    <col min="15608" max="15608" width="8.83203125" style="50" customWidth="1"/>
    <col min="15609" max="15848" width="8.83203125" style="50"/>
    <col min="15849" max="15849" width="9.83203125" style="50" customWidth="1"/>
    <col min="15850" max="15850" width="8.33203125" style="50" customWidth="1"/>
    <col min="15851" max="15851" width="9" style="50" customWidth="1"/>
    <col min="15852" max="15852" width="7.33203125" style="50" customWidth="1"/>
    <col min="15853" max="15853" width="8.1640625" style="50" customWidth="1"/>
    <col min="15854" max="15854" width="8.83203125" style="50" customWidth="1"/>
    <col min="15855" max="15855" width="7.33203125" style="50" customWidth="1"/>
    <col min="15856" max="15856" width="2.33203125" style="50" customWidth="1"/>
    <col min="15857" max="15857" width="9.5" style="50" customWidth="1"/>
    <col min="15858" max="15858" width="8.83203125" style="50" customWidth="1"/>
    <col min="15859" max="15859" width="8.5" style="50" customWidth="1"/>
    <col min="15860" max="15860" width="11" style="50" customWidth="1"/>
    <col min="15861" max="15861" width="8.83203125" style="50"/>
    <col min="15862" max="15862" width="9.33203125" style="50" customWidth="1"/>
    <col min="15863" max="15863" width="10.5" style="50" customWidth="1"/>
    <col min="15864" max="15864" width="8.83203125" style="50" customWidth="1"/>
    <col min="15865" max="16104" width="8.83203125" style="50"/>
    <col min="16105" max="16105" width="9.83203125" style="50" customWidth="1"/>
    <col min="16106" max="16106" width="8.33203125" style="50" customWidth="1"/>
    <col min="16107" max="16107" width="9" style="50" customWidth="1"/>
    <col min="16108" max="16108" width="7.33203125" style="50" customWidth="1"/>
    <col min="16109" max="16109" width="8.1640625" style="50" customWidth="1"/>
    <col min="16110" max="16110" width="8.83203125" style="50" customWidth="1"/>
    <col min="16111" max="16111" width="7.33203125" style="50" customWidth="1"/>
    <col min="16112" max="16112" width="2.33203125" style="50" customWidth="1"/>
    <col min="16113" max="16113" width="9.5" style="50" customWidth="1"/>
    <col min="16114" max="16114" width="8.83203125" style="50" customWidth="1"/>
    <col min="16115" max="16115" width="8.5" style="50" customWidth="1"/>
    <col min="16116" max="16116" width="11" style="50" customWidth="1"/>
    <col min="16117" max="16117" width="8.83203125" style="50"/>
    <col min="16118" max="16118" width="9.33203125" style="50" customWidth="1"/>
    <col min="16119" max="16119" width="10.5" style="50" customWidth="1"/>
    <col min="16120" max="16120" width="8.83203125" style="50" customWidth="1"/>
    <col min="16121" max="16354" width="8.83203125" style="50"/>
    <col min="16355" max="16384" width="8.83203125" style="50" customWidth="1"/>
  </cols>
  <sheetData>
    <row r="1" spans="1:26" ht="12.75" customHeight="1">
      <c r="A1" s="991" t="s">
        <v>263</v>
      </c>
      <c r="B1" s="991"/>
      <c r="C1" s="991"/>
      <c r="D1" s="991"/>
      <c r="E1" s="991"/>
      <c r="F1" s="991"/>
      <c r="G1" s="991"/>
      <c r="H1" s="991"/>
      <c r="K1" s="289" t="s">
        <v>264</v>
      </c>
      <c r="L1" s="214"/>
      <c r="M1" s="214"/>
      <c r="N1" s="214"/>
      <c r="O1" s="214"/>
      <c r="P1" s="214"/>
      <c r="Q1" s="214"/>
      <c r="R1" s="214"/>
      <c r="T1" s="24"/>
    </row>
    <row r="2" spans="1:26" ht="12.75" customHeight="1" thickBot="1">
      <c r="A2" s="1128" t="s">
        <v>208</v>
      </c>
      <c r="B2" s="1128"/>
      <c r="C2" s="1128"/>
      <c r="D2" s="1128"/>
      <c r="E2" s="1128"/>
      <c r="F2" s="1128"/>
      <c r="G2" s="1128"/>
      <c r="H2" s="1128"/>
      <c r="K2" s="286" t="s">
        <v>126</v>
      </c>
      <c r="L2" s="286"/>
      <c r="M2" s="286"/>
      <c r="N2" s="286"/>
      <c r="O2" s="286"/>
      <c r="P2" s="286"/>
      <c r="Q2" s="286"/>
      <c r="R2" s="286"/>
      <c r="S2" s="286"/>
      <c r="T2" s="24"/>
    </row>
    <row r="3" spans="1:26" ht="12.75" customHeight="1" thickBot="1">
      <c r="A3" s="967" t="s">
        <v>109</v>
      </c>
      <c r="B3" s="968"/>
      <c r="C3" s="973" t="s">
        <v>110</v>
      </c>
      <c r="D3" s="973"/>
      <c r="E3" s="973"/>
      <c r="F3" s="973"/>
      <c r="G3" s="974"/>
      <c r="H3" s="975" t="s">
        <v>111</v>
      </c>
      <c r="I3" s="978" t="s">
        <v>112</v>
      </c>
      <c r="K3" s="967" t="s">
        <v>109</v>
      </c>
      <c r="L3" s="967"/>
      <c r="M3" s="973" t="s">
        <v>110</v>
      </c>
      <c r="N3" s="973"/>
      <c r="O3" s="973"/>
      <c r="P3" s="973"/>
      <c r="Q3" s="973"/>
      <c r="R3" s="975" t="s">
        <v>111</v>
      </c>
      <c r="S3" s="978" t="s">
        <v>112</v>
      </c>
      <c r="T3" s="24"/>
    </row>
    <row r="4" spans="1:26" ht="12.75" customHeight="1" thickBot="1">
      <c r="A4" s="969"/>
      <c r="B4" s="970"/>
      <c r="C4" s="981" t="s">
        <v>113</v>
      </c>
      <c r="D4" s="948" t="s">
        <v>114</v>
      </c>
      <c r="E4" s="948" t="s">
        <v>115</v>
      </c>
      <c r="F4" s="950" t="s">
        <v>116</v>
      </c>
      <c r="G4" s="952" t="s">
        <v>117</v>
      </c>
      <c r="H4" s="976"/>
      <c r="I4" s="979"/>
      <c r="K4" s="967"/>
      <c r="L4" s="967"/>
      <c r="M4" s="981" t="s">
        <v>113</v>
      </c>
      <c r="N4" s="948" t="s">
        <v>114</v>
      </c>
      <c r="O4" s="948" t="s">
        <v>115</v>
      </c>
      <c r="P4" s="950" t="s">
        <v>116</v>
      </c>
      <c r="Q4" s="952" t="s">
        <v>117</v>
      </c>
      <c r="R4" s="975"/>
      <c r="S4" s="978"/>
      <c r="T4" s="24"/>
      <c r="W4" s="50">
        <v>27</v>
      </c>
      <c r="X4" s="50">
        <v>5</v>
      </c>
      <c r="Y4" s="50">
        <v>27</v>
      </c>
      <c r="Z4" s="50">
        <v>5</v>
      </c>
    </row>
    <row r="5" spans="1:26" ht="12.75" customHeight="1" thickBot="1">
      <c r="A5" s="971"/>
      <c r="B5" s="972"/>
      <c r="C5" s="982"/>
      <c r="D5" s="949"/>
      <c r="E5" s="949"/>
      <c r="F5" s="951"/>
      <c r="G5" s="953"/>
      <c r="H5" s="977"/>
      <c r="I5" s="980"/>
      <c r="K5" s="967"/>
      <c r="L5" s="967"/>
      <c r="M5" s="981"/>
      <c r="N5" s="948"/>
      <c r="O5" s="948"/>
      <c r="P5" s="950"/>
      <c r="Q5" s="952"/>
      <c r="R5" s="975"/>
      <c r="S5" s="978"/>
      <c r="T5" s="24"/>
      <c r="W5" s="50">
        <v>19</v>
      </c>
      <c r="X5" s="50">
        <v>6</v>
      </c>
      <c r="Y5" s="50">
        <v>15</v>
      </c>
      <c r="Z5" s="50">
        <v>4</v>
      </c>
    </row>
    <row r="6" spans="1:26" ht="45" customHeight="1" thickBot="1">
      <c r="A6" s="1008" t="s">
        <v>123</v>
      </c>
      <c r="B6" s="1009"/>
      <c r="C6" s="34">
        <v>57</v>
      </c>
      <c r="D6" s="35">
        <v>13</v>
      </c>
      <c r="E6" s="35">
        <v>52</v>
      </c>
      <c r="F6" s="36">
        <v>12</v>
      </c>
      <c r="G6" s="51">
        <f>SUM(C6:F6)</f>
        <v>134</v>
      </c>
      <c r="H6" s="38">
        <f>C6/(SUM(C6:D6))</f>
        <v>0.81428571428571428</v>
      </c>
      <c r="I6" s="899">
        <f>SUM(C6,E6)/G6</f>
        <v>0.81343283582089554</v>
      </c>
      <c r="K6" s="954" t="s">
        <v>127</v>
      </c>
      <c r="L6" s="954"/>
      <c r="M6" s="250"/>
      <c r="N6" s="251"/>
      <c r="O6" s="252"/>
      <c r="P6" s="253"/>
      <c r="Q6" s="285">
        <f>SUM(M6:P6)</f>
        <v>0</v>
      </c>
      <c r="R6" s="38" t="e">
        <f>M6/(SUM(M6:N6))</f>
        <v>#DIV/0!</v>
      </c>
      <c r="S6" s="38" t="e">
        <f>SUM(M6,O6)/Q6</f>
        <v>#DIV/0!</v>
      </c>
      <c r="T6" s="24"/>
      <c r="W6" s="50">
        <f>SUM(W4:W5)</f>
        <v>46</v>
      </c>
      <c r="X6" s="50">
        <f t="shared" ref="X6:Z6" si="0">SUM(X4:X5)</f>
        <v>11</v>
      </c>
      <c r="Y6" s="50">
        <f t="shared" si="0"/>
        <v>42</v>
      </c>
      <c r="Z6" s="50">
        <f t="shared" si="0"/>
        <v>9</v>
      </c>
    </row>
    <row r="7" spans="1:26" ht="43.5" customHeight="1" thickBot="1">
      <c r="A7" s="1010" t="s">
        <v>124</v>
      </c>
      <c r="B7" s="1011"/>
      <c r="C7" s="39">
        <f>C6/$G$6</f>
        <v>0.42537313432835822</v>
      </c>
      <c r="D7" s="40">
        <f t="shared" ref="D7:F7" si="1">D6/$G$6</f>
        <v>9.7014925373134331E-2</v>
      </c>
      <c r="E7" s="40">
        <f t="shared" si="1"/>
        <v>0.38805970149253732</v>
      </c>
      <c r="F7" s="41">
        <f t="shared" si="1"/>
        <v>8.9552238805970144E-2</v>
      </c>
      <c r="G7" s="899">
        <f>SUM(C7:F7)</f>
        <v>1</v>
      </c>
      <c r="H7" s="943"/>
      <c r="I7" s="944"/>
      <c r="K7" s="954" t="s">
        <v>128</v>
      </c>
      <c r="L7" s="954"/>
      <c r="M7" s="250"/>
      <c r="N7" s="251"/>
      <c r="O7" s="252"/>
      <c r="P7" s="253"/>
      <c r="Q7" s="285">
        <f>SUM(M7:P7)</f>
        <v>0</v>
      </c>
      <c r="R7" s="38" t="e">
        <f>M7/(SUM(M7:N7))</f>
        <v>#DIV/0!</v>
      </c>
      <c r="S7" s="38" t="e">
        <f>SUM(M7,O7)/Q7</f>
        <v>#DIV/0!</v>
      </c>
      <c r="T7" s="24"/>
    </row>
    <row r="8" spans="1:26" ht="27" customHeight="1" thickBot="1">
      <c r="A8" s="1012" t="s">
        <v>155</v>
      </c>
      <c r="B8" s="1013"/>
      <c r="C8" s="1013"/>
      <c r="D8" s="1013"/>
      <c r="E8" s="1013"/>
      <c r="F8" s="1013"/>
      <c r="G8" s="1013"/>
      <c r="H8" s="1013"/>
      <c r="I8" s="1014"/>
      <c r="K8" s="954" t="s">
        <v>117</v>
      </c>
      <c r="L8" s="954"/>
      <c r="M8" s="250">
        <f>SUM(M6:M7)</f>
        <v>0</v>
      </c>
      <c r="N8" s="251">
        <f>SUM(N6:N7)</f>
        <v>0</v>
      </c>
      <c r="O8" s="252">
        <f>SUM(O6:O7)</f>
        <v>0</v>
      </c>
      <c r="P8" s="253">
        <f>SUM(P6:P7)</f>
        <v>0</v>
      </c>
      <c r="Q8" s="285">
        <f>SUM(Q6:Q7)</f>
        <v>0</v>
      </c>
      <c r="R8" s="38" t="e">
        <f>M8/(SUM(M8:N8))</f>
        <v>#DIV/0!</v>
      </c>
      <c r="S8" s="38" t="e">
        <f>SUM(M8,O8)/Q8</f>
        <v>#DIV/0!</v>
      </c>
      <c r="T8" s="24"/>
    </row>
    <row r="9" spans="1:26" ht="45.75" customHeight="1" thickBot="1">
      <c r="A9" s="436"/>
      <c r="B9" s="436"/>
      <c r="C9" s="436"/>
      <c r="D9" s="436"/>
      <c r="E9" s="436"/>
      <c r="F9" s="436"/>
      <c r="G9" s="436"/>
      <c r="H9" s="436"/>
      <c r="K9" s="956" t="s">
        <v>129</v>
      </c>
      <c r="L9" s="956"/>
      <c r="M9" s="39" t="e">
        <f>M8/$Q$8</f>
        <v>#DIV/0!</v>
      </c>
      <c r="N9" s="40" t="e">
        <f t="shared" ref="N9:P9" si="2">N8/$Q$8</f>
        <v>#DIV/0!</v>
      </c>
      <c r="O9" s="40" t="e">
        <f t="shared" si="2"/>
        <v>#DIV/0!</v>
      </c>
      <c r="P9" s="41" t="e">
        <f t="shared" si="2"/>
        <v>#DIV/0!</v>
      </c>
      <c r="Q9" s="899" t="e">
        <f>SUM(M9:P9)</f>
        <v>#DIV/0!</v>
      </c>
      <c r="R9" s="983"/>
      <c r="S9" s="1125"/>
      <c r="T9" s="24"/>
    </row>
    <row r="10" spans="1:26" ht="12.75" customHeight="1" thickBot="1">
      <c r="K10" s="956" t="s">
        <v>130</v>
      </c>
      <c r="L10" s="956"/>
      <c r="M10" s="40" t="e">
        <f>M9*0.89</f>
        <v>#DIV/0!</v>
      </c>
      <c r="N10" s="40" t="e">
        <f>N9</f>
        <v>#DIV/0!</v>
      </c>
      <c r="O10" s="40" t="e">
        <f>O9</f>
        <v>#DIV/0!</v>
      </c>
      <c r="P10" s="41" t="e">
        <f>P9 + (M9*0.11)</f>
        <v>#DIV/0!</v>
      </c>
      <c r="Q10" s="899" t="e">
        <f>SUM(M10:P10)</f>
        <v>#DIV/0!</v>
      </c>
      <c r="R10" s="943"/>
      <c r="S10" s="1124"/>
      <c r="T10" s="24"/>
    </row>
    <row r="11" spans="1:26" ht="12.75" customHeight="1" thickBot="1">
      <c r="K11" s="958" t="s">
        <v>120</v>
      </c>
      <c r="L11" s="958"/>
      <c r="M11" s="958"/>
      <c r="N11" s="958"/>
      <c r="O11" s="958"/>
      <c r="P11" s="958"/>
      <c r="Q11" s="958"/>
      <c r="R11" s="958"/>
      <c r="S11" s="1126"/>
      <c r="T11" s="24"/>
    </row>
    <row r="12" spans="1:26" ht="12.75" customHeight="1" thickBot="1">
      <c r="K12" s="958"/>
      <c r="L12" s="958"/>
      <c r="M12" s="958"/>
      <c r="N12" s="958"/>
      <c r="O12" s="958"/>
      <c r="P12" s="958"/>
      <c r="Q12" s="958"/>
      <c r="R12" s="958"/>
      <c r="S12" s="1126"/>
      <c r="T12" s="24"/>
    </row>
    <row r="13" spans="1:26" ht="12.75" customHeight="1" thickBot="1">
      <c r="A13" s="299"/>
      <c r="B13" s="3"/>
      <c r="C13" s="3"/>
      <c r="D13" s="3"/>
      <c r="E13" s="3"/>
      <c r="F13" s="3"/>
      <c r="G13" s="3"/>
      <c r="H13" s="3"/>
      <c r="K13" s="958" t="s">
        <v>131</v>
      </c>
      <c r="L13" s="958"/>
      <c r="M13" s="958"/>
      <c r="N13" s="958"/>
      <c r="O13" s="958"/>
      <c r="P13" s="958"/>
      <c r="Q13" s="958"/>
      <c r="R13" s="958"/>
      <c r="S13" s="1126"/>
      <c r="T13" s="24"/>
    </row>
    <row r="14" spans="1:26" ht="12.75" customHeight="1" thickBot="1">
      <c r="A14" s="299"/>
      <c r="B14" s="3"/>
      <c r="C14" s="3"/>
      <c r="D14" s="3"/>
      <c r="E14" s="3"/>
      <c r="F14" s="3"/>
      <c r="G14" s="3"/>
      <c r="H14" s="3"/>
      <c r="K14" s="945"/>
      <c r="L14" s="945"/>
      <c r="M14" s="945"/>
      <c r="N14" s="945"/>
      <c r="O14" s="945"/>
      <c r="P14" s="945"/>
      <c r="Q14" s="945"/>
      <c r="R14" s="945"/>
      <c r="S14" s="1127"/>
      <c r="T14" s="24"/>
    </row>
    <row r="15" spans="1:26" ht="12.75" customHeight="1">
      <c r="A15" s="299"/>
      <c r="B15" s="3"/>
      <c r="C15" s="3"/>
      <c r="D15" s="3"/>
      <c r="E15" s="3"/>
      <c r="F15" s="3"/>
      <c r="G15" s="3"/>
      <c r="H15" s="3"/>
      <c r="K15" s="24"/>
      <c r="L15" s="24"/>
      <c r="M15" s="24"/>
      <c r="N15" s="24"/>
      <c r="O15" s="24"/>
      <c r="P15" s="24"/>
      <c r="Q15" s="24"/>
      <c r="R15" s="24"/>
      <c r="S15" s="24"/>
      <c r="T15" s="24"/>
    </row>
    <row r="16" spans="1:26" ht="12.75" customHeight="1">
      <c r="A16" s="3"/>
      <c r="B16" s="3"/>
      <c r="C16" s="3"/>
      <c r="D16" s="3"/>
      <c r="E16" s="3"/>
      <c r="F16" s="3"/>
      <c r="G16" s="3"/>
      <c r="H16" s="3"/>
    </row>
    <row r="17" spans="1:19" ht="12.75" customHeight="1">
      <c r="A17" s="991" t="s">
        <v>265</v>
      </c>
      <c r="B17" s="991"/>
      <c r="C17" s="991"/>
      <c r="D17" s="991"/>
      <c r="E17" s="991"/>
      <c r="F17" s="991"/>
      <c r="G17" s="991"/>
      <c r="H17" s="991"/>
      <c r="K17" s="289" t="s">
        <v>266</v>
      </c>
      <c r="L17" s="214"/>
      <c r="M17" s="214"/>
      <c r="N17" s="214"/>
      <c r="O17" s="214"/>
      <c r="P17" s="214"/>
      <c r="Q17" s="214"/>
      <c r="R17" s="214"/>
    </row>
    <row r="18" spans="1:19" ht="12.75" customHeight="1" thickBot="1">
      <c r="A18" s="1128" t="s">
        <v>208</v>
      </c>
      <c r="B18" s="1128"/>
      <c r="C18" s="1128"/>
      <c r="D18" s="1128"/>
      <c r="E18" s="1128"/>
      <c r="F18" s="1128"/>
      <c r="G18" s="1128"/>
      <c r="H18" s="1128"/>
      <c r="K18" s="286" t="s">
        <v>126</v>
      </c>
      <c r="L18" s="286"/>
      <c r="M18" s="286"/>
      <c r="N18" s="286"/>
      <c r="O18" s="286"/>
      <c r="P18" s="286"/>
      <c r="Q18" s="286"/>
      <c r="R18" s="286"/>
      <c r="S18" s="286"/>
    </row>
    <row r="19" spans="1:19" ht="12.75" customHeight="1" thickBot="1">
      <c r="A19" s="430"/>
      <c r="B19" s="430"/>
      <c r="C19" s="1129"/>
      <c r="D19" s="1129"/>
      <c r="E19" s="1129"/>
      <c r="F19" s="1129"/>
      <c r="G19" s="1129"/>
      <c r="H19" s="1129"/>
      <c r="K19" s="967" t="s">
        <v>109</v>
      </c>
      <c r="L19" s="967"/>
      <c r="M19" s="973" t="s">
        <v>110</v>
      </c>
      <c r="N19" s="973"/>
      <c r="O19" s="973"/>
      <c r="P19" s="973"/>
      <c r="Q19" s="973"/>
      <c r="R19" s="975" t="s">
        <v>111</v>
      </c>
      <c r="S19" s="978" t="s">
        <v>112</v>
      </c>
    </row>
    <row r="20" spans="1:19" ht="12.75" customHeight="1" thickBot="1">
      <c r="A20" s="967" t="s">
        <v>109</v>
      </c>
      <c r="B20" s="968"/>
      <c r="C20" s="973" t="s">
        <v>110</v>
      </c>
      <c r="D20" s="973"/>
      <c r="E20" s="973"/>
      <c r="F20" s="973"/>
      <c r="G20" s="974"/>
      <c r="H20" s="975" t="s">
        <v>111</v>
      </c>
      <c r="I20" s="978" t="s">
        <v>112</v>
      </c>
      <c r="K20" s="967"/>
      <c r="L20" s="967"/>
      <c r="M20" s="981" t="s">
        <v>113</v>
      </c>
      <c r="N20" s="948" t="s">
        <v>114</v>
      </c>
      <c r="O20" s="948" t="s">
        <v>115</v>
      </c>
      <c r="P20" s="950" t="s">
        <v>116</v>
      </c>
      <c r="Q20" s="952" t="s">
        <v>117</v>
      </c>
      <c r="R20" s="975"/>
      <c r="S20" s="978"/>
    </row>
    <row r="21" spans="1:19" ht="12.75" customHeight="1" thickBot="1">
      <c r="A21" s="969"/>
      <c r="B21" s="970"/>
      <c r="C21" s="981" t="s">
        <v>113</v>
      </c>
      <c r="D21" s="948" t="s">
        <v>114</v>
      </c>
      <c r="E21" s="948" t="s">
        <v>115</v>
      </c>
      <c r="F21" s="950" t="s">
        <v>116</v>
      </c>
      <c r="G21" s="952" t="s">
        <v>117</v>
      </c>
      <c r="H21" s="976"/>
      <c r="I21" s="979"/>
      <c r="K21" s="967"/>
      <c r="L21" s="967"/>
      <c r="M21" s="981"/>
      <c r="N21" s="948"/>
      <c r="O21" s="948"/>
      <c r="P21" s="950"/>
      <c r="Q21" s="952"/>
      <c r="R21" s="975"/>
      <c r="S21" s="978"/>
    </row>
    <row r="22" spans="1:19" ht="12.75" customHeight="1" thickBot="1">
      <c r="A22" s="971"/>
      <c r="B22" s="972"/>
      <c r="C22" s="982"/>
      <c r="D22" s="949"/>
      <c r="E22" s="949"/>
      <c r="F22" s="951"/>
      <c r="G22" s="953"/>
      <c r="H22" s="977"/>
      <c r="I22" s="980"/>
      <c r="K22" s="954" t="s">
        <v>127</v>
      </c>
      <c r="L22" s="954"/>
      <c r="M22" s="250"/>
      <c r="N22" s="251"/>
      <c r="O22" s="252"/>
      <c r="P22" s="253"/>
      <c r="Q22" s="285">
        <f>SUM(M22:P22)</f>
        <v>0</v>
      </c>
      <c r="R22" s="38" t="e">
        <f>M22/(SUM(M22:N22))</f>
        <v>#DIV/0!</v>
      </c>
      <c r="S22" s="38" t="e">
        <f>SUM(M22,O22)/Q22</f>
        <v>#DIV/0!</v>
      </c>
    </row>
    <row r="23" spans="1:19" ht="45" customHeight="1" thickBot="1">
      <c r="A23" s="1008" t="s">
        <v>123</v>
      </c>
      <c r="B23" s="1009"/>
      <c r="C23" s="34">
        <v>55</v>
      </c>
      <c r="D23" s="35">
        <v>26</v>
      </c>
      <c r="E23" s="35">
        <v>94</v>
      </c>
      <c r="F23" s="36">
        <v>33</v>
      </c>
      <c r="G23" s="51">
        <f>SUM(C23:F23)</f>
        <v>208</v>
      </c>
      <c r="H23" s="38">
        <f>C23/(SUM(C23:D23))</f>
        <v>0.67901234567901236</v>
      </c>
      <c r="I23" s="899">
        <f>SUM(C23,E23)/G23</f>
        <v>0.71634615384615385</v>
      </c>
      <c r="K23" s="954" t="s">
        <v>128</v>
      </c>
      <c r="L23" s="954"/>
      <c r="M23" s="250"/>
      <c r="N23" s="251"/>
      <c r="O23" s="252"/>
      <c r="P23" s="253"/>
      <c r="Q23" s="285">
        <f>SUM(M23:P23)</f>
        <v>0</v>
      </c>
      <c r="R23" s="38" t="e">
        <f>M23/(SUM(M23:N23))</f>
        <v>#DIV/0!</v>
      </c>
      <c r="S23" s="38" t="e">
        <f>SUM(M23,O23)/Q23</f>
        <v>#DIV/0!</v>
      </c>
    </row>
    <row r="24" spans="1:19" ht="42.75" customHeight="1" thickBot="1">
      <c r="A24" s="1010" t="s">
        <v>124</v>
      </c>
      <c r="B24" s="1011"/>
      <c r="C24" s="39">
        <f>C23/$G$23</f>
        <v>0.26442307692307693</v>
      </c>
      <c r="D24" s="40">
        <f t="shared" ref="D24:E24" si="3">D23/$G$23</f>
        <v>0.125</v>
      </c>
      <c r="E24" s="40">
        <f t="shared" si="3"/>
        <v>0.45192307692307693</v>
      </c>
      <c r="F24" s="41">
        <f>F23/$G$23</f>
        <v>0.15865384615384615</v>
      </c>
      <c r="G24" s="899">
        <f>SUM(C24:F24)</f>
        <v>1</v>
      </c>
      <c r="H24" s="943"/>
      <c r="I24" s="944"/>
      <c r="K24" s="954" t="s">
        <v>117</v>
      </c>
      <c r="L24" s="954"/>
      <c r="M24" s="250">
        <f>SUM(M22:M23)</f>
        <v>0</v>
      </c>
      <c r="N24" s="251">
        <f>SUM(N22:N23)</f>
        <v>0</v>
      </c>
      <c r="O24" s="252">
        <f>SUM(O22:O23)</f>
        <v>0</v>
      </c>
      <c r="P24" s="253">
        <f>SUM(P22:P23)</f>
        <v>0</v>
      </c>
      <c r="Q24" s="285">
        <f>SUM(Q22:Q23)</f>
        <v>0</v>
      </c>
      <c r="R24" s="38" t="e">
        <f>M24/(SUM(M24:N24))</f>
        <v>#DIV/0!</v>
      </c>
      <c r="S24" s="38" t="e">
        <f>SUM(M24,O24)/Q24</f>
        <v>#DIV/0!</v>
      </c>
    </row>
    <row r="25" spans="1:19" ht="12.75" customHeight="1" thickBot="1">
      <c r="A25" s="1130" t="s">
        <v>155</v>
      </c>
      <c r="B25" s="1131"/>
      <c r="C25" s="1131"/>
      <c r="D25" s="1131"/>
      <c r="E25" s="1131"/>
      <c r="F25" s="1131"/>
      <c r="G25" s="1131"/>
      <c r="H25" s="1131"/>
      <c r="I25" s="1132"/>
      <c r="K25" s="956" t="s">
        <v>129</v>
      </c>
      <c r="L25" s="956"/>
      <c r="M25" s="39" t="e">
        <f>M24/$Q$24</f>
        <v>#DIV/0!</v>
      </c>
      <c r="N25" s="40" t="e">
        <f>N24/$Q$24</f>
        <v>#DIV/0!</v>
      </c>
      <c r="O25" s="40" t="e">
        <f>O24/$Q$24</f>
        <v>#DIV/0!</v>
      </c>
      <c r="P25" s="41" t="e">
        <f>P24/$Q$24</f>
        <v>#DIV/0!</v>
      </c>
      <c r="Q25" s="899" t="e">
        <f>SUM(M25:P25)</f>
        <v>#DIV/0!</v>
      </c>
      <c r="R25" s="983"/>
      <c r="S25" s="1125"/>
    </row>
    <row r="26" spans="1:19" ht="12.75" customHeight="1" thickBot="1">
      <c r="A26" s="1133"/>
      <c r="B26" s="1134"/>
      <c r="C26" s="1134"/>
      <c r="D26" s="1134"/>
      <c r="E26" s="1134"/>
      <c r="F26" s="1134"/>
      <c r="G26" s="1134"/>
      <c r="H26" s="1134"/>
      <c r="I26" s="1135"/>
      <c r="K26" s="956" t="s">
        <v>130</v>
      </c>
      <c r="L26" s="956"/>
      <c r="M26" s="40" t="e">
        <f>M25*0.89</f>
        <v>#DIV/0!</v>
      </c>
      <c r="N26" s="40" t="e">
        <f>N25</f>
        <v>#DIV/0!</v>
      </c>
      <c r="O26" s="40" t="e">
        <f>O25</f>
        <v>#DIV/0!</v>
      </c>
      <c r="P26" s="41" t="e">
        <f>P25 + (M25*0.11)</f>
        <v>#DIV/0!</v>
      </c>
      <c r="Q26" s="899" t="e">
        <f>SUM(M26:P26)</f>
        <v>#DIV/0!</v>
      </c>
      <c r="R26" s="943"/>
      <c r="S26" s="1124"/>
    </row>
    <row r="27" spans="1:19" ht="12.75" customHeight="1">
      <c r="A27" s="431"/>
      <c r="B27" s="438"/>
      <c r="C27" s="439"/>
      <c r="D27" s="439"/>
      <c r="E27" s="437"/>
      <c r="F27" s="439"/>
      <c r="G27" s="439"/>
      <c r="H27" s="437"/>
      <c r="K27" s="958" t="s">
        <v>120</v>
      </c>
      <c r="L27" s="959"/>
      <c r="M27" s="959"/>
      <c r="N27" s="959"/>
      <c r="O27" s="959"/>
      <c r="P27" s="959"/>
      <c r="Q27" s="959"/>
      <c r="R27" s="959"/>
      <c r="S27" s="960"/>
    </row>
    <row r="28" spans="1:19" ht="12.75" customHeight="1" thickBot="1">
      <c r="A28" s="431"/>
      <c r="B28" s="430" t="s">
        <v>267</v>
      </c>
      <c r="C28" s="439">
        <v>27</v>
      </c>
      <c r="D28" s="439">
        <v>19</v>
      </c>
      <c r="E28" s="437">
        <v>63</v>
      </c>
      <c r="F28" s="439">
        <v>23</v>
      </c>
      <c r="G28" s="439"/>
      <c r="H28" s="437"/>
      <c r="K28" s="961"/>
      <c r="L28" s="962"/>
      <c r="M28" s="962"/>
      <c r="N28" s="962"/>
      <c r="O28" s="962"/>
      <c r="P28" s="962"/>
      <c r="Q28" s="962"/>
      <c r="R28" s="962"/>
      <c r="S28" s="963"/>
    </row>
    <row r="29" spans="1:19" ht="12.75" customHeight="1">
      <c r="A29" s="431"/>
      <c r="B29" s="594" t="s">
        <v>268</v>
      </c>
      <c r="C29" s="439">
        <v>17</v>
      </c>
      <c r="D29" s="439">
        <v>4</v>
      </c>
      <c r="E29" s="437">
        <v>16</v>
      </c>
      <c r="F29" s="439">
        <v>6</v>
      </c>
      <c r="G29" s="439"/>
      <c r="H29" s="437"/>
      <c r="K29" s="958" t="s">
        <v>131</v>
      </c>
      <c r="L29" s="959"/>
      <c r="M29" s="959"/>
      <c r="N29" s="959"/>
      <c r="O29" s="959"/>
      <c r="P29" s="959"/>
      <c r="Q29" s="959"/>
      <c r="R29" s="959"/>
      <c r="S29" s="960"/>
    </row>
    <row r="30" spans="1:19" ht="12.75" customHeight="1">
      <c r="A30" s="431"/>
      <c r="B30" s="594" t="s">
        <v>269</v>
      </c>
      <c r="C30" s="439">
        <v>11</v>
      </c>
      <c r="D30" s="439">
        <v>3</v>
      </c>
      <c r="E30" s="437">
        <v>15</v>
      </c>
      <c r="F30" s="439">
        <v>4</v>
      </c>
      <c r="G30" s="439"/>
      <c r="H30" s="437"/>
      <c r="K30" s="964"/>
      <c r="L30" s="965"/>
      <c r="M30" s="965"/>
      <c r="N30" s="965"/>
      <c r="O30" s="965"/>
      <c r="P30" s="965"/>
      <c r="Q30" s="965"/>
      <c r="R30" s="965"/>
      <c r="S30" s="966"/>
    </row>
    <row r="31" spans="1:19" ht="12.75" customHeight="1">
      <c r="A31" s="431"/>
      <c r="B31" s="794" t="s">
        <v>270</v>
      </c>
      <c r="C31" s="432">
        <f>SUM(C28:C30)</f>
        <v>55</v>
      </c>
      <c r="D31" s="432">
        <f t="shared" ref="D31:F31" si="4">SUM(D28:D30)</f>
        <v>26</v>
      </c>
      <c r="E31" s="432">
        <f t="shared" si="4"/>
        <v>94</v>
      </c>
      <c r="F31" s="432">
        <f t="shared" si="4"/>
        <v>33</v>
      </c>
      <c r="G31" s="439"/>
      <c r="H31" s="437"/>
    </row>
    <row r="32" spans="1:19" ht="12.75" customHeight="1">
      <c r="A32" s="792"/>
      <c r="B32" s="430" t="s">
        <v>271</v>
      </c>
      <c r="C32" s="50">
        <v>65</v>
      </c>
      <c r="D32" s="50">
        <v>27</v>
      </c>
      <c r="E32" s="50">
        <v>106</v>
      </c>
      <c r="F32" s="50">
        <v>36</v>
      </c>
      <c r="G32" s="432"/>
      <c r="H32" s="433"/>
    </row>
    <row r="33" spans="1:8" ht="12.75" customHeight="1">
      <c r="A33" s="791"/>
      <c r="B33" s="793"/>
      <c r="C33" s="433"/>
      <c r="D33" s="433"/>
      <c r="E33" s="433"/>
      <c r="F33" s="433"/>
      <c r="G33" s="433"/>
      <c r="H33" s="434"/>
    </row>
    <row r="34" spans="1:8" ht="12.75" customHeight="1">
      <c r="A34" s="792"/>
      <c r="B34" s="792"/>
      <c r="C34" s="434"/>
      <c r="D34" s="434"/>
      <c r="E34" s="434"/>
      <c r="F34" s="434"/>
      <c r="G34" s="432"/>
      <c r="H34" s="433"/>
    </row>
    <row r="35" spans="1:8" ht="12.75" customHeight="1">
      <c r="A35" s="791"/>
      <c r="B35" s="791"/>
      <c r="C35" s="434"/>
      <c r="D35" s="434"/>
      <c r="E35" s="434"/>
      <c r="F35" s="434"/>
      <c r="G35" s="434"/>
      <c r="H35" s="434"/>
    </row>
    <row r="36" spans="1:8" ht="12.75" customHeight="1">
      <c r="A36" s="791"/>
      <c r="B36" s="791"/>
      <c r="C36" s="435"/>
      <c r="D36" s="434"/>
      <c r="E36" s="434"/>
      <c r="F36" s="434"/>
      <c r="G36" s="434"/>
      <c r="H36" s="434"/>
    </row>
    <row r="37" spans="1:8" ht="12.75" customHeight="1">
      <c r="A37" s="3"/>
      <c r="B37" s="3"/>
      <c r="C37" s="795"/>
      <c r="D37" s="3"/>
      <c r="E37" s="3"/>
      <c r="F37" s="3"/>
      <c r="G37" s="3"/>
      <c r="H37" s="3"/>
    </row>
    <row r="38" spans="1:8" ht="12.75" customHeight="1">
      <c r="A38" s="3"/>
      <c r="B38" s="3"/>
      <c r="C38" s="3"/>
      <c r="D38" s="3"/>
      <c r="E38" s="3"/>
      <c r="F38" s="3"/>
      <c r="G38" s="3"/>
      <c r="H38" s="3"/>
    </row>
    <row r="39" spans="1:8" ht="12.75" customHeight="1"/>
    <row r="40" spans="1:8" ht="12.75" customHeight="1"/>
    <row r="41" spans="1:8" ht="12.75" customHeight="1"/>
    <row r="42" spans="1:8" ht="12.75" customHeight="1"/>
    <row r="43" spans="1:8" ht="12.75" customHeight="1"/>
    <row r="44" spans="1:8" ht="12.75" customHeight="1"/>
    <row r="45" spans="1:8" ht="12.75" customHeight="1"/>
    <row r="46" spans="1:8" ht="12.75" customHeight="1"/>
    <row r="47" spans="1:8" ht="12.75" customHeight="1"/>
    <row r="48" spans="1:8" ht="12.75" customHeight="1"/>
  </sheetData>
  <mergeCells count="67">
    <mergeCell ref="A23:B23"/>
    <mergeCell ref="A24:B24"/>
    <mergeCell ref="H24:I24"/>
    <mergeCell ref="A25:I26"/>
    <mergeCell ref="A20:B22"/>
    <mergeCell ref="C20:G20"/>
    <mergeCell ref="H20:H22"/>
    <mergeCell ref="I20:I22"/>
    <mergeCell ref="C21:C22"/>
    <mergeCell ref="D21:D22"/>
    <mergeCell ref="E21:E22"/>
    <mergeCell ref="F21:F22"/>
    <mergeCell ref="G21:G22"/>
    <mergeCell ref="A6:B6"/>
    <mergeCell ref="A7:B7"/>
    <mergeCell ref="A17:H17"/>
    <mergeCell ref="A18:H18"/>
    <mergeCell ref="C19:H19"/>
    <mergeCell ref="H7:I7"/>
    <mergeCell ref="A8:I8"/>
    <mergeCell ref="A1:H1"/>
    <mergeCell ref="A2:H2"/>
    <mergeCell ref="K3:L5"/>
    <mergeCell ref="M3:Q3"/>
    <mergeCell ref="R3:R5"/>
    <mergeCell ref="A3:B5"/>
    <mergeCell ref="C3:G3"/>
    <mergeCell ref="H3:H5"/>
    <mergeCell ref="I3:I5"/>
    <mergeCell ref="C4:C5"/>
    <mergeCell ref="D4:D5"/>
    <mergeCell ref="E4:E5"/>
    <mergeCell ref="F4:F5"/>
    <mergeCell ref="G4:G5"/>
    <mergeCell ref="S3:S5"/>
    <mergeCell ref="M4:M5"/>
    <mergeCell ref="N4:N5"/>
    <mergeCell ref="O4:O5"/>
    <mergeCell ref="P4:P5"/>
    <mergeCell ref="Q4:Q5"/>
    <mergeCell ref="K6:L6"/>
    <mergeCell ref="K9:L9"/>
    <mergeCell ref="R9:S9"/>
    <mergeCell ref="K10:L10"/>
    <mergeCell ref="R10:S10"/>
    <mergeCell ref="K7:L7"/>
    <mergeCell ref="K8:L8"/>
    <mergeCell ref="K11:S12"/>
    <mergeCell ref="K13:S14"/>
    <mergeCell ref="K19:L21"/>
    <mergeCell ref="M19:Q19"/>
    <mergeCell ref="R19:R21"/>
    <mergeCell ref="S19:S21"/>
    <mergeCell ref="M20:M21"/>
    <mergeCell ref="N20:N21"/>
    <mergeCell ref="O20:O21"/>
    <mergeCell ref="P20:P21"/>
    <mergeCell ref="Q20:Q21"/>
    <mergeCell ref="R26:S26"/>
    <mergeCell ref="K27:S28"/>
    <mergeCell ref="K29:S30"/>
    <mergeCell ref="K22:L22"/>
    <mergeCell ref="K23:L23"/>
    <mergeCell ref="K24:L24"/>
    <mergeCell ref="K25:L25"/>
    <mergeCell ref="R25:S25"/>
    <mergeCell ref="K26:L26"/>
  </mergeCells>
  <pageMargins left="0.35" right="0.25" top="0.75" bottom="0.75" header="0.3" footer="0.56999999999999995"/>
  <pageSetup scale="67" orientation="portrait" verticalDpi="1200" r:id="rId1"/>
  <headerFooter alignWithMargins="0">
    <oddHeader>&amp;C&amp;"Arial,Bold Italic"&amp;11WDFW Puget Sound Sampling Unit, In-season Test Fishery Results</oddHeader>
    <oddFooter>&amp;L&amp;9&amp;D&amp;R&amp;9&amp;F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773D-9220-4FED-AC6E-B50BFBB1501D}">
  <sheetPr>
    <pageSetUpPr fitToPage="1"/>
  </sheetPr>
  <dimension ref="A1:L17"/>
  <sheetViews>
    <sheetView workbookViewId="0">
      <selection sqref="A1:L1"/>
    </sheetView>
  </sheetViews>
  <sheetFormatPr defaultColWidth="9.1640625" defaultRowHeight="12.75"/>
  <cols>
    <col min="1" max="1" width="11.83203125" style="48" customWidth="1"/>
    <col min="2" max="2" width="16" style="48" customWidth="1"/>
    <col min="3" max="3" width="15.1640625" style="48" customWidth="1"/>
    <col min="4" max="4" width="14" style="48" customWidth="1"/>
    <col min="5" max="5" width="19.1640625" style="48" customWidth="1"/>
    <col min="6" max="6" width="20.6640625" style="48" customWidth="1"/>
    <col min="7" max="7" width="17.33203125" style="48" customWidth="1"/>
    <col min="8" max="8" width="13.33203125" style="48" customWidth="1"/>
    <col min="9" max="9" width="18.5" style="48" customWidth="1"/>
    <col min="10" max="12" width="16.1640625" style="48" customWidth="1"/>
    <col min="13" max="222" width="9.1640625" style="48"/>
    <col min="223" max="223" width="8.5" style="48" customWidth="1"/>
    <col min="224" max="224" width="8.6640625" style="48" customWidth="1"/>
    <col min="225" max="225" width="7.5" style="48" customWidth="1"/>
    <col min="226" max="226" width="8" style="48" customWidth="1"/>
    <col min="227" max="227" width="9" style="48" customWidth="1"/>
    <col min="228" max="228" width="8" style="48" customWidth="1"/>
    <col min="229" max="229" width="7.1640625" style="48" customWidth="1"/>
    <col min="230" max="230" width="8.5" style="48" customWidth="1"/>
    <col min="231" max="231" width="8.33203125" style="48" customWidth="1"/>
    <col min="232" max="233" width="9.1640625" style="48"/>
    <col min="234" max="234" width="8.83203125" style="48" customWidth="1"/>
    <col min="235" max="235" width="9.1640625" style="48" customWidth="1"/>
    <col min="236" max="237" width="8.5" style="48" customWidth="1"/>
    <col min="238" max="238" width="7.83203125" style="48" customWidth="1"/>
    <col min="239" max="239" width="8" style="48" customWidth="1"/>
    <col min="240" max="240" width="7.5" style="48" customWidth="1"/>
    <col min="241" max="241" width="8.33203125" style="48" customWidth="1"/>
    <col min="242" max="242" width="7.6640625" style="48" customWidth="1"/>
    <col min="243" max="478" width="9.1640625" style="48"/>
    <col min="479" max="479" width="8.5" style="48" customWidth="1"/>
    <col min="480" max="480" width="8.6640625" style="48" customWidth="1"/>
    <col min="481" max="481" width="7.5" style="48" customWidth="1"/>
    <col min="482" max="482" width="8" style="48" customWidth="1"/>
    <col min="483" max="483" width="9" style="48" customWidth="1"/>
    <col min="484" max="484" width="8" style="48" customWidth="1"/>
    <col min="485" max="485" width="7.1640625" style="48" customWidth="1"/>
    <col min="486" max="486" width="8.5" style="48" customWidth="1"/>
    <col min="487" max="487" width="8.33203125" style="48" customWidth="1"/>
    <col min="488" max="489" width="9.1640625" style="48"/>
    <col min="490" max="490" width="8.83203125" style="48" customWidth="1"/>
    <col min="491" max="491" width="9.1640625" style="48" customWidth="1"/>
    <col min="492" max="493" width="8.5" style="48" customWidth="1"/>
    <col min="494" max="494" width="7.83203125" style="48" customWidth="1"/>
    <col min="495" max="495" width="8" style="48" customWidth="1"/>
    <col min="496" max="496" width="7.5" style="48" customWidth="1"/>
    <col min="497" max="497" width="8.33203125" style="48" customWidth="1"/>
    <col min="498" max="498" width="7.6640625" style="48" customWidth="1"/>
    <col min="499" max="734" width="9.1640625" style="48"/>
    <col min="735" max="735" width="8.5" style="48" customWidth="1"/>
    <col min="736" max="736" width="8.6640625" style="48" customWidth="1"/>
    <col min="737" max="737" width="7.5" style="48" customWidth="1"/>
    <col min="738" max="738" width="8" style="48" customWidth="1"/>
    <col min="739" max="739" width="9" style="48" customWidth="1"/>
    <col min="740" max="740" width="8" style="48" customWidth="1"/>
    <col min="741" max="741" width="7.1640625" style="48" customWidth="1"/>
    <col min="742" max="742" width="8.5" style="48" customWidth="1"/>
    <col min="743" max="743" width="8.33203125" style="48" customWidth="1"/>
    <col min="744" max="745" width="9.1640625" style="48"/>
    <col min="746" max="746" width="8.83203125" style="48" customWidth="1"/>
    <col min="747" max="747" width="9.1640625" style="48" customWidth="1"/>
    <col min="748" max="749" width="8.5" style="48" customWidth="1"/>
    <col min="750" max="750" width="7.83203125" style="48" customWidth="1"/>
    <col min="751" max="751" width="8" style="48" customWidth="1"/>
    <col min="752" max="752" width="7.5" style="48" customWidth="1"/>
    <col min="753" max="753" width="8.33203125" style="48" customWidth="1"/>
    <col min="754" max="754" width="7.6640625" style="48" customWidth="1"/>
    <col min="755" max="990" width="9.1640625" style="48"/>
    <col min="991" max="991" width="8.5" style="48" customWidth="1"/>
    <col min="992" max="992" width="8.6640625" style="48" customWidth="1"/>
    <col min="993" max="993" width="7.5" style="48" customWidth="1"/>
    <col min="994" max="994" width="8" style="48" customWidth="1"/>
    <col min="995" max="995" width="9" style="48" customWidth="1"/>
    <col min="996" max="996" width="8" style="48" customWidth="1"/>
    <col min="997" max="997" width="7.1640625" style="48" customWidth="1"/>
    <col min="998" max="998" width="8.5" style="48" customWidth="1"/>
    <col min="999" max="999" width="8.33203125" style="48" customWidth="1"/>
    <col min="1000" max="1001" width="9.1640625" style="48"/>
    <col min="1002" max="1002" width="8.83203125" style="48" customWidth="1"/>
    <col min="1003" max="1003" width="9.1640625" style="48" customWidth="1"/>
    <col min="1004" max="1005" width="8.5" style="48" customWidth="1"/>
    <col min="1006" max="1006" width="7.83203125" style="48" customWidth="1"/>
    <col min="1007" max="1007" width="8" style="48" customWidth="1"/>
    <col min="1008" max="1008" width="7.5" style="48" customWidth="1"/>
    <col min="1009" max="1009" width="8.33203125" style="48" customWidth="1"/>
    <col min="1010" max="1010" width="7.6640625" style="48" customWidth="1"/>
    <col min="1011" max="1246" width="9.1640625" style="48"/>
    <col min="1247" max="1247" width="8.5" style="48" customWidth="1"/>
    <col min="1248" max="1248" width="8.6640625" style="48" customWidth="1"/>
    <col min="1249" max="1249" width="7.5" style="48" customWidth="1"/>
    <col min="1250" max="1250" width="8" style="48" customWidth="1"/>
    <col min="1251" max="1251" width="9" style="48" customWidth="1"/>
    <col min="1252" max="1252" width="8" style="48" customWidth="1"/>
    <col min="1253" max="1253" width="7.1640625" style="48" customWidth="1"/>
    <col min="1254" max="1254" width="8.5" style="48" customWidth="1"/>
    <col min="1255" max="1255" width="8.33203125" style="48" customWidth="1"/>
    <col min="1256" max="1257" width="9.1640625" style="48"/>
    <col min="1258" max="1258" width="8.83203125" style="48" customWidth="1"/>
    <col min="1259" max="1259" width="9.1640625" style="48" customWidth="1"/>
    <col min="1260" max="1261" width="8.5" style="48" customWidth="1"/>
    <col min="1262" max="1262" width="7.83203125" style="48" customWidth="1"/>
    <col min="1263" max="1263" width="8" style="48" customWidth="1"/>
    <col min="1264" max="1264" width="7.5" style="48" customWidth="1"/>
    <col min="1265" max="1265" width="8.33203125" style="48" customWidth="1"/>
    <col min="1266" max="1266" width="7.6640625" style="48" customWidth="1"/>
    <col min="1267" max="1502" width="9.1640625" style="48"/>
    <col min="1503" max="1503" width="8.5" style="48" customWidth="1"/>
    <col min="1504" max="1504" width="8.6640625" style="48" customWidth="1"/>
    <col min="1505" max="1505" width="7.5" style="48" customWidth="1"/>
    <col min="1506" max="1506" width="8" style="48" customWidth="1"/>
    <col min="1507" max="1507" width="9" style="48" customWidth="1"/>
    <col min="1508" max="1508" width="8" style="48" customWidth="1"/>
    <col min="1509" max="1509" width="7.1640625" style="48" customWidth="1"/>
    <col min="1510" max="1510" width="8.5" style="48" customWidth="1"/>
    <col min="1511" max="1511" width="8.33203125" style="48" customWidth="1"/>
    <col min="1512" max="1513" width="9.1640625" style="48"/>
    <col min="1514" max="1514" width="8.83203125" style="48" customWidth="1"/>
    <col min="1515" max="1515" width="9.1640625" style="48" customWidth="1"/>
    <col min="1516" max="1517" width="8.5" style="48" customWidth="1"/>
    <col min="1518" max="1518" width="7.83203125" style="48" customWidth="1"/>
    <col min="1519" max="1519" width="8" style="48" customWidth="1"/>
    <col min="1520" max="1520" width="7.5" style="48" customWidth="1"/>
    <col min="1521" max="1521" width="8.33203125" style="48" customWidth="1"/>
    <col min="1522" max="1522" width="7.6640625" style="48" customWidth="1"/>
    <col min="1523" max="1758" width="9.1640625" style="48"/>
    <col min="1759" max="1759" width="8.5" style="48" customWidth="1"/>
    <col min="1760" max="1760" width="8.6640625" style="48" customWidth="1"/>
    <col min="1761" max="1761" width="7.5" style="48" customWidth="1"/>
    <col min="1762" max="1762" width="8" style="48" customWidth="1"/>
    <col min="1763" max="1763" width="9" style="48" customWidth="1"/>
    <col min="1764" max="1764" width="8" style="48" customWidth="1"/>
    <col min="1765" max="1765" width="7.1640625" style="48" customWidth="1"/>
    <col min="1766" max="1766" width="8.5" style="48" customWidth="1"/>
    <col min="1767" max="1767" width="8.33203125" style="48" customWidth="1"/>
    <col min="1768" max="1769" width="9.1640625" style="48"/>
    <col min="1770" max="1770" width="8.83203125" style="48" customWidth="1"/>
    <col min="1771" max="1771" width="9.1640625" style="48" customWidth="1"/>
    <col min="1772" max="1773" width="8.5" style="48" customWidth="1"/>
    <col min="1774" max="1774" width="7.83203125" style="48" customWidth="1"/>
    <col min="1775" max="1775" width="8" style="48" customWidth="1"/>
    <col min="1776" max="1776" width="7.5" style="48" customWidth="1"/>
    <col min="1777" max="1777" width="8.33203125" style="48" customWidth="1"/>
    <col min="1778" max="1778" width="7.6640625" style="48" customWidth="1"/>
    <col min="1779" max="2014" width="9.1640625" style="48"/>
    <col min="2015" max="2015" width="8.5" style="48" customWidth="1"/>
    <col min="2016" max="2016" width="8.6640625" style="48" customWidth="1"/>
    <col min="2017" max="2017" width="7.5" style="48" customWidth="1"/>
    <col min="2018" max="2018" width="8" style="48" customWidth="1"/>
    <col min="2019" max="2019" width="9" style="48" customWidth="1"/>
    <col min="2020" max="2020" width="8" style="48" customWidth="1"/>
    <col min="2021" max="2021" width="7.1640625" style="48" customWidth="1"/>
    <col min="2022" max="2022" width="8.5" style="48" customWidth="1"/>
    <col min="2023" max="2023" width="8.33203125" style="48" customWidth="1"/>
    <col min="2024" max="2025" width="9.1640625" style="48"/>
    <col min="2026" max="2026" width="8.83203125" style="48" customWidth="1"/>
    <col min="2027" max="2027" width="9.1640625" style="48" customWidth="1"/>
    <col min="2028" max="2029" width="8.5" style="48" customWidth="1"/>
    <col min="2030" max="2030" width="7.83203125" style="48" customWidth="1"/>
    <col min="2031" max="2031" width="8" style="48" customWidth="1"/>
    <col min="2032" max="2032" width="7.5" style="48" customWidth="1"/>
    <col min="2033" max="2033" width="8.33203125" style="48" customWidth="1"/>
    <col min="2034" max="2034" width="7.6640625" style="48" customWidth="1"/>
    <col min="2035" max="2270" width="9.1640625" style="48"/>
    <col min="2271" max="2271" width="8.5" style="48" customWidth="1"/>
    <col min="2272" max="2272" width="8.6640625" style="48" customWidth="1"/>
    <col min="2273" max="2273" width="7.5" style="48" customWidth="1"/>
    <col min="2274" max="2274" width="8" style="48" customWidth="1"/>
    <col min="2275" max="2275" width="9" style="48" customWidth="1"/>
    <col min="2276" max="2276" width="8" style="48" customWidth="1"/>
    <col min="2277" max="2277" width="7.1640625" style="48" customWidth="1"/>
    <col min="2278" max="2278" width="8.5" style="48" customWidth="1"/>
    <col min="2279" max="2279" width="8.33203125" style="48" customWidth="1"/>
    <col min="2280" max="2281" width="9.1640625" style="48"/>
    <col min="2282" max="2282" width="8.83203125" style="48" customWidth="1"/>
    <col min="2283" max="2283" width="9.1640625" style="48" customWidth="1"/>
    <col min="2284" max="2285" width="8.5" style="48" customWidth="1"/>
    <col min="2286" max="2286" width="7.83203125" style="48" customWidth="1"/>
    <col min="2287" max="2287" width="8" style="48" customWidth="1"/>
    <col min="2288" max="2288" width="7.5" style="48" customWidth="1"/>
    <col min="2289" max="2289" width="8.33203125" style="48" customWidth="1"/>
    <col min="2290" max="2290" width="7.6640625" style="48" customWidth="1"/>
    <col min="2291" max="2526" width="9.1640625" style="48"/>
    <col min="2527" max="2527" width="8.5" style="48" customWidth="1"/>
    <col min="2528" max="2528" width="8.6640625" style="48" customWidth="1"/>
    <col min="2529" max="2529" width="7.5" style="48" customWidth="1"/>
    <col min="2530" max="2530" width="8" style="48" customWidth="1"/>
    <col min="2531" max="2531" width="9" style="48" customWidth="1"/>
    <col min="2532" max="2532" width="8" style="48" customWidth="1"/>
    <col min="2533" max="2533" width="7.1640625" style="48" customWidth="1"/>
    <col min="2534" max="2534" width="8.5" style="48" customWidth="1"/>
    <col min="2535" max="2535" width="8.33203125" style="48" customWidth="1"/>
    <col min="2536" max="2537" width="9.1640625" style="48"/>
    <col min="2538" max="2538" width="8.83203125" style="48" customWidth="1"/>
    <col min="2539" max="2539" width="9.1640625" style="48" customWidth="1"/>
    <col min="2540" max="2541" width="8.5" style="48" customWidth="1"/>
    <col min="2542" max="2542" width="7.83203125" style="48" customWidth="1"/>
    <col min="2543" max="2543" width="8" style="48" customWidth="1"/>
    <col min="2544" max="2544" width="7.5" style="48" customWidth="1"/>
    <col min="2545" max="2545" width="8.33203125" style="48" customWidth="1"/>
    <col min="2546" max="2546" width="7.6640625" style="48" customWidth="1"/>
    <col min="2547" max="2782" width="9.1640625" style="48"/>
    <col min="2783" max="2783" width="8.5" style="48" customWidth="1"/>
    <col min="2784" max="2784" width="8.6640625" style="48" customWidth="1"/>
    <col min="2785" max="2785" width="7.5" style="48" customWidth="1"/>
    <col min="2786" max="2786" width="8" style="48" customWidth="1"/>
    <col min="2787" max="2787" width="9" style="48" customWidth="1"/>
    <col min="2788" max="2788" width="8" style="48" customWidth="1"/>
    <col min="2789" max="2789" width="7.1640625" style="48" customWidth="1"/>
    <col min="2790" max="2790" width="8.5" style="48" customWidth="1"/>
    <col min="2791" max="2791" width="8.33203125" style="48" customWidth="1"/>
    <col min="2792" max="2793" width="9.1640625" style="48"/>
    <col min="2794" max="2794" width="8.83203125" style="48" customWidth="1"/>
    <col min="2795" max="2795" width="9.1640625" style="48" customWidth="1"/>
    <col min="2796" max="2797" width="8.5" style="48" customWidth="1"/>
    <col min="2798" max="2798" width="7.83203125" style="48" customWidth="1"/>
    <col min="2799" max="2799" width="8" style="48" customWidth="1"/>
    <col min="2800" max="2800" width="7.5" style="48" customWidth="1"/>
    <col min="2801" max="2801" width="8.33203125" style="48" customWidth="1"/>
    <col min="2802" max="2802" width="7.6640625" style="48" customWidth="1"/>
    <col min="2803" max="3038" width="9.1640625" style="48"/>
    <col min="3039" max="3039" width="8.5" style="48" customWidth="1"/>
    <col min="3040" max="3040" width="8.6640625" style="48" customWidth="1"/>
    <col min="3041" max="3041" width="7.5" style="48" customWidth="1"/>
    <col min="3042" max="3042" width="8" style="48" customWidth="1"/>
    <col min="3043" max="3043" width="9" style="48" customWidth="1"/>
    <col min="3044" max="3044" width="8" style="48" customWidth="1"/>
    <col min="3045" max="3045" width="7.1640625" style="48" customWidth="1"/>
    <col min="3046" max="3046" width="8.5" style="48" customWidth="1"/>
    <col min="3047" max="3047" width="8.33203125" style="48" customWidth="1"/>
    <col min="3048" max="3049" width="9.1640625" style="48"/>
    <col min="3050" max="3050" width="8.83203125" style="48" customWidth="1"/>
    <col min="3051" max="3051" width="9.1640625" style="48" customWidth="1"/>
    <col min="3052" max="3053" width="8.5" style="48" customWidth="1"/>
    <col min="3054" max="3054" width="7.83203125" style="48" customWidth="1"/>
    <col min="3055" max="3055" width="8" style="48" customWidth="1"/>
    <col min="3056" max="3056" width="7.5" style="48" customWidth="1"/>
    <col min="3057" max="3057" width="8.33203125" style="48" customWidth="1"/>
    <col min="3058" max="3058" width="7.6640625" style="48" customWidth="1"/>
    <col min="3059" max="3294" width="9.1640625" style="48"/>
    <col min="3295" max="3295" width="8.5" style="48" customWidth="1"/>
    <col min="3296" max="3296" width="8.6640625" style="48" customWidth="1"/>
    <col min="3297" max="3297" width="7.5" style="48" customWidth="1"/>
    <col min="3298" max="3298" width="8" style="48" customWidth="1"/>
    <col min="3299" max="3299" width="9" style="48" customWidth="1"/>
    <col min="3300" max="3300" width="8" style="48" customWidth="1"/>
    <col min="3301" max="3301" width="7.1640625" style="48" customWidth="1"/>
    <col min="3302" max="3302" width="8.5" style="48" customWidth="1"/>
    <col min="3303" max="3303" width="8.33203125" style="48" customWidth="1"/>
    <col min="3304" max="3305" width="9.1640625" style="48"/>
    <col min="3306" max="3306" width="8.83203125" style="48" customWidth="1"/>
    <col min="3307" max="3307" width="9.1640625" style="48" customWidth="1"/>
    <col min="3308" max="3309" width="8.5" style="48" customWidth="1"/>
    <col min="3310" max="3310" width="7.83203125" style="48" customWidth="1"/>
    <col min="3311" max="3311" width="8" style="48" customWidth="1"/>
    <col min="3312" max="3312" width="7.5" style="48" customWidth="1"/>
    <col min="3313" max="3313" width="8.33203125" style="48" customWidth="1"/>
    <col min="3314" max="3314" width="7.6640625" style="48" customWidth="1"/>
    <col min="3315" max="3550" width="9.1640625" style="48"/>
    <col min="3551" max="3551" width="8.5" style="48" customWidth="1"/>
    <col min="3552" max="3552" width="8.6640625" style="48" customWidth="1"/>
    <col min="3553" max="3553" width="7.5" style="48" customWidth="1"/>
    <col min="3554" max="3554" width="8" style="48" customWidth="1"/>
    <col min="3555" max="3555" width="9" style="48" customWidth="1"/>
    <col min="3556" max="3556" width="8" style="48" customWidth="1"/>
    <col min="3557" max="3557" width="7.1640625" style="48" customWidth="1"/>
    <col min="3558" max="3558" width="8.5" style="48" customWidth="1"/>
    <col min="3559" max="3559" width="8.33203125" style="48" customWidth="1"/>
    <col min="3560" max="3561" width="9.1640625" style="48"/>
    <col min="3562" max="3562" width="8.83203125" style="48" customWidth="1"/>
    <col min="3563" max="3563" width="9.1640625" style="48" customWidth="1"/>
    <col min="3564" max="3565" width="8.5" style="48" customWidth="1"/>
    <col min="3566" max="3566" width="7.83203125" style="48" customWidth="1"/>
    <col min="3567" max="3567" width="8" style="48" customWidth="1"/>
    <col min="3568" max="3568" width="7.5" style="48" customWidth="1"/>
    <col min="3569" max="3569" width="8.33203125" style="48" customWidth="1"/>
    <col min="3570" max="3570" width="7.6640625" style="48" customWidth="1"/>
    <col min="3571" max="3806" width="9.1640625" style="48"/>
    <col min="3807" max="3807" width="8.5" style="48" customWidth="1"/>
    <col min="3808" max="3808" width="8.6640625" style="48" customWidth="1"/>
    <col min="3809" max="3809" width="7.5" style="48" customWidth="1"/>
    <col min="3810" max="3810" width="8" style="48" customWidth="1"/>
    <col min="3811" max="3811" width="9" style="48" customWidth="1"/>
    <col min="3812" max="3812" width="8" style="48" customWidth="1"/>
    <col min="3813" max="3813" width="7.1640625" style="48" customWidth="1"/>
    <col min="3814" max="3814" width="8.5" style="48" customWidth="1"/>
    <col min="3815" max="3815" width="8.33203125" style="48" customWidth="1"/>
    <col min="3816" max="3817" width="9.1640625" style="48"/>
    <col min="3818" max="3818" width="8.83203125" style="48" customWidth="1"/>
    <col min="3819" max="3819" width="9.1640625" style="48" customWidth="1"/>
    <col min="3820" max="3821" width="8.5" style="48" customWidth="1"/>
    <col min="3822" max="3822" width="7.83203125" style="48" customWidth="1"/>
    <col min="3823" max="3823" width="8" style="48" customWidth="1"/>
    <col min="3824" max="3824" width="7.5" style="48" customWidth="1"/>
    <col min="3825" max="3825" width="8.33203125" style="48" customWidth="1"/>
    <col min="3826" max="3826" width="7.6640625" style="48" customWidth="1"/>
    <col min="3827" max="4062" width="9.1640625" style="48"/>
    <col min="4063" max="4063" width="8.5" style="48" customWidth="1"/>
    <col min="4064" max="4064" width="8.6640625" style="48" customWidth="1"/>
    <col min="4065" max="4065" width="7.5" style="48" customWidth="1"/>
    <col min="4066" max="4066" width="8" style="48" customWidth="1"/>
    <col min="4067" max="4067" width="9" style="48" customWidth="1"/>
    <col min="4068" max="4068" width="8" style="48" customWidth="1"/>
    <col min="4069" max="4069" width="7.1640625" style="48" customWidth="1"/>
    <col min="4070" max="4070" width="8.5" style="48" customWidth="1"/>
    <col min="4071" max="4071" width="8.33203125" style="48" customWidth="1"/>
    <col min="4072" max="4073" width="9.1640625" style="48"/>
    <col min="4074" max="4074" width="8.83203125" style="48" customWidth="1"/>
    <col min="4075" max="4075" width="9.1640625" style="48" customWidth="1"/>
    <col min="4076" max="4077" width="8.5" style="48" customWidth="1"/>
    <col min="4078" max="4078" width="7.83203125" style="48" customWidth="1"/>
    <col min="4079" max="4079" width="8" style="48" customWidth="1"/>
    <col min="4080" max="4080" width="7.5" style="48" customWidth="1"/>
    <col min="4081" max="4081" width="8.33203125" style="48" customWidth="1"/>
    <col min="4082" max="4082" width="7.6640625" style="48" customWidth="1"/>
    <col min="4083" max="4318" width="9.1640625" style="48"/>
    <col min="4319" max="4319" width="8.5" style="48" customWidth="1"/>
    <col min="4320" max="4320" width="8.6640625" style="48" customWidth="1"/>
    <col min="4321" max="4321" width="7.5" style="48" customWidth="1"/>
    <col min="4322" max="4322" width="8" style="48" customWidth="1"/>
    <col min="4323" max="4323" width="9" style="48" customWidth="1"/>
    <col min="4324" max="4324" width="8" style="48" customWidth="1"/>
    <col min="4325" max="4325" width="7.1640625" style="48" customWidth="1"/>
    <col min="4326" max="4326" width="8.5" style="48" customWidth="1"/>
    <col min="4327" max="4327" width="8.33203125" style="48" customWidth="1"/>
    <col min="4328" max="4329" width="9.1640625" style="48"/>
    <col min="4330" max="4330" width="8.83203125" style="48" customWidth="1"/>
    <col min="4331" max="4331" width="9.1640625" style="48" customWidth="1"/>
    <col min="4332" max="4333" width="8.5" style="48" customWidth="1"/>
    <col min="4334" max="4334" width="7.83203125" style="48" customWidth="1"/>
    <col min="4335" max="4335" width="8" style="48" customWidth="1"/>
    <col min="4336" max="4336" width="7.5" style="48" customWidth="1"/>
    <col min="4337" max="4337" width="8.33203125" style="48" customWidth="1"/>
    <col min="4338" max="4338" width="7.6640625" style="48" customWidth="1"/>
    <col min="4339" max="4574" width="9.1640625" style="48"/>
    <col min="4575" max="4575" width="8.5" style="48" customWidth="1"/>
    <col min="4576" max="4576" width="8.6640625" style="48" customWidth="1"/>
    <col min="4577" max="4577" width="7.5" style="48" customWidth="1"/>
    <col min="4578" max="4578" width="8" style="48" customWidth="1"/>
    <col min="4579" max="4579" width="9" style="48" customWidth="1"/>
    <col min="4580" max="4580" width="8" style="48" customWidth="1"/>
    <col min="4581" max="4581" width="7.1640625" style="48" customWidth="1"/>
    <col min="4582" max="4582" width="8.5" style="48" customWidth="1"/>
    <col min="4583" max="4583" width="8.33203125" style="48" customWidth="1"/>
    <col min="4584" max="4585" width="9.1640625" style="48"/>
    <col min="4586" max="4586" width="8.83203125" style="48" customWidth="1"/>
    <col min="4587" max="4587" width="9.1640625" style="48" customWidth="1"/>
    <col min="4588" max="4589" width="8.5" style="48" customWidth="1"/>
    <col min="4590" max="4590" width="7.83203125" style="48" customWidth="1"/>
    <col min="4591" max="4591" width="8" style="48" customWidth="1"/>
    <col min="4592" max="4592" width="7.5" style="48" customWidth="1"/>
    <col min="4593" max="4593" width="8.33203125" style="48" customWidth="1"/>
    <col min="4594" max="4594" width="7.6640625" style="48" customWidth="1"/>
    <col min="4595" max="4830" width="9.1640625" style="48"/>
    <col min="4831" max="4831" width="8.5" style="48" customWidth="1"/>
    <col min="4832" max="4832" width="8.6640625" style="48" customWidth="1"/>
    <col min="4833" max="4833" width="7.5" style="48" customWidth="1"/>
    <col min="4834" max="4834" width="8" style="48" customWidth="1"/>
    <col min="4835" max="4835" width="9" style="48" customWidth="1"/>
    <col min="4836" max="4836" width="8" style="48" customWidth="1"/>
    <col min="4837" max="4837" width="7.1640625" style="48" customWidth="1"/>
    <col min="4838" max="4838" width="8.5" style="48" customWidth="1"/>
    <col min="4839" max="4839" width="8.33203125" style="48" customWidth="1"/>
    <col min="4840" max="4841" width="9.1640625" style="48"/>
    <col min="4842" max="4842" width="8.83203125" style="48" customWidth="1"/>
    <col min="4843" max="4843" width="9.1640625" style="48" customWidth="1"/>
    <col min="4844" max="4845" width="8.5" style="48" customWidth="1"/>
    <col min="4846" max="4846" width="7.83203125" style="48" customWidth="1"/>
    <col min="4847" max="4847" width="8" style="48" customWidth="1"/>
    <col min="4848" max="4848" width="7.5" style="48" customWidth="1"/>
    <col min="4849" max="4849" width="8.33203125" style="48" customWidth="1"/>
    <col min="4850" max="4850" width="7.6640625" style="48" customWidth="1"/>
    <col min="4851" max="5086" width="9.1640625" style="48"/>
    <col min="5087" max="5087" width="8.5" style="48" customWidth="1"/>
    <col min="5088" max="5088" width="8.6640625" style="48" customWidth="1"/>
    <col min="5089" max="5089" width="7.5" style="48" customWidth="1"/>
    <col min="5090" max="5090" width="8" style="48" customWidth="1"/>
    <col min="5091" max="5091" width="9" style="48" customWidth="1"/>
    <col min="5092" max="5092" width="8" style="48" customWidth="1"/>
    <col min="5093" max="5093" width="7.1640625" style="48" customWidth="1"/>
    <col min="5094" max="5094" width="8.5" style="48" customWidth="1"/>
    <col min="5095" max="5095" width="8.33203125" style="48" customWidth="1"/>
    <col min="5096" max="5097" width="9.1640625" style="48"/>
    <col min="5098" max="5098" width="8.83203125" style="48" customWidth="1"/>
    <col min="5099" max="5099" width="9.1640625" style="48" customWidth="1"/>
    <col min="5100" max="5101" width="8.5" style="48" customWidth="1"/>
    <col min="5102" max="5102" width="7.83203125" style="48" customWidth="1"/>
    <col min="5103" max="5103" width="8" style="48" customWidth="1"/>
    <col min="5104" max="5104" width="7.5" style="48" customWidth="1"/>
    <col min="5105" max="5105" width="8.33203125" style="48" customWidth="1"/>
    <col min="5106" max="5106" width="7.6640625" style="48" customWidth="1"/>
    <col min="5107" max="5342" width="9.1640625" style="48"/>
    <col min="5343" max="5343" width="8.5" style="48" customWidth="1"/>
    <col min="5344" max="5344" width="8.6640625" style="48" customWidth="1"/>
    <col min="5345" max="5345" width="7.5" style="48" customWidth="1"/>
    <col min="5346" max="5346" width="8" style="48" customWidth="1"/>
    <col min="5347" max="5347" width="9" style="48" customWidth="1"/>
    <col min="5348" max="5348" width="8" style="48" customWidth="1"/>
    <col min="5349" max="5349" width="7.1640625" style="48" customWidth="1"/>
    <col min="5350" max="5350" width="8.5" style="48" customWidth="1"/>
    <col min="5351" max="5351" width="8.33203125" style="48" customWidth="1"/>
    <col min="5352" max="5353" width="9.1640625" style="48"/>
    <col min="5354" max="5354" width="8.83203125" style="48" customWidth="1"/>
    <col min="5355" max="5355" width="9.1640625" style="48" customWidth="1"/>
    <col min="5356" max="5357" width="8.5" style="48" customWidth="1"/>
    <col min="5358" max="5358" width="7.83203125" style="48" customWidth="1"/>
    <col min="5359" max="5359" width="8" style="48" customWidth="1"/>
    <col min="5360" max="5360" width="7.5" style="48" customWidth="1"/>
    <col min="5361" max="5361" width="8.33203125" style="48" customWidth="1"/>
    <col min="5362" max="5362" width="7.6640625" style="48" customWidth="1"/>
    <col min="5363" max="5598" width="9.1640625" style="48"/>
    <col min="5599" max="5599" width="8.5" style="48" customWidth="1"/>
    <col min="5600" max="5600" width="8.6640625" style="48" customWidth="1"/>
    <col min="5601" max="5601" width="7.5" style="48" customWidth="1"/>
    <col min="5602" max="5602" width="8" style="48" customWidth="1"/>
    <col min="5603" max="5603" width="9" style="48" customWidth="1"/>
    <col min="5604" max="5604" width="8" style="48" customWidth="1"/>
    <col min="5605" max="5605" width="7.1640625" style="48" customWidth="1"/>
    <col min="5606" max="5606" width="8.5" style="48" customWidth="1"/>
    <col min="5607" max="5607" width="8.33203125" style="48" customWidth="1"/>
    <col min="5608" max="5609" width="9.1640625" style="48"/>
    <col min="5610" max="5610" width="8.83203125" style="48" customWidth="1"/>
    <col min="5611" max="5611" width="9.1640625" style="48" customWidth="1"/>
    <col min="5612" max="5613" width="8.5" style="48" customWidth="1"/>
    <col min="5614" max="5614" width="7.83203125" style="48" customWidth="1"/>
    <col min="5615" max="5615" width="8" style="48" customWidth="1"/>
    <col min="5616" max="5616" width="7.5" style="48" customWidth="1"/>
    <col min="5617" max="5617" width="8.33203125" style="48" customWidth="1"/>
    <col min="5618" max="5618" width="7.6640625" style="48" customWidth="1"/>
    <col min="5619" max="5854" width="9.1640625" style="48"/>
    <col min="5855" max="5855" width="8.5" style="48" customWidth="1"/>
    <col min="5856" max="5856" width="8.6640625" style="48" customWidth="1"/>
    <col min="5857" max="5857" width="7.5" style="48" customWidth="1"/>
    <col min="5858" max="5858" width="8" style="48" customWidth="1"/>
    <col min="5859" max="5859" width="9" style="48" customWidth="1"/>
    <col min="5860" max="5860" width="8" style="48" customWidth="1"/>
    <col min="5861" max="5861" width="7.1640625" style="48" customWidth="1"/>
    <col min="5862" max="5862" width="8.5" style="48" customWidth="1"/>
    <col min="5863" max="5863" width="8.33203125" style="48" customWidth="1"/>
    <col min="5864" max="5865" width="9.1640625" style="48"/>
    <col min="5866" max="5866" width="8.83203125" style="48" customWidth="1"/>
    <col min="5867" max="5867" width="9.1640625" style="48" customWidth="1"/>
    <col min="5868" max="5869" width="8.5" style="48" customWidth="1"/>
    <col min="5870" max="5870" width="7.83203125" style="48" customWidth="1"/>
    <col min="5871" max="5871" width="8" style="48" customWidth="1"/>
    <col min="5872" max="5872" width="7.5" style="48" customWidth="1"/>
    <col min="5873" max="5873" width="8.33203125" style="48" customWidth="1"/>
    <col min="5874" max="5874" width="7.6640625" style="48" customWidth="1"/>
    <col min="5875" max="6110" width="9.1640625" style="48"/>
    <col min="6111" max="6111" width="8.5" style="48" customWidth="1"/>
    <col min="6112" max="6112" width="8.6640625" style="48" customWidth="1"/>
    <col min="6113" max="6113" width="7.5" style="48" customWidth="1"/>
    <col min="6114" max="6114" width="8" style="48" customWidth="1"/>
    <col min="6115" max="6115" width="9" style="48" customWidth="1"/>
    <col min="6116" max="6116" width="8" style="48" customWidth="1"/>
    <col min="6117" max="6117" width="7.1640625" style="48" customWidth="1"/>
    <col min="6118" max="6118" width="8.5" style="48" customWidth="1"/>
    <col min="6119" max="6119" width="8.33203125" style="48" customWidth="1"/>
    <col min="6120" max="6121" width="9.1640625" style="48"/>
    <col min="6122" max="6122" width="8.83203125" style="48" customWidth="1"/>
    <col min="6123" max="6123" width="9.1640625" style="48" customWidth="1"/>
    <col min="6124" max="6125" width="8.5" style="48" customWidth="1"/>
    <col min="6126" max="6126" width="7.83203125" style="48" customWidth="1"/>
    <col min="6127" max="6127" width="8" style="48" customWidth="1"/>
    <col min="6128" max="6128" width="7.5" style="48" customWidth="1"/>
    <col min="6129" max="6129" width="8.33203125" style="48" customWidth="1"/>
    <col min="6130" max="6130" width="7.6640625" style="48" customWidth="1"/>
    <col min="6131" max="6366" width="9.1640625" style="48"/>
    <col min="6367" max="6367" width="8.5" style="48" customWidth="1"/>
    <col min="6368" max="6368" width="8.6640625" style="48" customWidth="1"/>
    <col min="6369" max="6369" width="7.5" style="48" customWidth="1"/>
    <col min="6370" max="6370" width="8" style="48" customWidth="1"/>
    <col min="6371" max="6371" width="9" style="48" customWidth="1"/>
    <col min="6372" max="6372" width="8" style="48" customWidth="1"/>
    <col min="6373" max="6373" width="7.1640625" style="48" customWidth="1"/>
    <col min="6374" max="6374" width="8.5" style="48" customWidth="1"/>
    <col min="6375" max="6375" width="8.33203125" style="48" customWidth="1"/>
    <col min="6376" max="6377" width="9.1640625" style="48"/>
    <col min="6378" max="6378" width="8.83203125" style="48" customWidth="1"/>
    <col min="6379" max="6379" width="9.1640625" style="48" customWidth="1"/>
    <col min="6380" max="6381" width="8.5" style="48" customWidth="1"/>
    <col min="6382" max="6382" width="7.83203125" style="48" customWidth="1"/>
    <col min="6383" max="6383" width="8" style="48" customWidth="1"/>
    <col min="6384" max="6384" width="7.5" style="48" customWidth="1"/>
    <col min="6385" max="6385" width="8.33203125" style="48" customWidth="1"/>
    <col min="6386" max="6386" width="7.6640625" style="48" customWidth="1"/>
    <col min="6387" max="6622" width="9.1640625" style="48"/>
    <col min="6623" max="6623" width="8.5" style="48" customWidth="1"/>
    <col min="6624" max="6624" width="8.6640625" style="48" customWidth="1"/>
    <col min="6625" max="6625" width="7.5" style="48" customWidth="1"/>
    <col min="6626" max="6626" width="8" style="48" customWidth="1"/>
    <col min="6627" max="6627" width="9" style="48" customWidth="1"/>
    <col min="6628" max="6628" width="8" style="48" customWidth="1"/>
    <col min="6629" max="6629" width="7.1640625" style="48" customWidth="1"/>
    <col min="6630" max="6630" width="8.5" style="48" customWidth="1"/>
    <col min="6631" max="6631" width="8.33203125" style="48" customWidth="1"/>
    <col min="6632" max="6633" width="9.1640625" style="48"/>
    <col min="6634" max="6634" width="8.83203125" style="48" customWidth="1"/>
    <col min="6635" max="6635" width="9.1640625" style="48" customWidth="1"/>
    <col min="6636" max="6637" width="8.5" style="48" customWidth="1"/>
    <col min="6638" max="6638" width="7.83203125" style="48" customWidth="1"/>
    <col min="6639" max="6639" width="8" style="48" customWidth="1"/>
    <col min="6640" max="6640" width="7.5" style="48" customWidth="1"/>
    <col min="6641" max="6641" width="8.33203125" style="48" customWidth="1"/>
    <col min="6642" max="6642" width="7.6640625" style="48" customWidth="1"/>
    <col min="6643" max="6878" width="9.1640625" style="48"/>
    <col min="6879" max="6879" width="8.5" style="48" customWidth="1"/>
    <col min="6880" max="6880" width="8.6640625" style="48" customWidth="1"/>
    <col min="6881" max="6881" width="7.5" style="48" customWidth="1"/>
    <col min="6882" max="6882" width="8" style="48" customWidth="1"/>
    <col min="6883" max="6883" width="9" style="48" customWidth="1"/>
    <col min="6884" max="6884" width="8" style="48" customWidth="1"/>
    <col min="6885" max="6885" width="7.1640625" style="48" customWidth="1"/>
    <col min="6886" max="6886" width="8.5" style="48" customWidth="1"/>
    <col min="6887" max="6887" width="8.33203125" style="48" customWidth="1"/>
    <col min="6888" max="6889" width="9.1640625" style="48"/>
    <col min="6890" max="6890" width="8.83203125" style="48" customWidth="1"/>
    <col min="6891" max="6891" width="9.1640625" style="48" customWidth="1"/>
    <col min="6892" max="6893" width="8.5" style="48" customWidth="1"/>
    <col min="6894" max="6894" width="7.83203125" style="48" customWidth="1"/>
    <col min="6895" max="6895" width="8" style="48" customWidth="1"/>
    <col min="6896" max="6896" width="7.5" style="48" customWidth="1"/>
    <col min="6897" max="6897" width="8.33203125" style="48" customWidth="1"/>
    <col min="6898" max="6898" width="7.6640625" style="48" customWidth="1"/>
    <col min="6899" max="7134" width="9.1640625" style="48"/>
    <col min="7135" max="7135" width="8.5" style="48" customWidth="1"/>
    <col min="7136" max="7136" width="8.6640625" style="48" customWidth="1"/>
    <col min="7137" max="7137" width="7.5" style="48" customWidth="1"/>
    <col min="7138" max="7138" width="8" style="48" customWidth="1"/>
    <col min="7139" max="7139" width="9" style="48" customWidth="1"/>
    <col min="7140" max="7140" width="8" style="48" customWidth="1"/>
    <col min="7141" max="7141" width="7.1640625" style="48" customWidth="1"/>
    <col min="7142" max="7142" width="8.5" style="48" customWidth="1"/>
    <col min="7143" max="7143" width="8.33203125" style="48" customWidth="1"/>
    <col min="7144" max="7145" width="9.1640625" style="48"/>
    <col min="7146" max="7146" width="8.83203125" style="48" customWidth="1"/>
    <col min="7147" max="7147" width="9.1640625" style="48" customWidth="1"/>
    <col min="7148" max="7149" width="8.5" style="48" customWidth="1"/>
    <col min="7150" max="7150" width="7.83203125" style="48" customWidth="1"/>
    <col min="7151" max="7151" width="8" style="48" customWidth="1"/>
    <col min="7152" max="7152" width="7.5" style="48" customWidth="1"/>
    <col min="7153" max="7153" width="8.33203125" style="48" customWidth="1"/>
    <col min="7154" max="7154" width="7.6640625" style="48" customWidth="1"/>
    <col min="7155" max="7390" width="9.1640625" style="48"/>
    <col min="7391" max="7391" width="8.5" style="48" customWidth="1"/>
    <col min="7392" max="7392" width="8.6640625" style="48" customWidth="1"/>
    <col min="7393" max="7393" width="7.5" style="48" customWidth="1"/>
    <col min="7394" max="7394" width="8" style="48" customWidth="1"/>
    <col min="7395" max="7395" width="9" style="48" customWidth="1"/>
    <col min="7396" max="7396" width="8" style="48" customWidth="1"/>
    <col min="7397" max="7397" width="7.1640625" style="48" customWidth="1"/>
    <col min="7398" max="7398" width="8.5" style="48" customWidth="1"/>
    <col min="7399" max="7399" width="8.33203125" style="48" customWidth="1"/>
    <col min="7400" max="7401" width="9.1640625" style="48"/>
    <col min="7402" max="7402" width="8.83203125" style="48" customWidth="1"/>
    <col min="7403" max="7403" width="9.1640625" style="48" customWidth="1"/>
    <col min="7404" max="7405" width="8.5" style="48" customWidth="1"/>
    <col min="7406" max="7406" width="7.83203125" style="48" customWidth="1"/>
    <col min="7407" max="7407" width="8" style="48" customWidth="1"/>
    <col min="7408" max="7408" width="7.5" style="48" customWidth="1"/>
    <col min="7409" max="7409" width="8.33203125" style="48" customWidth="1"/>
    <col min="7410" max="7410" width="7.6640625" style="48" customWidth="1"/>
    <col min="7411" max="7646" width="9.1640625" style="48"/>
    <col min="7647" max="7647" width="8.5" style="48" customWidth="1"/>
    <col min="7648" max="7648" width="8.6640625" style="48" customWidth="1"/>
    <col min="7649" max="7649" width="7.5" style="48" customWidth="1"/>
    <col min="7650" max="7650" width="8" style="48" customWidth="1"/>
    <col min="7651" max="7651" width="9" style="48" customWidth="1"/>
    <col min="7652" max="7652" width="8" style="48" customWidth="1"/>
    <col min="7653" max="7653" width="7.1640625" style="48" customWidth="1"/>
    <col min="7654" max="7654" width="8.5" style="48" customWidth="1"/>
    <col min="7655" max="7655" width="8.33203125" style="48" customWidth="1"/>
    <col min="7656" max="7657" width="9.1640625" style="48"/>
    <col min="7658" max="7658" width="8.83203125" style="48" customWidth="1"/>
    <col min="7659" max="7659" width="9.1640625" style="48" customWidth="1"/>
    <col min="7660" max="7661" width="8.5" style="48" customWidth="1"/>
    <col min="7662" max="7662" width="7.83203125" style="48" customWidth="1"/>
    <col min="7663" max="7663" width="8" style="48" customWidth="1"/>
    <col min="7664" max="7664" width="7.5" style="48" customWidth="1"/>
    <col min="7665" max="7665" width="8.33203125" style="48" customWidth="1"/>
    <col min="7666" max="7666" width="7.6640625" style="48" customWidth="1"/>
    <col min="7667" max="7902" width="9.1640625" style="48"/>
    <col min="7903" max="7903" width="8.5" style="48" customWidth="1"/>
    <col min="7904" max="7904" width="8.6640625" style="48" customWidth="1"/>
    <col min="7905" max="7905" width="7.5" style="48" customWidth="1"/>
    <col min="7906" max="7906" width="8" style="48" customWidth="1"/>
    <col min="7907" max="7907" width="9" style="48" customWidth="1"/>
    <col min="7908" max="7908" width="8" style="48" customWidth="1"/>
    <col min="7909" max="7909" width="7.1640625" style="48" customWidth="1"/>
    <col min="7910" max="7910" width="8.5" style="48" customWidth="1"/>
    <col min="7911" max="7911" width="8.33203125" style="48" customWidth="1"/>
    <col min="7912" max="7913" width="9.1640625" style="48"/>
    <col min="7914" max="7914" width="8.83203125" style="48" customWidth="1"/>
    <col min="7915" max="7915" width="9.1640625" style="48" customWidth="1"/>
    <col min="7916" max="7917" width="8.5" style="48" customWidth="1"/>
    <col min="7918" max="7918" width="7.83203125" style="48" customWidth="1"/>
    <col min="7919" max="7919" width="8" style="48" customWidth="1"/>
    <col min="7920" max="7920" width="7.5" style="48" customWidth="1"/>
    <col min="7921" max="7921" width="8.33203125" style="48" customWidth="1"/>
    <col min="7922" max="7922" width="7.6640625" style="48" customWidth="1"/>
    <col min="7923" max="8158" width="9.1640625" style="48"/>
    <col min="8159" max="8159" width="8.5" style="48" customWidth="1"/>
    <col min="8160" max="8160" width="8.6640625" style="48" customWidth="1"/>
    <col min="8161" max="8161" width="7.5" style="48" customWidth="1"/>
    <col min="8162" max="8162" width="8" style="48" customWidth="1"/>
    <col min="8163" max="8163" width="9" style="48" customWidth="1"/>
    <col min="8164" max="8164" width="8" style="48" customWidth="1"/>
    <col min="8165" max="8165" width="7.1640625" style="48" customWidth="1"/>
    <col min="8166" max="8166" width="8.5" style="48" customWidth="1"/>
    <col min="8167" max="8167" width="8.33203125" style="48" customWidth="1"/>
    <col min="8168" max="8169" width="9.1640625" style="48"/>
    <col min="8170" max="8170" width="8.83203125" style="48" customWidth="1"/>
    <col min="8171" max="8171" width="9.1640625" style="48" customWidth="1"/>
    <col min="8172" max="8173" width="8.5" style="48" customWidth="1"/>
    <col min="8174" max="8174" width="7.83203125" style="48" customWidth="1"/>
    <col min="8175" max="8175" width="8" style="48" customWidth="1"/>
    <col min="8176" max="8176" width="7.5" style="48" customWidth="1"/>
    <col min="8177" max="8177" width="8.33203125" style="48" customWidth="1"/>
    <col min="8178" max="8178" width="7.6640625" style="48" customWidth="1"/>
    <col min="8179" max="8414" width="9.1640625" style="48"/>
    <col min="8415" max="8415" width="8.5" style="48" customWidth="1"/>
    <col min="8416" max="8416" width="8.6640625" style="48" customWidth="1"/>
    <col min="8417" max="8417" width="7.5" style="48" customWidth="1"/>
    <col min="8418" max="8418" width="8" style="48" customWidth="1"/>
    <col min="8419" max="8419" width="9" style="48" customWidth="1"/>
    <col min="8420" max="8420" width="8" style="48" customWidth="1"/>
    <col min="8421" max="8421" width="7.1640625" style="48" customWidth="1"/>
    <col min="8422" max="8422" width="8.5" style="48" customWidth="1"/>
    <col min="8423" max="8423" width="8.33203125" style="48" customWidth="1"/>
    <col min="8424" max="8425" width="9.1640625" style="48"/>
    <col min="8426" max="8426" width="8.83203125" style="48" customWidth="1"/>
    <col min="8427" max="8427" width="9.1640625" style="48" customWidth="1"/>
    <col min="8428" max="8429" width="8.5" style="48" customWidth="1"/>
    <col min="8430" max="8430" width="7.83203125" style="48" customWidth="1"/>
    <col min="8431" max="8431" width="8" style="48" customWidth="1"/>
    <col min="8432" max="8432" width="7.5" style="48" customWidth="1"/>
    <col min="8433" max="8433" width="8.33203125" style="48" customWidth="1"/>
    <col min="8434" max="8434" width="7.6640625" style="48" customWidth="1"/>
    <col min="8435" max="8670" width="9.1640625" style="48"/>
    <col min="8671" max="8671" width="8.5" style="48" customWidth="1"/>
    <col min="8672" max="8672" width="8.6640625" style="48" customWidth="1"/>
    <col min="8673" max="8673" width="7.5" style="48" customWidth="1"/>
    <col min="8674" max="8674" width="8" style="48" customWidth="1"/>
    <col min="8675" max="8675" width="9" style="48" customWidth="1"/>
    <col min="8676" max="8676" width="8" style="48" customWidth="1"/>
    <col min="8677" max="8677" width="7.1640625" style="48" customWidth="1"/>
    <col min="8678" max="8678" width="8.5" style="48" customWidth="1"/>
    <col min="8679" max="8679" width="8.33203125" style="48" customWidth="1"/>
    <col min="8680" max="8681" width="9.1640625" style="48"/>
    <col min="8682" max="8682" width="8.83203125" style="48" customWidth="1"/>
    <col min="8683" max="8683" width="9.1640625" style="48" customWidth="1"/>
    <col min="8684" max="8685" width="8.5" style="48" customWidth="1"/>
    <col min="8686" max="8686" width="7.83203125" style="48" customWidth="1"/>
    <col min="8687" max="8687" width="8" style="48" customWidth="1"/>
    <col min="8688" max="8688" width="7.5" style="48" customWidth="1"/>
    <col min="8689" max="8689" width="8.33203125" style="48" customWidth="1"/>
    <col min="8690" max="8690" width="7.6640625" style="48" customWidth="1"/>
    <col min="8691" max="8926" width="9.1640625" style="48"/>
    <col min="8927" max="8927" width="8.5" style="48" customWidth="1"/>
    <col min="8928" max="8928" width="8.6640625" style="48" customWidth="1"/>
    <col min="8929" max="8929" width="7.5" style="48" customWidth="1"/>
    <col min="8930" max="8930" width="8" style="48" customWidth="1"/>
    <col min="8931" max="8931" width="9" style="48" customWidth="1"/>
    <col min="8932" max="8932" width="8" style="48" customWidth="1"/>
    <col min="8933" max="8933" width="7.1640625" style="48" customWidth="1"/>
    <col min="8934" max="8934" width="8.5" style="48" customWidth="1"/>
    <col min="8935" max="8935" width="8.33203125" style="48" customWidth="1"/>
    <col min="8936" max="8937" width="9.1640625" style="48"/>
    <col min="8938" max="8938" width="8.83203125" style="48" customWidth="1"/>
    <col min="8939" max="8939" width="9.1640625" style="48" customWidth="1"/>
    <col min="8940" max="8941" width="8.5" style="48" customWidth="1"/>
    <col min="8942" max="8942" width="7.83203125" style="48" customWidth="1"/>
    <col min="8943" max="8943" width="8" style="48" customWidth="1"/>
    <col min="8944" max="8944" width="7.5" style="48" customWidth="1"/>
    <col min="8945" max="8945" width="8.33203125" style="48" customWidth="1"/>
    <col min="8946" max="8946" width="7.6640625" style="48" customWidth="1"/>
    <col min="8947" max="9182" width="9.1640625" style="48"/>
    <col min="9183" max="9183" width="8.5" style="48" customWidth="1"/>
    <col min="9184" max="9184" width="8.6640625" style="48" customWidth="1"/>
    <col min="9185" max="9185" width="7.5" style="48" customWidth="1"/>
    <col min="9186" max="9186" width="8" style="48" customWidth="1"/>
    <col min="9187" max="9187" width="9" style="48" customWidth="1"/>
    <col min="9188" max="9188" width="8" style="48" customWidth="1"/>
    <col min="9189" max="9189" width="7.1640625" style="48" customWidth="1"/>
    <col min="9190" max="9190" width="8.5" style="48" customWidth="1"/>
    <col min="9191" max="9191" width="8.33203125" style="48" customWidth="1"/>
    <col min="9192" max="9193" width="9.1640625" style="48"/>
    <col min="9194" max="9194" width="8.83203125" style="48" customWidth="1"/>
    <col min="9195" max="9195" width="9.1640625" style="48" customWidth="1"/>
    <col min="9196" max="9197" width="8.5" style="48" customWidth="1"/>
    <col min="9198" max="9198" width="7.83203125" style="48" customWidth="1"/>
    <col min="9199" max="9199" width="8" style="48" customWidth="1"/>
    <col min="9200" max="9200" width="7.5" style="48" customWidth="1"/>
    <col min="9201" max="9201" width="8.33203125" style="48" customWidth="1"/>
    <col min="9202" max="9202" width="7.6640625" style="48" customWidth="1"/>
    <col min="9203" max="9438" width="9.1640625" style="48"/>
    <col min="9439" max="9439" width="8.5" style="48" customWidth="1"/>
    <col min="9440" max="9440" width="8.6640625" style="48" customWidth="1"/>
    <col min="9441" max="9441" width="7.5" style="48" customWidth="1"/>
    <col min="9442" max="9442" width="8" style="48" customWidth="1"/>
    <col min="9443" max="9443" width="9" style="48" customWidth="1"/>
    <col min="9444" max="9444" width="8" style="48" customWidth="1"/>
    <col min="9445" max="9445" width="7.1640625" style="48" customWidth="1"/>
    <col min="9446" max="9446" width="8.5" style="48" customWidth="1"/>
    <col min="9447" max="9447" width="8.33203125" style="48" customWidth="1"/>
    <col min="9448" max="9449" width="9.1640625" style="48"/>
    <col min="9450" max="9450" width="8.83203125" style="48" customWidth="1"/>
    <col min="9451" max="9451" width="9.1640625" style="48" customWidth="1"/>
    <col min="9452" max="9453" width="8.5" style="48" customWidth="1"/>
    <col min="9454" max="9454" width="7.83203125" style="48" customWidth="1"/>
    <col min="9455" max="9455" width="8" style="48" customWidth="1"/>
    <col min="9456" max="9456" width="7.5" style="48" customWidth="1"/>
    <col min="9457" max="9457" width="8.33203125" style="48" customWidth="1"/>
    <col min="9458" max="9458" width="7.6640625" style="48" customWidth="1"/>
    <col min="9459" max="9694" width="9.1640625" style="48"/>
    <col min="9695" max="9695" width="8.5" style="48" customWidth="1"/>
    <col min="9696" max="9696" width="8.6640625" style="48" customWidth="1"/>
    <col min="9697" max="9697" width="7.5" style="48" customWidth="1"/>
    <col min="9698" max="9698" width="8" style="48" customWidth="1"/>
    <col min="9699" max="9699" width="9" style="48" customWidth="1"/>
    <col min="9700" max="9700" width="8" style="48" customWidth="1"/>
    <col min="9701" max="9701" width="7.1640625" style="48" customWidth="1"/>
    <col min="9702" max="9702" width="8.5" style="48" customWidth="1"/>
    <col min="9703" max="9703" width="8.33203125" style="48" customWidth="1"/>
    <col min="9704" max="9705" width="9.1640625" style="48"/>
    <col min="9706" max="9706" width="8.83203125" style="48" customWidth="1"/>
    <col min="9707" max="9707" width="9.1640625" style="48" customWidth="1"/>
    <col min="9708" max="9709" width="8.5" style="48" customWidth="1"/>
    <col min="9710" max="9710" width="7.83203125" style="48" customWidth="1"/>
    <col min="9711" max="9711" width="8" style="48" customWidth="1"/>
    <col min="9712" max="9712" width="7.5" style="48" customWidth="1"/>
    <col min="9713" max="9713" width="8.33203125" style="48" customWidth="1"/>
    <col min="9714" max="9714" width="7.6640625" style="48" customWidth="1"/>
    <col min="9715" max="9950" width="9.1640625" style="48"/>
    <col min="9951" max="9951" width="8.5" style="48" customWidth="1"/>
    <col min="9952" max="9952" width="8.6640625" style="48" customWidth="1"/>
    <col min="9953" max="9953" width="7.5" style="48" customWidth="1"/>
    <col min="9954" max="9954" width="8" style="48" customWidth="1"/>
    <col min="9955" max="9955" width="9" style="48" customWidth="1"/>
    <col min="9956" max="9956" width="8" style="48" customWidth="1"/>
    <col min="9957" max="9957" width="7.1640625" style="48" customWidth="1"/>
    <col min="9958" max="9958" width="8.5" style="48" customWidth="1"/>
    <col min="9959" max="9959" width="8.33203125" style="48" customWidth="1"/>
    <col min="9960" max="9961" width="9.1640625" style="48"/>
    <col min="9962" max="9962" width="8.83203125" style="48" customWidth="1"/>
    <col min="9963" max="9963" width="9.1640625" style="48" customWidth="1"/>
    <col min="9964" max="9965" width="8.5" style="48" customWidth="1"/>
    <col min="9966" max="9966" width="7.83203125" style="48" customWidth="1"/>
    <col min="9967" max="9967" width="8" style="48" customWidth="1"/>
    <col min="9968" max="9968" width="7.5" style="48" customWidth="1"/>
    <col min="9969" max="9969" width="8.33203125" style="48" customWidth="1"/>
    <col min="9970" max="9970" width="7.6640625" style="48" customWidth="1"/>
    <col min="9971" max="10206" width="9.1640625" style="48"/>
    <col min="10207" max="10207" width="8.5" style="48" customWidth="1"/>
    <col min="10208" max="10208" width="8.6640625" style="48" customWidth="1"/>
    <col min="10209" max="10209" width="7.5" style="48" customWidth="1"/>
    <col min="10210" max="10210" width="8" style="48" customWidth="1"/>
    <col min="10211" max="10211" width="9" style="48" customWidth="1"/>
    <col min="10212" max="10212" width="8" style="48" customWidth="1"/>
    <col min="10213" max="10213" width="7.1640625" style="48" customWidth="1"/>
    <col min="10214" max="10214" width="8.5" style="48" customWidth="1"/>
    <col min="10215" max="10215" width="8.33203125" style="48" customWidth="1"/>
    <col min="10216" max="10217" width="9.1640625" style="48"/>
    <col min="10218" max="10218" width="8.83203125" style="48" customWidth="1"/>
    <col min="10219" max="10219" width="9.1640625" style="48" customWidth="1"/>
    <col min="10220" max="10221" width="8.5" style="48" customWidth="1"/>
    <col min="10222" max="10222" width="7.83203125" style="48" customWidth="1"/>
    <col min="10223" max="10223" width="8" style="48" customWidth="1"/>
    <col min="10224" max="10224" width="7.5" style="48" customWidth="1"/>
    <col min="10225" max="10225" width="8.33203125" style="48" customWidth="1"/>
    <col min="10226" max="10226" width="7.6640625" style="48" customWidth="1"/>
    <col min="10227" max="10462" width="9.1640625" style="48"/>
    <col min="10463" max="10463" width="8.5" style="48" customWidth="1"/>
    <col min="10464" max="10464" width="8.6640625" style="48" customWidth="1"/>
    <col min="10465" max="10465" width="7.5" style="48" customWidth="1"/>
    <col min="10466" max="10466" width="8" style="48" customWidth="1"/>
    <col min="10467" max="10467" width="9" style="48" customWidth="1"/>
    <col min="10468" max="10468" width="8" style="48" customWidth="1"/>
    <col min="10469" max="10469" width="7.1640625" style="48" customWidth="1"/>
    <col min="10470" max="10470" width="8.5" style="48" customWidth="1"/>
    <col min="10471" max="10471" width="8.33203125" style="48" customWidth="1"/>
    <col min="10472" max="10473" width="9.1640625" style="48"/>
    <col min="10474" max="10474" width="8.83203125" style="48" customWidth="1"/>
    <col min="10475" max="10475" width="9.1640625" style="48" customWidth="1"/>
    <col min="10476" max="10477" width="8.5" style="48" customWidth="1"/>
    <col min="10478" max="10478" width="7.83203125" style="48" customWidth="1"/>
    <col min="10479" max="10479" width="8" style="48" customWidth="1"/>
    <col min="10480" max="10480" width="7.5" style="48" customWidth="1"/>
    <col min="10481" max="10481" width="8.33203125" style="48" customWidth="1"/>
    <col min="10482" max="10482" width="7.6640625" style="48" customWidth="1"/>
    <col min="10483" max="10718" width="9.1640625" style="48"/>
    <col min="10719" max="10719" width="8.5" style="48" customWidth="1"/>
    <col min="10720" max="10720" width="8.6640625" style="48" customWidth="1"/>
    <col min="10721" max="10721" width="7.5" style="48" customWidth="1"/>
    <col min="10722" max="10722" width="8" style="48" customWidth="1"/>
    <col min="10723" max="10723" width="9" style="48" customWidth="1"/>
    <col min="10724" max="10724" width="8" style="48" customWidth="1"/>
    <col min="10725" max="10725" width="7.1640625" style="48" customWidth="1"/>
    <col min="10726" max="10726" width="8.5" style="48" customWidth="1"/>
    <col min="10727" max="10727" width="8.33203125" style="48" customWidth="1"/>
    <col min="10728" max="10729" width="9.1640625" style="48"/>
    <col min="10730" max="10730" width="8.83203125" style="48" customWidth="1"/>
    <col min="10731" max="10731" width="9.1640625" style="48" customWidth="1"/>
    <col min="10732" max="10733" width="8.5" style="48" customWidth="1"/>
    <col min="10734" max="10734" width="7.83203125" style="48" customWidth="1"/>
    <col min="10735" max="10735" width="8" style="48" customWidth="1"/>
    <col min="10736" max="10736" width="7.5" style="48" customWidth="1"/>
    <col min="10737" max="10737" width="8.33203125" style="48" customWidth="1"/>
    <col min="10738" max="10738" width="7.6640625" style="48" customWidth="1"/>
    <col min="10739" max="10974" width="9.1640625" style="48"/>
    <col min="10975" max="10975" width="8.5" style="48" customWidth="1"/>
    <col min="10976" max="10976" width="8.6640625" style="48" customWidth="1"/>
    <col min="10977" max="10977" width="7.5" style="48" customWidth="1"/>
    <col min="10978" max="10978" width="8" style="48" customWidth="1"/>
    <col min="10979" max="10979" width="9" style="48" customWidth="1"/>
    <col min="10980" max="10980" width="8" style="48" customWidth="1"/>
    <col min="10981" max="10981" width="7.1640625" style="48" customWidth="1"/>
    <col min="10982" max="10982" width="8.5" style="48" customWidth="1"/>
    <col min="10983" max="10983" width="8.33203125" style="48" customWidth="1"/>
    <col min="10984" max="10985" width="9.1640625" style="48"/>
    <col min="10986" max="10986" width="8.83203125" style="48" customWidth="1"/>
    <col min="10987" max="10987" width="9.1640625" style="48" customWidth="1"/>
    <col min="10988" max="10989" width="8.5" style="48" customWidth="1"/>
    <col min="10990" max="10990" width="7.83203125" style="48" customWidth="1"/>
    <col min="10991" max="10991" width="8" style="48" customWidth="1"/>
    <col min="10992" max="10992" width="7.5" style="48" customWidth="1"/>
    <col min="10993" max="10993" width="8.33203125" style="48" customWidth="1"/>
    <col min="10994" max="10994" width="7.6640625" style="48" customWidth="1"/>
    <col min="10995" max="11230" width="9.1640625" style="48"/>
    <col min="11231" max="11231" width="8.5" style="48" customWidth="1"/>
    <col min="11232" max="11232" width="8.6640625" style="48" customWidth="1"/>
    <col min="11233" max="11233" width="7.5" style="48" customWidth="1"/>
    <col min="11234" max="11234" width="8" style="48" customWidth="1"/>
    <col min="11235" max="11235" width="9" style="48" customWidth="1"/>
    <col min="11236" max="11236" width="8" style="48" customWidth="1"/>
    <col min="11237" max="11237" width="7.1640625" style="48" customWidth="1"/>
    <col min="11238" max="11238" width="8.5" style="48" customWidth="1"/>
    <col min="11239" max="11239" width="8.33203125" style="48" customWidth="1"/>
    <col min="11240" max="11241" width="9.1640625" style="48"/>
    <col min="11242" max="11242" width="8.83203125" style="48" customWidth="1"/>
    <col min="11243" max="11243" width="9.1640625" style="48" customWidth="1"/>
    <col min="11244" max="11245" width="8.5" style="48" customWidth="1"/>
    <col min="11246" max="11246" width="7.83203125" style="48" customWidth="1"/>
    <col min="11247" max="11247" width="8" style="48" customWidth="1"/>
    <col min="11248" max="11248" width="7.5" style="48" customWidth="1"/>
    <col min="11249" max="11249" width="8.33203125" style="48" customWidth="1"/>
    <col min="11250" max="11250" width="7.6640625" style="48" customWidth="1"/>
    <col min="11251" max="11486" width="9.1640625" style="48"/>
    <col min="11487" max="11487" width="8.5" style="48" customWidth="1"/>
    <col min="11488" max="11488" width="8.6640625" style="48" customWidth="1"/>
    <col min="11489" max="11489" width="7.5" style="48" customWidth="1"/>
    <col min="11490" max="11490" width="8" style="48" customWidth="1"/>
    <col min="11491" max="11491" width="9" style="48" customWidth="1"/>
    <col min="11492" max="11492" width="8" style="48" customWidth="1"/>
    <col min="11493" max="11493" width="7.1640625" style="48" customWidth="1"/>
    <col min="11494" max="11494" width="8.5" style="48" customWidth="1"/>
    <col min="11495" max="11495" width="8.33203125" style="48" customWidth="1"/>
    <col min="11496" max="11497" width="9.1640625" style="48"/>
    <col min="11498" max="11498" width="8.83203125" style="48" customWidth="1"/>
    <col min="11499" max="11499" width="9.1640625" style="48" customWidth="1"/>
    <col min="11500" max="11501" width="8.5" style="48" customWidth="1"/>
    <col min="11502" max="11502" width="7.83203125" style="48" customWidth="1"/>
    <col min="11503" max="11503" width="8" style="48" customWidth="1"/>
    <col min="11504" max="11504" width="7.5" style="48" customWidth="1"/>
    <col min="11505" max="11505" width="8.33203125" style="48" customWidth="1"/>
    <col min="11506" max="11506" width="7.6640625" style="48" customWidth="1"/>
    <col min="11507" max="11742" width="9.1640625" style="48"/>
    <col min="11743" max="11743" width="8.5" style="48" customWidth="1"/>
    <col min="11744" max="11744" width="8.6640625" style="48" customWidth="1"/>
    <col min="11745" max="11745" width="7.5" style="48" customWidth="1"/>
    <col min="11746" max="11746" width="8" style="48" customWidth="1"/>
    <col min="11747" max="11747" width="9" style="48" customWidth="1"/>
    <col min="11748" max="11748" width="8" style="48" customWidth="1"/>
    <col min="11749" max="11749" width="7.1640625" style="48" customWidth="1"/>
    <col min="11750" max="11750" width="8.5" style="48" customWidth="1"/>
    <col min="11751" max="11751" width="8.33203125" style="48" customWidth="1"/>
    <col min="11752" max="11753" width="9.1640625" style="48"/>
    <col min="11754" max="11754" width="8.83203125" style="48" customWidth="1"/>
    <col min="11755" max="11755" width="9.1640625" style="48" customWidth="1"/>
    <col min="11756" max="11757" width="8.5" style="48" customWidth="1"/>
    <col min="11758" max="11758" width="7.83203125" style="48" customWidth="1"/>
    <col min="11759" max="11759" width="8" style="48" customWidth="1"/>
    <col min="11760" max="11760" width="7.5" style="48" customWidth="1"/>
    <col min="11761" max="11761" width="8.33203125" style="48" customWidth="1"/>
    <col min="11762" max="11762" width="7.6640625" style="48" customWidth="1"/>
    <col min="11763" max="11998" width="9.1640625" style="48"/>
    <col min="11999" max="11999" width="8.5" style="48" customWidth="1"/>
    <col min="12000" max="12000" width="8.6640625" style="48" customWidth="1"/>
    <col min="12001" max="12001" width="7.5" style="48" customWidth="1"/>
    <col min="12002" max="12002" width="8" style="48" customWidth="1"/>
    <col min="12003" max="12003" width="9" style="48" customWidth="1"/>
    <col min="12004" max="12004" width="8" style="48" customWidth="1"/>
    <col min="12005" max="12005" width="7.1640625" style="48" customWidth="1"/>
    <col min="12006" max="12006" width="8.5" style="48" customWidth="1"/>
    <col min="12007" max="12007" width="8.33203125" style="48" customWidth="1"/>
    <col min="12008" max="12009" width="9.1640625" style="48"/>
    <col min="12010" max="12010" width="8.83203125" style="48" customWidth="1"/>
    <col min="12011" max="12011" width="9.1640625" style="48" customWidth="1"/>
    <col min="12012" max="12013" width="8.5" style="48" customWidth="1"/>
    <col min="12014" max="12014" width="7.83203125" style="48" customWidth="1"/>
    <col min="12015" max="12015" width="8" style="48" customWidth="1"/>
    <col min="12016" max="12016" width="7.5" style="48" customWidth="1"/>
    <col min="12017" max="12017" width="8.33203125" style="48" customWidth="1"/>
    <col min="12018" max="12018" width="7.6640625" style="48" customWidth="1"/>
    <col min="12019" max="12254" width="9.1640625" style="48"/>
    <col min="12255" max="12255" width="8.5" style="48" customWidth="1"/>
    <col min="12256" max="12256" width="8.6640625" style="48" customWidth="1"/>
    <col min="12257" max="12257" width="7.5" style="48" customWidth="1"/>
    <col min="12258" max="12258" width="8" style="48" customWidth="1"/>
    <col min="12259" max="12259" width="9" style="48" customWidth="1"/>
    <col min="12260" max="12260" width="8" style="48" customWidth="1"/>
    <col min="12261" max="12261" width="7.1640625" style="48" customWidth="1"/>
    <col min="12262" max="12262" width="8.5" style="48" customWidth="1"/>
    <col min="12263" max="12263" width="8.33203125" style="48" customWidth="1"/>
    <col min="12264" max="12265" width="9.1640625" style="48"/>
    <col min="12266" max="12266" width="8.83203125" style="48" customWidth="1"/>
    <col min="12267" max="12267" width="9.1640625" style="48" customWidth="1"/>
    <col min="12268" max="12269" width="8.5" style="48" customWidth="1"/>
    <col min="12270" max="12270" width="7.83203125" style="48" customWidth="1"/>
    <col min="12271" max="12271" width="8" style="48" customWidth="1"/>
    <col min="12272" max="12272" width="7.5" style="48" customWidth="1"/>
    <col min="12273" max="12273" width="8.33203125" style="48" customWidth="1"/>
    <col min="12274" max="12274" width="7.6640625" style="48" customWidth="1"/>
    <col min="12275" max="12510" width="9.1640625" style="48"/>
    <col min="12511" max="12511" width="8.5" style="48" customWidth="1"/>
    <col min="12512" max="12512" width="8.6640625" style="48" customWidth="1"/>
    <col min="12513" max="12513" width="7.5" style="48" customWidth="1"/>
    <col min="12514" max="12514" width="8" style="48" customWidth="1"/>
    <col min="12515" max="12515" width="9" style="48" customWidth="1"/>
    <col min="12516" max="12516" width="8" style="48" customWidth="1"/>
    <col min="12517" max="12517" width="7.1640625" style="48" customWidth="1"/>
    <col min="12518" max="12518" width="8.5" style="48" customWidth="1"/>
    <col min="12519" max="12519" width="8.33203125" style="48" customWidth="1"/>
    <col min="12520" max="12521" width="9.1640625" style="48"/>
    <col min="12522" max="12522" width="8.83203125" style="48" customWidth="1"/>
    <col min="12523" max="12523" width="9.1640625" style="48" customWidth="1"/>
    <col min="12524" max="12525" width="8.5" style="48" customWidth="1"/>
    <col min="12526" max="12526" width="7.83203125" style="48" customWidth="1"/>
    <col min="12527" max="12527" width="8" style="48" customWidth="1"/>
    <col min="12528" max="12528" width="7.5" style="48" customWidth="1"/>
    <col min="12529" max="12529" width="8.33203125" style="48" customWidth="1"/>
    <col min="12530" max="12530" width="7.6640625" style="48" customWidth="1"/>
    <col min="12531" max="12766" width="9.1640625" style="48"/>
    <col min="12767" max="12767" width="8.5" style="48" customWidth="1"/>
    <col min="12768" max="12768" width="8.6640625" style="48" customWidth="1"/>
    <col min="12769" max="12769" width="7.5" style="48" customWidth="1"/>
    <col min="12770" max="12770" width="8" style="48" customWidth="1"/>
    <col min="12771" max="12771" width="9" style="48" customWidth="1"/>
    <col min="12772" max="12772" width="8" style="48" customWidth="1"/>
    <col min="12773" max="12773" width="7.1640625" style="48" customWidth="1"/>
    <col min="12774" max="12774" width="8.5" style="48" customWidth="1"/>
    <col min="12775" max="12775" width="8.33203125" style="48" customWidth="1"/>
    <col min="12776" max="12777" width="9.1640625" style="48"/>
    <col min="12778" max="12778" width="8.83203125" style="48" customWidth="1"/>
    <col min="12779" max="12779" width="9.1640625" style="48" customWidth="1"/>
    <col min="12780" max="12781" width="8.5" style="48" customWidth="1"/>
    <col min="12782" max="12782" width="7.83203125" style="48" customWidth="1"/>
    <col min="12783" max="12783" width="8" style="48" customWidth="1"/>
    <col min="12784" max="12784" width="7.5" style="48" customWidth="1"/>
    <col min="12785" max="12785" width="8.33203125" style="48" customWidth="1"/>
    <col min="12786" max="12786" width="7.6640625" style="48" customWidth="1"/>
    <col min="12787" max="13022" width="9.1640625" style="48"/>
    <col min="13023" max="13023" width="8.5" style="48" customWidth="1"/>
    <col min="13024" max="13024" width="8.6640625" style="48" customWidth="1"/>
    <col min="13025" max="13025" width="7.5" style="48" customWidth="1"/>
    <col min="13026" max="13026" width="8" style="48" customWidth="1"/>
    <col min="13027" max="13027" width="9" style="48" customWidth="1"/>
    <col min="13028" max="13028" width="8" style="48" customWidth="1"/>
    <col min="13029" max="13029" width="7.1640625" style="48" customWidth="1"/>
    <col min="13030" max="13030" width="8.5" style="48" customWidth="1"/>
    <col min="13031" max="13031" width="8.33203125" style="48" customWidth="1"/>
    <col min="13032" max="13033" width="9.1640625" style="48"/>
    <col min="13034" max="13034" width="8.83203125" style="48" customWidth="1"/>
    <col min="13035" max="13035" width="9.1640625" style="48" customWidth="1"/>
    <col min="13036" max="13037" width="8.5" style="48" customWidth="1"/>
    <col min="13038" max="13038" width="7.83203125" style="48" customWidth="1"/>
    <col min="13039" max="13039" width="8" style="48" customWidth="1"/>
    <col min="13040" max="13040" width="7.5" style="48" customWidth="1"/>
    <col min="13041" max="13041" width="8.33203125" style="48" customWidth="1"/>
    <col min="13042" max="13042" width="7.6640625" style="48" customWidth="1"/>
    <col min="13043" max="13278" width="9.1640625" style="48"/>
    <col min="13279" max="13279" width="8.5" style="48" customWidth="1"/>
    <col min="13280" max="13280" width="8.6640625" style="48" customWidth="1"/>
    <col min="13281" max="13281" width="7.5" style="48" customWidth="1"/>
    <col min="13282" max="13282" width="8" style="48" customWidth="1"/>
    <col min="13283" max="13283" width="9" style="48" customWidth="1"/>
    <col min="13284" max="13284" width="8" style="48" customWidth="1"/>
    <col min="13285" max="13285" width="7.1640625" style="48" customWidth="1"/>
    <col min="13286" max="13286" width="8.5" style="48" customWidth="1"/>
    <col min="13287" max="13287" width="8.33203125" style="48" customWidth="1"/>
    <col min="13288" max="13289" width="9.1640625" style="48"/>
    <col min="13290" max="13290" width="8.83203125" style="48" customWidth="1"/>
    <col min="13291" max="13291" width="9.1640625" style="48" customWidth="1"/>
    <col min="13292" max="13293" width="8.5" style="48" customWidth="1"/>
    <col min="13294" max="13294" width="7.83203125" style="48" customWidth="1"/>
    <col min="13295" max="13295" width="8" style="48" customWidth="1"/>
    <col min="13296" max="13296" width="7.5" style="48" customWidth="1"/>
    <col min="13297" max="13297" width="8.33203125" style="48" customWidth="1"/>
    <col min="13298" max="13298" width="7.6640625" style="48" customWidth="1"/>
    <col min="13299" max="13534" width="9.1640625" style="48"/>
    <col min="13535" max="13535" width="8.5" style="48" customWidth="1"/>
    <col min="13536" max="13536" width="8.6640625" style="48" customWidth="1"/>
    <col min="13537" max="13537" width="7.5" style="48" customWidth="1"/>
    <col min="13538" max="13538" width="8" style="48" customWidth="1"/>
    <col min="13539" max="13539" width="9" style="48" customWidth="1"/>
    <col min="13540" max="13540" width="8" style="48" customWidth="1"/>
    <col min="13541" max="13541" width="7.1640625" style="48" customWidth="1"/>
    <col min="13542" max="13542" width="8.5" style="48" customWidth="1"/>
    <col min="13543" max="13543" width="8.33203125" style="48" customWidth="1"/>
    <col min="13544" max="13545" width="9.1640625" style="48"/>
    <col min="13546" max="13546" width="8.83203125" style="48" customWidth="1"/>
    <col min="13547" max="13547" width="9.1640625" style="48" customWidth="1"/>
    <col min="13548" max="13549" width="8.5" style="48" customWidth="1"/>
    <col min="13550" max="13550" width="7.83203125" style="48" customWidth="1"/>
    <col min="13551" max="13551" width="8" style="48" customWidth="1"/>
    <col min="13552" max="13552" width="7.5" style="48" customWidth="1"/>
    <col min="13553" max="13553" width="8.33203125" style="48" customWidth="1"/>
    <col min="13554" max="13554" width="7.6640625" style="48" customWidth="1"/>
    <col min="13555" max="13790" width="9.1640625" style="48"/>
    <col min="13791" max="13791" width="8.5" style="48" customWidth="1"/>
    <col min="13792" max="13792" width="8.6640625" style="48" customWidth="1"/>
    <col min="13793" max="13793" width="7.5" style="48" customWidth="1"/>
    <col min="13794" max="13794" width="8" style="48" customWidth="1"/>
    <col min="13795" max="13795" width="9" style="48" customWidth="1"/>
    <col min="13796" max="13796" width="8" style="48" customWidth="1"/>
    <col min="13797" max="13797" width="7.1640625" style="48" customWidth="1"/>
    <col min="13798" max="13798" width="8.5" style="48" customWidth="1"/>
    <col min="13799" max="13799" width="8.33203125" style="48" customWidth="1"/>
    <col min="13800" max="13801" width="9.1640625" style="48"/>
    <col min="13802" max="13802" width="8.83203125" style="48" customWidth="1"/>
    <col min="13803" max="13803" width="9.1640625" style="48" customWidth="1"/>
    <col min="13804" max="13805" width="8.5" style="48" customWidth="1"/>
    <col min="13806" max="13806" width="7.83203125" style="48" customWidth="1"/>
    <col min="13807" max="13807" width="8" style="48" customWidth="1"/>
    <col min="13808" max="13808" width="7.5" style="48" customWidth="1"/>
    <col min="13809" max="13809" width="8.33203125" style="48" customWidth="1"/>
    <col min="13810" max="13810" width="7.6640625" style="48" customWidth="1"/>
    <col min="13811" max="14046" width="9.1640625" style="48"/>
    <col min="14047" max="14047" width="8.5" style="48" customWidth="1"/>
    <col min="14048" max="14048" width="8.6640625" style="48" customWidth="1"/>
    <col min="14049" max="14049" width="7.5" style="48" customWidth="1"/>
    <col min="14050" max="14050" width="8" style="48" customWidth="1"/>
    <col min="14051" max="14051" width="9" style="48" customWidth="1"/>
    <col min="14052" max="14052" width="8" style="48" customWidth="1"/>
    <col min="14053" max="14053" width="7.1640625" style="48" customWidth="1"/>
    <col min="14054" max="14054" width="8.5" style="48" customWidth="1"/>
    <col min="14055" max="14055" width="8.33203125" style="48" customWidth="1"/>
    <col min="14056" max="14057" width="9.1640625" style="48"/>
    <col min="14058" max="14058" width="8.83203125" style="48" customWidth="1"/>
    <col min="14059" max="14059" width="9.1640625" style="48" customWidth="1"/>
    <col min="14060" max="14061" width="8.5" style="48" customWidth="1"/>
    <col min="14062" max="14062" width="7.83203125" style="48" customWidth="1"/>
    <col min="14063" max="14063" width="8" style="48" customWidth="1"/>
    <col min="14064" max="14064" width="7.5" style="48" customWidth="1"/>
    <col min="14065" max="14065" width="8.33203125" style="48" customWidth="1"/>
    <col min="14066" max="14066" width="7.6640625" style="48" customWidth="1"/>
    <col min="14067" max="14302" width="9.1640625" style="48"/>
    <col min="14303" max="14303" width="8.5" style="48" customWidth="1"/>
    <col min="14304" max="14304" width="8.6640625" style="48" customWidth="1"/>
    <col min="14305" max="14305" width="7.5" style="48" customWidth="1"/>
    <col min="14306" max="14306" width="8" style="48" customWidth="1"/>
    <col min="14307" max="14307" width="9" style="48" customWidth="1"/>
    <col min="14308" max="14308" width="8" style="48" customWidth="1"/>
    <col min="14309" max="14309" width="7.1640625" style="48" customWidth="1"/>
    <col min="14310" max="14310" width="8.5" style="48" customWidth="1"/>
    <col min="14311" max="14311" width="8.33203125" style="48" customWidth="1"/>
    <col min="14312" max="14313" width="9.1640625" style="48"/>
    <col min="14314" max="14314" width="8.83203125" style="48" customWidth="1"/>
    <col min="14315" max="14315" width="9.1640625" style="48" customWidth="1"/>
    <col min="14316" max="14317" width="8.5" style="48" customWidth="1"/>
    <col min="14318" max="14318" width="7.83203125" style="48" customWidth="1"/>
    <col min="14319" max="14319" width="8" style="48" customWidth="1"/>
    <col min="14320" max="14320" width="7.5" style="48" customWidth="1"/>
    <col min="14321" max="14321" width="8.33203125" style="48" customWidth="1"/>
    <col min="14322" max="14322" width="7.6640625" style="48" customWidth="1"/>
    <col min="14323" max="14558" width="9.1640625" style="48"/>
    <col min="14559" max="14559" width="8.5" style="48" customWidth="1"/>
    <col min="14560" max="14560" width="8.6640625" style="48" customWidth="1"/>
    <col min="14561" max="14561" width="7.5" style="48" customWidth="1"/>
    <col min="14562" max="14562" width="8" style="48" customWidth="1"/>
    <col min="14563" max="14563" width="9" style="48" customWidth="1"/>
    <col min="14564" max="14564" width="8" style="48" customWidth="1"/>
    <col min="14565" max="14565" width="7.1640625" style="48" customWidth="1"/>
    <col min="14566" max="14566" width="8.5" style="48" customWidth="1"/>
    <col min="14567" max="14567" width="8.33203125" style="48" customWidth="1"/>
    <col min="14568" max="14569" width="9.1640625" style="48"/>
    <col min="14570" max="14570" width="8.83203125" style="48" customWidth="1"/>
    <col min="14571" max="14571" width="9.1640625" style="48" customWidth="1"/>
    <col min="14572" max="14573" width="8.5" style="48" customWidth="1"/>
    <col min="14574" max="14574" width="7.83203125" style="48" customWidth="1"/>
    <col min="14575" max="14575" width="8" style="48" customWidth="1"/>
    <col min="14576" max="14576" width="7.5" style="48" customWidth="1"/>
    <col min="14577" max="14577" width="8.33203125" style="48" customWidth="1"/>
    <col min="14578" max="14578" width="7.6640625" style="48" customWidth="1"/>
    <col min="14579" max="14814" width="9.1640625" style="48"/>
    <col min="14815" max="14815" width="8.5" style="48" customWidth="1"/>
    <col min="14816" max="14816" width="8.6640625" style="48" customWidth="1"/>
    <col min="14817" max="14817" width="7.5" style="48" customWidth="1"/>
    <col min="14818" max="14818" width="8" style="48" customWidth="1"/>
    <col min="14819" max="14819" width="9" style="48" customWidth="1"/>
    <col min="14820" max="14820" width="8" style="48" customWidth="1"/>
    <col min="14821" max="14821" width="7.1640625" style="48" customWidth="1"/>
    <col min="14822" max="14822" width="8.5" style="48" customWidth="1"/>
    <col min="14823" max="14823" width="8.33203125" style="48" customWidth="1"/>
    <col min="14824" max="14825" width="9.1640625" style="48"/>
    <col min="14826" max="14826" width="8.83203125" style="48" customWidth="1"/>
    <col min="14827" max="14827" width="9.1640625" style="48" customWidth="1"/>
    <col min="14828" max="14829" width="8.5" style="48" customWidth="1"/>
    <col min="14830" max="14830" width="7.83203125" style="48" customWidth="1"/>
    <col min="14831" max="14831" width="8" style="48" customWidth="1"/>
    <col min="14832" max="14832" width="7.5" style="48" customWidth="1"/>
    <col min="14833" max="14833" width="8.33203125" style="48" customWidth="1"/>
    <col min="14834" max="14834" width="7.6640625" style="48" customWidth="1"/>
    <col min="14835" max="15070" width="9.1640625" style="48"/>
    <col min="15071" max="15071" width="8.5" style="48" customWidth="1"/>
    <col min="15072" max="15072" width="8.6640625" style="48" customWidth="1"/>
    <col min="15073" max="15073" width="7.5" style="48" customWidth="1"/>
    <col min="15074" max="15074" width="8" style="48" customWidth="1"/>
    <col min="15075" max="15075" width="9" style="48" customWidth="1"/>
    <col min="15076" max="15076" width="8" style="48" customWidth="1"/>
    <col min="15077" max="15077" width="7.1640625" style="48" customWidth="1"/>
    <col min="15078" max="15078" width="8.5" style="48" customWidth="1"/>
    <col min="15079" max="15079" width="8.33203125" style="48" customWidth="1"/>
    <col min="15080" max="15081" width="9.1640625" style="48"/>
    <col min="15082" max="15082" width="8.83203125" style="48" customWidth="1"/>
    <col min="15083" max="15083" width="9.1640625" style="48" customWidth="1"/>
    <col min="15084" max="15085" width="8.5" style="48" customWidth="1"/>
    <col min="15086" max="15086" width="7.83203125" style="48" customWidth="1"/>
    <col min="15087" max="15087" width="8" style="48" customWidth="1"/>
    <col min="15088" max="15088" width="7.5" style="48" customWidth="1"/>
    <col min="15089" max="15089" width="8.33203125" style="48" customWidth="1"/>
    <col min="15090" max="15090" width="7.6640625" style="48" customWidth="1"/>
    <col min="15091" max="15326" width="9.1640625" style="48"/>
    <col min="15327" max="15327" width="8.5" style="48" customWidth="1"/>
    <col min="15328" max="15328" width="8.6640625" style="48" customWidth="1"/>
    <col min="15329" max="15329" width="7.5" style="48" customWidth="1"/>
    <col min="15330" max="15330" width="8" style="48" customWidth="1"/>
    <col min="15331" max="15331" width="9" style="48" customWidth="1"/>
    <col min="15332" max="15332" width="8" style="48" customWidth="1"/>
    <col min="15333" max="15333" width="7.1640625" style="48" customWidth="1"/>
    <col min="15334" max="15334" width="8.5" style="48" customWidth="1"/>
    <col min="15335" max="15335" width="8.33203125" style="48" customWidth="1"/>
    <col min="15336" max="15337" width="9.1640625" style="48"/>
    <col min="15338" max="15338" width="8.83203125" style="48" customWidth="1"/>
    <col min="15339" max="15339" width="9.1640625" style="48" customWidth="1"/>
    <col min="15340" max="15341" width="8.5" style="48" customWidth="1"/>
    <col min="15342" max="15342" width="7.83203125" style="48" customWidth="1"/>
    <col min="15343" max="15343" width="8" style="48" customWidth="1"/>
    <col min="15344" max="15344" width="7.5" style="48" customWidth="1"/>
    <col min="15345" max="15345" width="8.33203125" style="48" customWidth="1"/>
    <col min="15346" max="15346" width="7.6640625" style="48" customWidth="1"/>
    <col min="15347" max="15582" width="9.1640625" style="48"/>
    <col min="15583" max="15583" width="8.5" style="48" customWidth="1"/>
    <col min="15584" max="15584" width="8.6640625" style="48" customWidth="1"/>
    <col min="15585" max="15585" width="7.5" style="48" customWidth="1"/>
    <col min="15586" max="15586" width="8" style="48" customWidth="1"/>
    <col min="15587" max="15587" width="9" style="48" customWidth="1"/>
    <col min="15588" max="15588" width="8" style="48" customWidth="1"/>
    <col min="15589" max="15589" width="7.1640625" style="48" customWidth="1"/>
    <col min="15590" max="15590" width="8.5" style="48" customWidth="1"/>
    <col min="15591" max="15591" width="8.33203125" style="48" customWidth="1"/>
    <col min="15592" max="15593" width="9.1640625" style="48"/>
    <col min="15594" max="15594" width="8.83203125" style="48" customWidth="1"/>
    <col min="15595" max="15595" width="9.1640625" style="48" customWidth="1"/>
    <col min="15596" max="15597" width="8.5" style="48" customWidth="1"/>
    <col min="15598" max="15598" width="7.83203125" style="48" customWidth="1"/>
    <col min="15599" max="15599" width="8" style="48" customWidth="1"/>
    <col min="15600" max="15600" width="7.5" style="48" customWidth="1"/>
    <col min="15601" max="15601" width="8.33203125" style="48" customWidth="1"/>
    <col min="15602" max="15602" width="7.6640625" style="48" customWidth="1"/>
    <col min="15603" max="15838" width="9.1640625" style="48"/>
    <col min="15839" max="15839" width="8.5" style="48" customWidth="1"/>
    <col min="15840" max="15840" width="8.6640625" style="48" customWidth="1"/>
    <col min="15841" max="15841" width="7.5" style="48" customWidth="1"/>
    <col min="15842" max="15842" width="8" style="48" customWidth="1"/>
    <col min="15843" max="15843" width="9" style="48" customWidth="1"/>
    <col min="15844" max="15844" width="8" style="48" customWidth="1"/>
    <col min="15845" max="15845" width="7.1640625" style="48" customWidth="1"/>
    <col min="15846" max="15846" width="8.5" style="48" customWidth="1"/>
    <col min="15847" max="15847" width="8.33203125" style="48" customWidth="1"/>
    <col min="15848" max="15849" width="9.1640625" style="48"/>
    <col min="15850" max="15850" width="8.83203125" style="48" customWidth="1"/>
    <col min="15851" max="15851" width="9.1640625" style="48" customWidth="1"/>
    <col min="15852" max="15853" width="8.5" style="48" customWidth="1"/>
    <col min="15854" max="15854" width="7.83203125" style="48" customWidth="1"/>
    <col min="15855" max="15855" width="8" style="48" customWidth="1"/>
    <col min="15856" max="15856" width="7.5" style="48" customWidth="1"/>
    <col min="15857" max="15857" width="8.33203125" style="48" customWidth="1"/>
    <col min="15858" max="15858" width="7.6640625" style="48" customWidth="1"/>
    <col min="15859" max="16094" width="9.1640625" style="48"/>
    <col min="16095" max="16095" width="8.5" style="48" customWidth="1"/>
    <col min="16096" max="16096" width="8.6640625" style="48" customWidth="1"/>
    <col min="16097" max="16097" width="7.5" style="48" customWidth="1"/>
    <col min="16098" max="16098" width="8" style="48" customWidth="1"/>
    <col min="16099" max="16099" width="9" style="48" customWidth="1"/>
    <col min="16100" max="16100" width="8" style="48" customWidth="1"/>
    <col min="16101" max="16101" width="7.1640625" style="48" customWidth="1"/>
    <col min="16102" max="16102" width="8.5" style="48" customWidth="1"/>
    <col min="16103" max="16103" width="8.33203125" style="48" customWidth="1"/>
    <col min="16104" max="16105" width="9.1640625" style="48"/>
    <col min="16106" max="16106" width="8.83203125" style="48" customWidth="1"/>
    <col min="16107" max="16107" width="9.1640625" style="48" customWidth="1"/>
    <col min="16108" max="16109" width="8.5" style="48" customWidth="1"/>
    <col min="16110" max="16110" width="7.83203125" style="48" customWidth="1"/>
    <col min="16111" max="16111" width="8" style="48" customWidth="1"/>
    <col min="16112" max="16112" width="7.5" style="48" customWidth="1"/>
    <col min="16113" max="16113" width="8.33203125" style="48" customWidth="1"/>
    <col min="16114" max="16114" width="7.6640625" style="48" customWidth="1"/>
    <col min="16115" max="16384" width="9.1640625" style="48"/>
  </cols>
  <sheetData>
    <row r="1" spans="1:12" ht="15.75">
      <c r="A1" s="902" t="s">
        <v>54</v>
      </c>
      <c r="B1" s="902"/>
      <c r="C1" s="902"/>
      <c r="D1" s="902"/>
      <c r="E1" s="902"/>
      <c r="F1" s="902"/>
      <c r="G1" s="902"/>
      <c r="H1" s="902"/>
      <c r="I1" s="902"/>
      <c r="J1" s="902"/>
      <c r="K1" s="902"/>
      <c r="L1" s="902"/>
    </row>
    <row r="2" spans="1:12" ht="15.75">
      <c r="A2" s="902" t="s">
        <v>272</v>
      </c>
      <c r="B2" s="902"/>
      <c r="C2" s="902"/>
      <c r="D2" s="902"/>
      <c r="E2" s="902"/>
      <c r="F2" s="902"/>
      <c r="G2" s="902"/>
      <c r="H2" s="902"/>
      <c r="I2" s="902"/>
      <c r="J2" s="902"/>
      <c r="K2" s="902"/>
      <c r="L2" s="902"/>
    </row>
    <row r="3" spans="1:12" ht="16.5" thickBot="1">
      <c r="A3" s="874"/>
      <c r="B3" s="874"/>
      <c r="C3" s="874"/>
      <c r="D3" s="874"/>
      <c r="E3" s="874"/>
      <c r="F3" s="874"/>
      <c r="G3" s="874"/>
      <c r="H3" s="874"/>
      <c r="I3" s="874"/>
      <c r="J3" s="874"/>
      <c r="K3" s="874"/>
      <c r="L3" s="874"/>
    </row>
    <row r="4" spans="1:12" ht="20.65" customHeight="1">
      <c r="A4" s="1024" t="s">
        <v>57</v>
      </c>
      <c r="B4" s="1024" t="s">
        <v>159</v>
      </c>
      <c r="C4" s="1024" t="s">
        <v>160</v>
      </c>
      <c r="D4" s="1026" t="s">
        <v>161</v>
      </c>
      <c r="E4" s="1016" t="s">
        <v>162</v>
      </c>
      <c r="F4" s="1017"/>
      <c r="G4" s="1016" t="s">
        <v>163</v>
      </c>
      <c r="H4" s="1017"/>
      <c r="I4" s="1150" t="s">
        <v>164</v>
      </c>
      <c r="J4" s="1151"/>
      <c r="K4" s="1152"/>
      <c r="L4" s="1148" t="s">
        <v>165</v>
      </c>
    </row>
    <row r="5" spans="1:12" ht="20.65" customHeight="1" thickBot="1">
      <c r="A5" s="1025"/>
      <c r="B5" s="1025"/>
      <c r="C5" s="1025"/>
      <c r="D5" s="1027"/>
      <c r="E5" s="52" t="s">
        <v>65</v>
      </c>
      <c r="F5" s="53" t="s">
        <v>66</v>
      </c>
      <c r="G5" s="52" t="s">
        <v>67</v>
      </c>
      <c r="H5" s="53" t="s">
        <v>68</v>
      </c>
      <c r="I5" s="54" t="s">
        <v>67</v>
      </c>
      <c r="J5" s="153" t="s">
        <v>68</v>
      </c>
      <c r="K5" s="55" t="s">
        <v>96</v>
      </c>
      <c r="L5" s="1149"/>
    </row>
    <row r="6" spans="1:12" ht="19.5" customHeight="1">
      <c r="A6" s="1085" t="s">
        <v>70</v>
      </c>
      <c r="B6" s="1094">
        <v>32</v>
      </c>
      <c r="C6" s="377">
        <v>45142</v>
      </c>
      <c r="D6" s="378">
        <v>45142</v>
      </c>
      <c r="E6" s="184">
        <v>223</v>
      </c>
      <c r="F6" s="160">
        <v>489</v>
      </c>
      <c r="G6" s="159">
        <v>146</v>
      </c>
      <c r="H6" s="160">
        <v>62</v>
      </c>
      <c r="I6" s="159">
        <v>11</v>
      </c>
      <c r="J6" s="325">
        <v>2</v>
      </c>
      <c r="K6" s="161">
        <v>48</v>
      </c>
      <c r="L6" s="161">
        <v>268</v>
      </c>
    </row>
    <row r="7" spans="1:12" ht="19.5" customHeight="1">
      <c r="A7" s="1086"/>
      <c r="B7" s="1090"/>
      <c r="C7" s="379">
        <v>45143</v>
      </c>
      <c r="D7" s="380">
        <v>45143</v>
      </c>
      <c r="E7" s="244">
        <v>207</v>
      </c>
      <c r="F7" s="242">
        <v>489</v>
      </c>
      <c r="G7" s="241">
        <v>99</v>
      </c>
      <c r="H7" s="242">
        <v>33</v>
      </c>
      <c r="I7" s="241">
        <v>18</v>
      </c>
      <c r="J7" s="326">
        <v>2</v>
      </c>
      <c r="K7" s="243">
        <v>68</v>
      </c>
      <c r="L7" s="243">
        <v>219</v>
      </c>
    </row>
    <row r="8" spans="1:12" ht="19.5" customHeight="1" thickBot="1">
      <c r="A8" s="1086"/>
      <c r="B8" s="1093"/>
      <c r="C8" s="385">
        <v>45144</v>
      </c>
      <c r="D8" s="386">
        <v>45144</v>
      </c>
      <c r="E8" s="171">
        <v>222</v>
      </c>
      <c r="F8" s="163">
        <v>535</v>
      </c>
      <c r="G8" s="162">
        <v>93</v>
      </c>
      <c r="H8" s="163">
        <v>38</v>
      </c>
      <c r="I8" s="162">
        <v>15</v>
      </c>
      <c r="J8" s="173">
        <v>5</v>
      </c>
      <c r="K8" s="164">
        <v>10</v>
      </c>
      <c r="L8" s="164">
        <v>161</v>
      </c>
    </row>
    <row r="9" spans="1:12" ht="19.149999999999999" customHeight="1">
      <c r="A9" s="1086"/>
      <c r="B9" s="1094">
        <v>33</v>
      </c>
      <c r="C9" s="425">
        <v>45149</v>
      </c>
      <c r="D9" s="427">
        <v>45149</v>
      </c>
      <c r="E9" s="184">
        <v>122</v>
      </c>
      <c r="F9" s="160">
        <v>239</v>
      </c>
      <c r="G9" s="159">
        <v>117</v>
      </c>
      <c r="H9" s="160">
        <v>42</v>
      </c>
      <c r="I9" s="159">
        <v>14</v>
      </c>
      <c r="J9" s="325">
        <v>6</v>
      </c>
      <c r="K9" s="161">
        <v>5</v>
      </c>
      <c r="L9" s="161">
        <v>184</v>
      </c>
    </row>
    <row r="10" spans="1:12" ht="16.149999999999999" customHeight="1">
      <c r="A10" s="1086"/>
      <c r="B10" s="1090"/>
      <c r="C10" s="667">
        <v>45150</v>
      </c>
      <c r="D10" s="380">
        <v>45150</v>
      </c>
      <c r="E10" s="244">
        <v>167</v>
      </c>
      <c r="F10" s="242">
        <v>377</v>
      </c>
      <c r="G10" s="241">
        <v>131</v>
      </c>
      <c r="H10" s="242">
        <v>52</v>
      </c>
      <c r="I10" s="241">
        <v>15</v>
      </c>
      <c r="J10" s="326">
        <v>12</v>
      </c>
      <c r="K10" s="243">
        <v>19</v>
      </c>
      <c r="L10" s="243">
        <v>231</v>
      </c>
    </row>
    <row r="11" spans="1:12" ht="16.149999999999999" customHeight="1" thickBot="1">
      <c r="A11" s="1092"/>
      <c r="B11" s="1093"/>
      <c r="C11" s="383">
        <v>45151</v>
      </c>
      <c r="D11" s="386">
        <v>45151</v>
      </c>
      <c r="E11" s="171">
        <v>187</v>
      </c>
      <c r="F11" s="163">
        <v>401</v>
      </c>
      <c r="G11" s="162">
        <v>156</v>
      </c>
      <c r="H11" s="163">
        <v>60</v>
      </c>
      <c r="I11" s="162">
        <v>13</v>
      </c>
      <c r="J11" s="173">
        <v>3</v>
      </c>
      <c r="K11" s="164">
        <v>23</v>
      </c>
      <c r="L11" s="164">
        <v>255</v>
      </c>
    </row>
    <row r="12" spans="1:12" ht="20.65" customHeight="1" thickBot="1">
      <c r="A12" s="1142" t="s">
        <v>236</v>
      </c>
      <c r="B12" s="1143"/>
      <c r="C12" s="1143"/>
      <c r="D12" s="1144"/>
      <c r="E12" s="808">
        <f t="shared" ref="E12:K12" si="0">SUM(E6:E11)</f>
        <v>1128</v>
      </c>
      <c r="F12" s="183">
        <f t="shared" si="0"/>
        <v>2530</v>
      </c>
      <c r="G12" s="808">
        <f t="shared" si="0"/>
        <v>742</v>
      </c>
      <c r="H12" s="183">
        <f t="shared" si="0"/>
        <v>287</v>
      </c>
      <c r="I12" s="808">
        <f t="shared" si="0"/>
        <v>86</v>
      </c>
      <c r="J12" s="809">
        <f t="shared" si="0"/>
        <v>30</v>
      </c>
      <c r="K12" s="183">
        <f t="shared" si="0"/>
        <v>173</v>
      </c>
      <c r="L12" s="183">
        <f>SUM(L6:L11)</f>
        <v>1318</v>
      </c>
    </row>
    <row r="13" spans="1:12">
      <c r="A13" s="1145" t="s">
        <v>72</v>
      </c>
      <c r="B13" s="1146"/>
      <c r="C13" s="1146"/>
      <c r="D13" s="1147"/>
      <c r="E13" s="165">
        <v>764</v>
      </c>
      <c r="F13" s="166">
        <v>4553</v>
      </c>
      <c r="G13" s="165">
        <v>400</v>
      </c>
      <c r="H13" s="166">
        <v>53</v>
      </c>
      <c r="I13" s="165">
        <v>46</v>
      </c>
      <c r="J13" s="172">
        <v>10</v>
      </c>
      <c r="K13" s="167">
        <v>69</v>
      </c>
      <c r="L13" s="167">
        <v>579</v>
      </c>
    </row>
    <row r="14" spans="1:12">
      <c r="A14" s="1136" t="s">
        <v>73</v>
      </c>
      <c r="B14" s="1137"/>
      <c r="C14" s="1137"/>
      <c r="D14" s="1138"/>
      <c r="E14" s="168">
        <v>28</v>
      </c>
      <c r="F14" s="169">
        <v>67</v>
      </c>
      <c r="G14" s="168">
        <v>20</v>
      </c>
      <c r="H14" s="169">
        <v>7</v>
      </c>
      <c r="I14" s="168">
        <v>7</v>
      </c>
      <c r="J14" s="182">
        <v>3</v>
      </c>
      <c r="K14" s="170">
        <v>8</v>
      </c>
      <c r="L14" s="170">
        <v>24</v>
      </c>
    </row>
    <row r="15" spans="1:12">
      <c r="A15" s="1136" t="s">
        <v>74</v>
      </c>
      <c r="B15" s="1137"/>
      <c r="C15" s="1137"/>
      <c r="D15" s="1138"/>
      <c r="E15" s="175">
        <v>0.02</v>
      </c>
      <c r="F15" s="176">
        <v>0.03</v>
      </c>
      <c r="G15" s="175">
        <v>0.03</v>
      </c>
      <c r="H15" s="176">
        <v>0.02</v>
      </c>
      <c r="I15" s="175">
        <v>0.08</v>
      </c>
      <c r="J15" s="327">
        <v>0.1</v>
      </c>
      <c r="K15" s="177">
        <v>0.05</v>
      </c>
      <c r="L15" s="177">
        <v>0.02</v>
      </c>
    </row>
    <row r="16" spans="1:12" ht="13.5" thickBot="1">
      <c r="A16" s="1139" t="s">
        <v>75</v>
      </c>
      <c r="B16" s="1140"/>
      <c r="C16" s="1140"/>
      <c r="D16" s="1141"/>
      <c r="E16" s="162" t="s">
        <v>273</v>
      </c>
      <c r="F16" s="163" t="s">
        <v>274</v>
      </c>
      <c r="G16" s="162" t="s">
        <v>275</v>
      </c>
      <c r="H16" s="174" t="s">
        <v>276</v>
      </c>
      <c r="I16" s="162" t="s">
        <v>277</v>
      </c>
      <c r="J16" s="328" t="s">
        <v>278</v>
      </c>
      <c r="K16" s="324" t="s">
        <v>279</v>
      </c>
      <c r="L16" s="164" t="s">
        <v>280</v>
      </c>
    </row>
    <row r="17" spans="1:11" ht="15.75">
      <c r="A17" s="874"/>
      <c r="B17" s="874"/>
      <c r="C17" s="874"/>
      <c r="D17" s="1106"/>
      <c r="E17" s="1106"/>
      <c r="F17" s="1106"/>
      <c r="G17" s="1106"/>
      <c r="H17" s="1106"/>
      <c r="I17" s="874"/>
      <c r="J17" s="874"/>
      <c r="K17" s="874"/>
    </row>
  </sheetData>
  <mergeCells count="19">
    <mergeCell ref="B6:B8"/>
    <mergeCell ref="A13:D13"/>
    <mergeCell ref="A1:L1"/>
    <mergeCell ref="A2:L2"/>
    <mergeCell ref="A4:A5"/>
    <mergeCell ref="B4:B5"/>
    <mergeCell ref="C4:C5"/>
    <mergeCell ref="D4:D5"/>
    <mergeCell ref="E4:F4"/>
    <mergeCell ref="G4:H4"/>
    <mergeCell ref="L4:L5"/>
    <mergeCell ref="I4:K4"/>
    <mergeCell ref="B9:B11"/>
    <mergeCell ref="A6:A11"/>
    <mergeCell ref="A14:D14"/>
    <mergeCell ref="A15:D15"/>
    <mergeCell ref="A16:D16"/>
    <mergeCell ref="D17:H17"/>
    <mergeCell ref="A12:D12"/>
  </mergeCells>
  <pageMargins left="0.32" right="0.25" top="0.46" bottom="0.45" header="0.3" footer="0.3"/>
  <pageSetup scale="76" orientation="landscape" r:id="rId1"/>
  <headerFooter>
    <oddFooter>&amp;L&amp;8&amp;D&amp;R&amp;8&amp;F  &amp;A</oddFooter>
  </headerFooter>
  <rowBreaks count="1" manualBreakCount="1">
    <brk id="1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B06A-C072-4FA9-9682-D6526F50DBA0}">
  <dimension ref="A1:Q15"/>
  <sheetViews>
    <sheetView workbookViewId="0">
      <selection sqref="A1:I1"/>
    </sheetView>
  </sheetViews>
  <sheetFormatPr defaultColWidth="8.83203125" defaultRowHeight="12.75"/>
  <cols>
    <col min="1" max="1" width="8.83203125" style="24"/>
    <col min="2" max="2" width="30" style="24" customWidth="1"/>
    <col min="3" max="6" width="11.5" style="24" customWidth="1"/>
    <col min="7" max="7" width="8.83203125" style="24"/>
    <col min="8" max="8" width="11.33203125" style="24" customWidth="1"/>
    <col min="9" max="9" width="9.33203125" style="24" customWidth="1"/>
    <col min="10" max="10" width="8.83203125" style="24"/>
    <col min="11" max="11" width="14.6640625" style="24" customWidth="1"/>
    <col min="12" max="12" width="17.33203125" style="24" customWidth="1"/>
    <col min="13" max="14" width="8.83203125" style="24"/>
    <col min="15" max="15" width="11.83203125" style="24" customWidth="1"/>
    <col min="16" max="16" width="12.83203125" style="24" customWidth="1"/>
    <col min="17" max="16384" width="8.83203125" style="24"/>
  </cols>
  <sheetData>
    <row r="1" spans="1:17" ht="13.15" customHeight="1">
      <c r="A1" s="991" t="s">
        <v>281</v>
      </c>
      <c r="B1" s="991"/>
      <c r="C1" s="991"/>
      <c r="D1" s="991"/>
      <c r="E1" s="991"/>
      <c r="F1" s="991"/>
      <c r="G1" s="991"/>
      <c r="H1" s="991"/>
      <c r="I1" s="991"/>
    </row>
    <row r="2" spans="1:17">
      <c r="A2" s="991" t="s">
        <v>282</v>
      </c>
      <c r="B2" s="991"/>
      <c r="C2" s="991"/>
      <c r="D2" s="991"/>
      <c r="E2" s="991"/>
      <c r="F2" s="991"/>
      <c r="G2" s="991"/>
      <c r="H2" s="991"/>
      <c r="I2" s="991"/>
    </row>
    <row r="3" spans="1:17" ht="13.5" thickBot="1"/>
    <row r="4" spans="1:17" ht="14.45" customHeight="1" thickBot="1">
      <c r="A4" s="1158" t="s">
        <v>283</v>
      </c>
      <c r="B4" s="1159"/>
      <c r="C4" s="1159"/>
      <c r="D4" s="1159"/>
      <c r="E4" s="1159"/>
      <c r="F4" s="1159"/>
      <c r="G4" s="1159"/>
      <c r="H4" s="1159"/>
      <c r="I4" s="1160"/>
      <c r="K4" s="301" t="s">
        <v>284</v>
      </c>
      <c r="L4" s="301"/>
      <c r="M4" s="301"/>
      <c r="N4" s="301"/>
      <c r="O4" s="301"/>
      <c r="P4" s="301"/>
      <c r="Q4" s="302"/>
    </row>
    <row r="5" spans="1:17" ht="33.75" customHeight="1" thickBot="1">
      <c r="A5" s="1161"/>
      <c r="B5" s="1162"/>
      <c r="C5" s="1162"/>
      <c r="D5" s="1162"/>
      <c r="E5" s="1162"/>
      <c r="F5" s="1162"/>
      <c r="G5" s="1162"/>
      <c r="H5" s="1162"/>
      <c r="I5" s="1163"/>
      <c r="K5" s="1164" t="s">
        <v>285</v>
      </c>
      <c r="L5" s="303" t="s">
        <v>286</v>
      </c>
      <c r="M5" s="304" t="s">
        <v>287</v>
      </c>
      <c r="N5" s="305" t="s">
        <v>288</v>
      </c>
      <c r="O5" s="305" t="s">
        <v>289</v>
      </c>
      <c r="P5" s="303" t="s">
        <v>290</v>
      </c>
      <c r="Q5" s="306" t="s">
        <v>117</v>
      </c>
    </row>
    <row r="6" spans="1:17" ht="15.6" customHeight="1">
      <c r="A6" s="967" t="s">
        <v>109</v>
      </c>
      <c r="B6" s="968"/>
      <c r="C6" s="973" t="s">
        <v>110</v>
      </c>
      <c r="D6" s="973"/>
      <c r="E6" s="973"/>
      <c r="F6" s="973"/>
      <c r="G6" s="974"/>
      <c r="H6" s="975" t="s">
        <v>111</v>
      </c>
      <c r="I6" s="978" t="s">
        <v>112</v>
      </c>
      <c r="K6" s="1165"/>
      <c r="L6" s="307" t="s">
        <v>127</v>
      </c>
      <c r="M6" s="308">
        <v>194</v>
      </c>
      <c r="N6" s="309">
        <v>73</v>
      </c>
      <c r="O6" s="309">
        <v>6</v>
      </c>
      <c r="P6" s="310">
        <v>1</v>
      </c>
      <c r="Q6" s="311">
        <f>SUM(M6:P6)</f>
        <v>274</v>
      </c>
    </row>
    <row r="7" spans="1:17" ht="19.5" customHeight="1" thickBot="1">
      <c r="A7" s="969"/>
      <c r="B7" s="970"/>
      <c r="C7" s="981" t="s">
        <v>113</v>
      </c>
      <c r="D7" s="948" t="s">
        <v>114</v>
      </c>
      <c r="E7" s="948" t="s">
        <v>115</v>
      </c>
      <c r="F7" s="950" t="s">
        <v>116</v>
      </c>
      <c r="G7" s="952" t="s">
        <v>117</v>
      </c>
      <c r="H7" s="976"/>
      <c r="I7" s="979"/>
      <c r="K7" s="1166"/>
      <c r="L7" s="312" t="s">
        <v>128</v>
      </c>
      <c r="M7" s="313">
        <v>1</v>
      </c>
      <c r="N7" s="314">
        <v>1</v>
      </c>
      <c r="O7" s="314">
        <v>23</v>
      </c>
      <c r="P7" s="315">
        <v>4</v>
      </c>
      <c r="Q7" s="316">
        <f>SUM(M7:P7)</f>
        <v>29</v>
      </c>
    </row>
    <row r="8" spans="1:17" ht="33" customHeight="1" thickBot="1">
      <c r="A8" s="971"/>
      <c r="B8" s="972"/>
      <c r="C8" s="982"/>
      <c r="D8" s="949"/>
      <c r="E8" s="949"/>
      <c r="F8" s="951"/>
      <c r="G8" s="953"/>
      <c r="H8" s="977"/>
      <c r="I8" s="980"/>
      <c r="K8" s="1156" t="s">
        <v>291</v>
      </c>
      <c r="L8" s="1157"/>
      <c r="M8" s="317">
        <f>SUM(M6:M7)</f>
        <v>195</v>
      </c>
      <c r="N8" s="318">
        <f>SUM(N6:N7)</f>
        <v>74</v>
      </c>
      <c r="O8" s="318">
        <f>SUM(O6:O7)</f>
        <v>29</v>
      </c>
      <c r="P8" s="319">
        <f>SUM(P6:P7)</f>
        <v>5</v>
      </c>
      <c r="Q8" s="320">
        <f>SUM(Q6:Q7)</f>
        <v>303</v>
      </c>
    </row>
    <row r="9" spans="1:17" ht="40.5" customHeight="1" thickBot="1">
      <c r="A9" s="954" t="s">
        <v>292</v>
      </c>
      <c r="B9" s="955"/>
      <c r="C9" s="34">
        <v>3</v>
      </c>
      <c r="D9" s="35">
        <v>1</v>
      </c>
      <c r="E9" s="35">
        <v>0</v>
      </c>
      <c r="F9" s="36">
        <v>0</v>
      </c>
      <c r="G9" s="51">
        <f>SUM(C9:F9)</f>
        <v>4</v>
      </c>
      <c r="H9" s="38">
        <f>C9/(SUM(C9:D9))</f>
        <v>0.75</v>
      </c>
      <c r="I9" s="899">
        <f>SUM(C9,E9)/G9</f>
        <v>0.75</v>
      </c>
      <c r="K9" s="956" t="s">
        <v>119</v>
      </c>
      <c r="L9" s="957"/>
      <c r="M9" s="39">
        <f>M8/$Q$8</f>
        <v>0.64356435643564358</v>
      </c>
      <c r="N9" s="321">
        <f t="shared" ref="N9:Q9" si="0">N8/$Q$8</f>
        <v>0.24422442244224424</v>
      </c>
      <c r="O9" s="321">
        <f t="shared" si="0"/>
        <v>9.5709570957095716E-2</v>
      </c>
      <c r="P9" s="322">
        <f t="shared" si="0"/>
        <v>1.65016501650165E-2</v>
      </c>
      <c r="Q9" s="323">
        <f t="shared" si="0"/>
        <v>1</v>
      </c>
    </row>
    <row r="10" spans="1:17" ht="30" customHeight="1" thickBot="1">
      <c r="A10" s="956" t="s">
        <v>119</v>
      </c>
      <c r="B10" s="957"/>
      <c r="C10" s="39">
        <f>C9/$G$9</f>
        <v>0.75</v>
      </c>
      <c r="D10" s="40">
        <f>D9/G9</f>
        <v>0.25</v>
      </c>
      <c r="E10" s="40">
        <f>E9/G9</f>
        <v>0</v>
      </c>
      <c r="F10" s="41">
        <f>F9/G9</f>
        <v>0</v>
      </c>
      <c r="G10" s="899">
        <f>G9/$G$9</f>
        <v>1</v>
      </c>
      <c r="H10" s="943"/>
      <c r="I10" s="944"/>
    </row>
    <row r="11" spans="1:17" ht="13.15" customHeight="1">
      <c r="A11" s="958" t="s">
        <v>120</v>
      </c>
      <c r="B11" s="985"/>
      <c r="C11" s="985"/>
      <c r="D11" s="985"/>
      <c r="E11" s="985"/>
      <c r="F11" s="985"/>
      <c r="G11" s="985"/>
      <c r="H11" s="985"/>
      <c r="I11" s="986"/>
    </row>
    <row r="12" spans="1:17" ht="13.5" thickBot="1">
      <c r="A12" s="1153"/>
      <c r="B12" s="1154"/>
      <c r="C12" s="1154"/>
      <c r="D12" s="1154"/>
      <c r="E12" s="1154"/>
      <c r="F12" s="1154"/>
      <c r="G12" s="1154"/>
      <c r="H12" s="1154"/>
      <c r="I12" s="1155"/>
    </row>
    <row r="13" spans="1:17" ht="13.15" customHeight="1">
      <c r="A13" s="958" t="s">
        <v>293</v>
      </c>
      <c r="B13" s="985"/>
      <c r="C13" s="985"/>
      <c r="D13" s="985"/>
      <c r="E13" s="985"/>
      <c r="F13" s="985"/>
      <c r="G13" s="985"/>
      <c r="H13" s="985"/>
      <c r="I13" s="986"/>
    </row>
    <row r="14" spans="1:17">
      <c r="A14" s="992"/>
      <c r="B14" s="993"/>
      <c r="C14" s="993"/>
      <c r="D14" s="993"/>
      <c r="E14" s="993"/>
      <c r="F14" s="993"/>
      <c r="G14" s="993"/>
      <c r="H14" s="993"/>
      <c r="I14" s="994"/>
    </row>
    <row r="15" spans="1:17" ht="17.649999999999999" customHeight="1" thickBot="1">
      <c r="A15" s="995"/>
      <c r="B15" s="996"/>
      <c r="C15" s="996"/>
      <c r="D15" s="996"/>
      <c r="E15" s="996"/>
      <c r="F15" s="996"/>
      <c r="G15" s="996"/>
      <c r="H15" s="996"/>
      <c r="I15" s="997"/>
    </row>
  </sheetData>
  <mergeCells count="20">
    <mergeCell ref="K8:L8"/>
    <mergeCell ref="A9:B9"/>
    <mergeCell ref="K9:L9"/>
    <mergeCell ref="A1:I1"/>
    <mergeCell ref="A2:I2"/>
    <mergeCell ref="A4:I5"/>
    <mergeCell ref="K5:K7"/>
    <mergeCell ref="A6:B8"/>
    <mergeCell ref="C6:G6"/>
    <mergeCell ref="H6:H8"/>
    <mergeCell ref="I6:I8"/>
    <mergeCell ref="C7:C8"/>
    <mergeCell ref="D7:D8"/>
    <mergeCell ref="A10:B10"/>
    <mergeCell ref="H10:I10"/>
    <mergeCell ref="A11:I12"/>
    <mergeCell ref="A13:I15"/>
    <mergeCell ref="E7:E8"/>
    <mergeCell ref="F7:F8"/>
    <mergeCell ref="G7:G8"/>
  </mergeCells>
  <pageMargins left="0.7" right="0.7" top="0.75" bottom="0.75" header="0.3" footer="0.3"/>
  <pageSetup scale="6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90"/>
  <sheetViews>
    <sheetView tabSelected="1" zoomScale="85" zoomScaleNormal="85" workbookViewId="0">
      <pane xSplit="4" ySplit="5" topLeftCell="E12" activePane="bottomRight" state="frozen"/>
      <selection pane="topRight" activeCell="E1" sqref="E1"/>
      <selection pane="bottomLeft" activeCell="A6" sqref="A6"/>
      <selection pane="bottomRight" activeCell="G19" sqref="G19:G26"/>
    </sheetView>
  </sheetViews>
  <sheetFormatPr defaultRowHeight="12.75"/>
  <cols>
    <col min="1" max="1" width="13.1640625" customWidth="1"/>
    <col min="2" max="2" width="16.5" customWidth="1"/>
    <col min="3" max="3" width="11.1640625" customWidth="1"/>
    <col min="4" max="4" width="11" customWidth="1"/>
    <col min="5" max="5" width="17" customWidth="1"/>
    <col min="6" max="7" width="18.6640625" customWidth="1"/>
    <col min="8" max="8" width="14.33203125" bestFit="1" customWidth="1"/>
    <col min="9" max="9" width="10.83203125" customWidth="1"/>
    <col min="10" max="10" width="14.33203125" customWidth="1"/>
    <col min="11" max="11" width="14.83203125" customWidth="1"/>
    <col min="12" max="12" width="15.83203125" customWidth="1"/>
    <col min="13" max="13" width="14.33203125" bestFit="1" customWidth="1"/>
    <col min="14" max="14" width="15" customWidth="1"/>
    <col min="15" max="15" width="12.83203125" customWidth="1"/>
    <col min="16" max="16" width="12.6640625" customWidth="1"/>
    <col min="17" max="17" width="14.33203125" bestFit="1" customWidth="1"/>
    <col min="18" max="18" width="15.83203125" customWidth="1"/>
    <col min="19" max="19" width="15" customWidth="1"/>
    <col min="20" max="20" width="13" customWidth="1"/>
    <col min="21" max="21" width="10.83203125" customWidth="1"/>
    <col min="22" max="22" width="11.5" customWidth="1"/>
    <col min="23" max="23" width="18" customWidth="1"/>
    <col min="28" max="28" width="15.33203125" customWidth="1"/>
  </cols>
  <sheetData>
    <row r="1" spans="1:23" ht="15.75">
      <c r="A1" s="902" t="s">
        <v>54</v>
      </c>
      <c r="B1" s="902"/>
      <c r="C1" s="902"/>
      <c r="D1" s="902"/>
      <c r="E1" s="902"/>
      <c r="F1" s="902"/>
      <c r="G1" s="902"/>
      <c r="H1" s="902"/>
      <c r="I1" s="902"/>
      <c r="J1" s="902"/>
      <c r="K1" s="902"/>
      <c r="L1" s="902"/>
      <c r="M1" s="902"/>
      <c r="N1" s="902"/>
      <c r="O1" s="902"/>
      <c r="P1" s="902"/>
      <c r="Q1" s="902"/>
      <c r="R1" s="902"/>
    </row>
    <row r="2" spans="1:23" ht="15.75">
      <c r="A2" s="902" t="s">
        <v>294</v>
      </c>
      <c r="B2" s="902"/>
      <c r="C2" s="902"/>
      <c r="D2" s="902"/>
      <c r="E2" s="902"/>
      <c r="F2" s="902"/>
      <c r="G2" s="902"/>
      <c r="H2" s="902"/>
      <c r="I2" s="902"/>
      <c r="J2" s="902"/>
      <c r="K2" s="902"/>
      <c r="L2" s="902"/>
      <c r="M2" s="902"/>
      <c r="N2" s="902"/>
      <c r="O2" s="902"/>
      <c r="P2" s="902"/>
      <c r="Q2" s="902"/>
      <c r="R2" s="902"/>
    </row>
    <row r="3" spans="1:23" ht="15.75" thickBot="1">
      <c r="M3" s="49"/>
      <c r="N3" s="48"/>
      <c r="O3" s="48"/>
      <c r="P3" s="48"/>
      <c r="Q3" s="48"/>
      <c r="R3" s="48"/>
      <c r="S3" s="938" t="s">
        <v>87</v>
      </c>
      <c r="T3" s="939"/>
      <c r="U3" s="939"/>
      <c r="V3" s="939"/>
      <c r="W3" s="939"/>
    </row>
    <row r="4" spans="1:23" ht="19.149999999999999" customHeight="1">
      <c r="A4" s="1018" t="s">
        <v>57</v>
      </c>
      <c r="B4" s="1024" t="s">
        <v>159</v>
      </c>
      <c r="C4" s="1024" t="s">
        <v>160</v>
      </c>
      <c r="D4" s="1026" t="s">
        <v>161</v>
      </c>
      <c r="E4" s="1016" t="s">
        <v>162</v>
      </c>
      <c r="F4" s="1017"/>
      <c r="G4" s="900"/>
      <c r="H4" s="1016" t="s">
        <v>163</v>
      </c>
      <c r="I4" s="1017"/>
      <c r="J4" s="1016" t="s">
        <v>164</v>
      </c>
      <c r="K4" s="1017"/>
      <c r="L4" s="1018" t="s">
        <v>165</v>
      </c>
      <c r="M4" s="1023" t="s">
        <v>88</v>
      </c>
      <c r="N4" s="1017"/>
      <c r="O4" s="1016" t="s">
        <v>89</v>
      </c>
      <c r="P4" s="1023"/>
      <c r="Q4" s="1017"/>
      <c r="R4" s="1018" t="s">
        <v>166</v>
      </c>
      <c r="S4" s="906" t="s">
        <v>91</v>
      </c>
      <c r="T4" s="940" t="s">
        <v>92</v>
      </c>
      <c r="U4" s="906" t="s">
        <v>93</v>
      </c>
      <c r="V4" s="942" t="s">
        <v>94</v>
      </c>
      <c r="W4" s="912" t="s">
        <v>95</v>
      </c>
    </row>
    <row r="5" spans="1:23" ht="19.149999999999999" customHeight="1" thickBot="1">
      <c r="A5" s="1019"/>
      <c r="B5" s="1171"/>
      <c r="C5" s="1171"/>
      <c r="D5" s="1172"/>
      <c r="E5" s="4" t="s">
        <v>65</v>
      </c>
      <c r="F5" s="5" t="s">
        <v>66</v>
      </c>
      <c r="G5" s="1181"/>
      <c r="H5" s="4" t="s">
        <v>67</v>
      </c>
      <c r="I5" s="5" t="s">
        <v>68</v>
      </c>
      <c r="J5" s="6" t="s">
        <v>67</v>
      </c>
      <c r="K5" s="7" t="s">
        <v>68</v>
      </c>
      <c r="L5" s="1170"/>
      <c r="M5" s="144" t="s">
        <v>67</v>
      </c>
      <c r="N5" s="53" t="s">
        <v>68</v>
      </c>
      <c r="O5" s="54" t="s">
        <v>67</v>
      </c>
      <c r="P5" s="153" t="s">
        <v>68</v>
      </c>
      <c r="Q5" s="152" t="s">
        <v>167</v>
      </c>
      <c r="R5" s="1019"/>
      <c r="S5" s="907"/>
      <c r="T5" s="941"/>
      <c r="U5" s="907"/>
      <c r="V5" s="913"/>
      <c r="W5" s="937"/>
    </row>
    <row r="6" spans="1:23" ht="17.100000000000001" customHeight="1">
      <c r="A6" s="777" t="s">
        <v>254</v>
      </c>
      <c r="B6" s="922">
        <v>23</v>
      </c>
      <c r="C6" s="425">
        <v>45078</v>
      </c>
      <c r="D6" s="427">
        <v>45078</v>
      </c>
      <c r="E6" s="618">
        <v>542</v>
      </c>
      <c r="F6" s="622">
        <v>1103</v>
      </c>
      <c r="G6" s="1182"/>
      <c r="H6" s="263">
        <v>384</v>
      </c>
      <c r="I6" s="76">
        <v>0</v>
      </c>
      <c r="J6" s="264">
        <v>351</v>
      </c>
      <c r="K6" s="265">
        <v>404</v>
      </c>
      <c r="L6" s="58">
        <v>1139</v>
      </c>
      <c r="M6" s="145">
        <v>26</v>
      </c>
      <c r="N6" s="148">
        <v>10</v>
      </c>
      <c r="O6" s="145">
        <v>0</v>
      </c>
      <c r="P6" s="132">
        <v>0</v>
      </c>
      <c r="Q6" s="148">
        <v>6</v>
      </c>
      <c r="R6" s="598">
        <v>42</v>
      </c>
      <c r="S6" s="618"/>
      <c r="T6" s="622"/>
      <c r="U6" s="627"/>
      <c r="V6" s="622"/>
      <c r="W6" s="284"/>
    </row>
    <row r="7" spans="1:23" ht="17.100000000000001" customHeight="1">
      <c r="A7" s="778"/>
      <c r="B7" s="919"/>
      <c r="C7" s="426">
        <v>45079</v>
      </c>
      <c r="D7" s="428">
        <v>45079</v>
      </c>
      <c r="E7" s="619">
        <v>449</v>
      </c>
      <c r="F7" s="623">
        <v>833</v>
      </c>
      <c r="G7" s="1183"/>
      <c r="H7" s="267">
        <v>227</v>
      </c>
      <c r="I7" s="79">
        <v>0</v>
      </c>
      <c r="J7" s="292">
        <v>208</v>
      </c>
      <c r="K7" s="266">
        <v>239</v>
      </c>
      <c r="L7" s="291">
        <v>674</v>
      </c>
      <c r="M7" s="411">
        <v>17</v>
      </c>
      <c r="N7" s="149">
        <v>10</v>
      </c>
      <c r="O7" s="131">
        <v>2</v>
      </c>
      <c r="P7" s="128">
        <v>0</v>
      </c>
      <c r="Q7" s="149">
        <v>11</v>
      </c>
      <c r="R7" s="596">
        <v>40</v>
      </c>
      <c r="S7" s="619"/>
      <c r="T7" s="623"/>
      <c r="U7" s="629"/>
      <c r="V7" s="623"/>
      <c r="W7" s="402"/>
    </row>
    <row r="8" spans="1:23" ht="17.100000000000001" customHeight="1">
      <c r="A8" s="778"/>
      <c r="B8" s="919"/>
      <c r="C8" s="426">
        <v>45080</v>
      </c>
      <c r="D8" s="428">
        <v>45080</v>
      </c>
      <c r="E8" s="619">
        <v>477</v>
      </c>
      <c r="F8" s="623">
        <v>1006</v>
      </c>
      <c r="G8" s="1183"/>
      <c r="H8" s="267">
        <v>130</v>
      </c>
      <c r="I8" s="79">
        <v>2</v>
      </c>
      <c r="J8" s="292">
        <v>119</v>
      </c>
      <c r="K8" s="266">
        <v>134</v>
      </c>
      <c r="L8" s="291">
        <v>385</v>
      </c>
      <c r="M8" s="411">
        <v>37</v>
      </c>
      <c r="N8" s="149">
        <v>22</v>
      </c>
      <c r="O8" s="131">
        <v>4</v>
      </c>
      <c r="P8" s="128">
        <v>4</v>
      </c>
      <c r="Q8" s="149">
        <v>4</v>
      </c>
      <c r="R8" s="596">
        <v>71</v>
      </c>
      <c r="S8" s="619"/>
      <c r="T8" s="623"/>
      <c r="U8" s="629"/>
      <c r="V8" s="623"/>
      <c r="W8" s="402"/>
    </row>
    <row r="9" spans="1:23" ht="17.100000000000001" customHeight="1">
      <c r="A9" s="778"/>
      <c r="B9" s="920"/>
      <c r="C9" s="426">
        <v>45081</v>
      </c>
      <c r="D9" s="428">
        <v>45081</v>
      </c>
      <c r="E9" s="619">
        <v>310</v>
      </c>
      <c r="F9" s="623">
        <v>660</v>
      </c>
      <c r="G9" s="1183"/>
      <c r="H9" s="267">
        <v>26</v>
      </c>
      <c r="I9" s="79">
        <v>0</v>
      </c>
      <c r="J9" s="292">
        <v>24</v>
      </c>
      <c r="K9" s="266">
        <v>27</v>
      </c>
      <c r="L9" s="291">
        <v>77</v>
      </c>
      <c r="M9" s="411">
        <v>54</v>
      </c>
      <c r="N9" s="149">
        <v>24</v>
      </c>
      <c r="O9" s="131">
        <v>4</v>
      </c>
      <c r="P9" s="128">
        <v>6</v>
      </c>
      <c r="Q9" s="149">
        <v>9</v>
      </c>
      <c r="R9" s="596">
        <v>97</v>
      </c>
      <c r="S9" s="619"/>
      <c r="T9" s="623"/>
      <c r="U9" s="629"/>
      <c r="V9" s="623"/>
      <c r="W9" s="402"/>
    </row>
    <row r="10" spans="1:23" ht="17.100000000000001" customHeight="1">
      <c r="A10" s="778"/>
      <c r="B10" s="918">
        <v>24</v>
      </c>
      <c r="C10" s="426">
        <v>45085</v>
      </c>
      <c r="D10" s="428">
        <v>45085</v>
      </c>
      <c r="E10" s="619">
        <v>215</v>
      </c>
      <c r="F10" s="623">
        <v>394</v>
      </c>
      <c r="G10" s="1183"/>
      <c r="H10" s="267">
        <v>74</v>
      </c>
      <c r="I10" s="79">
        <v>0</v>
      </c>
      <c r="J10" s="292">
        <v>68</v>
      </c>
      <c r="K10" s="266">
        <v>78</v>
      </c>
      <c r="L10" s="291">
        <v>220</v>
      </c>
      <c r="M10" s="411">
        <v>25</v>
      </c>
      <c r="N10" s="149">
        <v>8</v>
      </c>
      <c r="O10" s="131">
        <v>6</v>
      </c>
      <c r="P10" s="128">
        <v>0</v>
      </c>
      <c r="Q10" s="149">
        <v>4</v>
      </c>
      <c r="R10" s="596">
        <v>43</v>
      </c>
      <c r="S10" s="625"/>
      <c r="T10" s="626"/>
      <c r="U10" s="628"/>
      <c r="V10" s="626"/>
      <c r="W10" s="651"/>
    </row>
    <row r="11" spans="1:23" ht="17.100000000000001" customHeight="1">
      <c r="A11" s="778"/>
      <c r="B11" s="919"/>
      <c r="C11" s="426">
        <v>45086</v>
      </c>
      <c r="D11" s="428">
        <v>45086</v>
      </c>
      <c r="E11" s="619">
        <v>163</v>
      </c>
      <c r="F11" s="623">
        <v>314</v>
      </c>
      <c r="G11" s="1183"/>
      <c r="H11" s="267">
        <v>25</v>
      </c>
      <c r="I11" s="79">
        <v>2</v>
      </c>
      <c r="J11" s="292">
        <v>23</v>
      </c>
      <c r="K11" s="266">
        <v>24</v>
      </c>
      <c r="L11" s="291">
        <v>74</v>
      </c>
      <c r="M11" s="411">
        <v>10</v>
      </c>
      <c r="N11" s="149">
        <v>10</v>
      </c>
      <c r="O11" s="131">
        <v>0</v>
      </c>
      <c r="P11" s="128">
        <v>2</v>
      </c>
      <c r="Q11" s="149">
        <v>4</v>
      </c>
      <c r="R11" s="596">
        <v>26</v>
      </c>
      <c r="S11" s="625"/>
      <c r="T11" s="626"/>
      <c r="U11" s="628"/>
      <c r="V11" s="626"/>
      <c r="W11" s="651"/>
    </row>
    <row r="12" spans="1:23" ht="17.100000000000001" customHeight="1">
      <c r="A12" s="778"/>
      <c r="B12" s="919"/>
      <c r="C12" s="426">
        <v>45087</v>
      </c>
      <c r="D12" s="428">
        <v>45087</v>
      </c>
      <c r="E12" s="619">
        <v>320</v>
      </c>
      <c r="F12" s="623">
        <v>682</v>
      </c>
      <c r="G12" s="1183"/>
      <c r="H12" s="267">
        <v>63</v>
      </c>
      <c r="I12" s="79">
        <v>0</v>
      </c>
      <c r="J12" s="292">
        <v>58</v>
      </c>
      <c r="K12" s="266">
        <v>66</v>
      </c>
      <c r="L12" s="291">
        <v>187</v>
      </c>
      <c r="M12" s="411">
        <v>19</v>
      </c>
      <c r="N12" s="149">
        <v>4</v>
      </c>
      <c r="O12" s="131">
        <v>9</v>
      </c>
      <c r="P12" s="128">
        <v>0</v>
      </c>
      <c r="Q12" s="149">
        <v>2</v>
      </c>
      <c r="R12" s="596">
        <v>34</v>
      </c>
      <c r="S12" s="625"/>
      <c r="T12" s="626"/>
      <c r="U12" s="628"/>
      <c r="V12" s="626"/>
      <c r="W12" s="651"/>
    </row>
    <row r="13" spans="1:23" ht="17.100000000000001" customHeight="1" thickBot="1">
      <c r="A13" s="778"/>
      <c r="B13" s="920"/>
      <c r="C13" s="426">
        <v>45088</v>
      </c>
      <c r="D13" s="428">
        <v>45088</v>
      </c>
      <c r="E13" s="619">
        <v>306</v>
      </c>
      <c r="F13" s="623">
        <v>597</v>
      </c>
      <c r="G13" s="1183"/>
      <c r="H13" s="267">
        <v>55</v>
      </c>
      <c r="I13" s="79">
        <v>0</v>
      </c>
      <c r="J13" s="292">
        <v>50</v>
      </c>
      <c r="K13" s="266">
        <v>58</v>
      </c>
      <c r="L13" s="291">
        <v>163</v>
      </c>
      <c r="M13" s="411">
        <v>5</v>
      </c>
      <c r="N13" s="149">
        <v>2</v>
      </c>
      <c r="O13" s="131">
        <v>0</v>
      </c>
      <c r="P13" s="128">
        <v>0</v>
      </c>
      <c r="Q13" s="149">
        <v>0</v>
      </c>
      <c r="R13" s="596">
        <v>7</v>
      </c>
      <c r="S13" s="625"/>
      <c r="T13" s="626"/>
      <c r="U13" s="628"/>
      <c r="V13" s="626"/>
      <c r="W13" s="651"/>
    </row>
    <row r="14" spans="1:23" s="33" customFormat="1" ht="17.100000000000001" customHeight="1" thickBot="1">
      <c r="A14" s="1037" t="s">
        <v>295</v>
      </c>
      <c r="B14" s="1038"/>
      <c r="C14" s="1038"/>
      <c r="D14" s="1039"/>
      <c r="E14" s="334">
        <f t="shared" ref="E14:W14" si="0">SUM(E6:E13)</f>
        <v>2782</v>
      </c>
      <c r="F14" s="335">
        <f t="shared" si="0"/>
        <v>5589</v>
      </c>
      <c r="G14" s="335"/>
      <c r="H14" s="334">
        <f t="shared" si="0"/>
        <v>984</v>
      </c>
      <c r="I14" s="335">
        <f t="shared" si="0"/>
        <v>4</v>
      </c>
      <c r="J14" s="334">
        <f t="shared" si="0"/>
        <v>901</v>
      </c>
      <c r="K14" s="335">
        <f t="shared" si="0"/>
        <v>1030</v>
      </c>
      <c r="L14" s="336">
        <f t="shared" si="0"/>
        <v>2919</v>
      </c>
      <c r="M14" s="337">
        <f t="shared" si="0"/>
        <v>193</v>
      </c>
      <c r="N14" s="338">
        <f t="shared" si="0"/>
        <v>90</v>
      </c>
      <c r="O14" s="337">
        <f t="shared" si="0"/>
        <v>25</v>
      </c>
      <c r="P14" s="339">
        <f t="shared" si="0"/>
        <v>12</v>
      </c>
      <c r="Q14" s="338">
        <f t="shared" si="0"/>
        <v>40</v>
      </c>
      <c r="R14" s="340">
        <f t="shared" si="0"/>
        <v>360</v>
      </c>
      <c r="S14" s="785">
        <f t="shared" si="0"/>
        <v>0</v>
      </c>
      <c r="T14" s="786">
        <f t="shared" si="0"/>
        <v>0</v>
      </c>
      <c r="U14" s="787">
        <f t="shared" si="0"/>
        <v>0</v>
      </c>
      <c r="V14" s="786">
        <f t="shared" si="0"/>
        <v>0</v>
      </c>
      <c r="W14" s="788">
        <f t="shared" si="0"/>
        <v>0</v>
      </c>
    </row>
    <row r="15" spans="1:23" s="33" customFormat="1" ht="17.100000000000001" customHeight="1">
      <c r="A15" s="1028" t="s">
        <v>72</v>
      </c>
      <c r="B15" s="1029"/>
      <c r="C15" s="1029"/>
      <c r="D15" s="1030"/>
      <c r="E15" s="341">
        <v>16039</v>
      </c>
      <c r="F15" s="342">
        <v>152867</v>
      </c>
      <c r="G15" s="342"/>
      <c r="H15" s="341">
        <v>2382</v>
      </c>
      <c r="I15" s="343">
        <v>2</v>
      </c>
      <c r="J15" s="341">
        <v>219136</v>
      </c>
      <c r="K15" s="344">
        <v>108821</v>
      </c>
      <c r="L15" s="345">
        <v>470353</v>
      </c>
      <c r="M15" s="342">
        <v>1017</v>
      </c>
      <c r="N15" s="346">
        <v>312</v>
      </c>
      <c r="O15" s="342">
        <v>36</v>
      </c>
      <c r="P15" s="347">
        <v>12</v>
      </c>
      <c r="Q15" s="346">
        <v>31</v>
      </c>
      <c r="R15" s="348">
        <v>1409</v>
      </c>
      <c r="S15" s="620"/>
      <c r="T15" s="621"/>
      <c r="U15" s="632"/>
      <c r="V15" s="621"/>
      <c r="W15" s="256"/>
    </row>
    <row r="16" spans="1:23" s="33" customFormat="1" ht="17.100000000000001" customHeight="1">
      <c r="A16" s="1031" t="s">
        <v>73</v>
      </c>
      <c r="B16" s="1032"/>
      <c r="C16" s="1032"/>
      <c r="D16" s="1033"/>
      <c r="E16" s="349">
        <v>127</v>
      </c>
      <c r="F16" s="350">
        <v>391</v>
      </c>
      <c r="G16" s="350"/>
      <c r="H16" s="351">
        <v>49</v>
      </c>
      <c r="I16" s="352">
        <v>1</v>
      </c>
      <c r="J16" s="349">
        <v>468</v>
      </c>
      <c r="K16" s="353">
        <v>330</v>
      </c>
      <c r="L16" s="666">
        <v>686</v>
      </c>
      <c r="M16" s="354">
        <v>32</v>
      </c>
      <c r="N16" s="355">
        <v>18</v>
      </c>
      <c r="O16" s="354">
        <v>6</v>
      </c>
      <c r="P16" s="356">
        <v>3</v>
      </c>
      <c r="Q16" s="355">
        <v>6</v>
      </c>
      <c r="R16" s="357">
        <v>38</v>
      </c>
      <c r="S16" s="624">
        <f>SQRT(S15)</f>
        <v>0</v>
      </c>
      <c r="T16" s="630">
        <f>SQRT(T15)</f>
        <v>0</v>
      </c>
      <c r="U16" s="631">
        <f>SQRT(U15)</f>
        <v>0</v>
      </c>
      <c r="V16" s="630">
        <f>SQRT(V15)</f>
        <v>0</v>
      </c>
      <c r="W16" s="403">
        <f>SQRT(W15)</f>
        <v>0</v>
      </c>
    </row>
    <row r="17" spans="1:23" s="33" customFormat="1" ht="17.100000000000001" customHeight="1">
      <c r="A17" s="1031" t="s">
        <v>74</v>
      </c>
      <c r="B17" s="1032"/>
      <c r="C17" s="1032"/>
      <c r="D17" s="1033"/>
      <c r="E17" s="395">
        <v>0.05</v>
      </c>
      <c r="F17" s="358">
        <v>7.0000000000000007E-2</v>
      </c>
      <c r="G17" s="358"/>
      <c r="H17" s="395">
        <v>0.05</v>
      </c>
      <c r="I17" s="358">
        <v>0.25</v>
      </c>
      <c r="J17" s="395">
        <v>0.52</v>
      </c>
      <c r="K17" s="359">
        <v>0.32</v>
      </c>
      <c r="L17" s="360">
        <v>0.24</v>
      </c>
      <c r="M17" s="358">
        <v>0.17</v>
      </c>
      <c r="N17" s="361">
        <v>0.2</v>
      </c>
      <c r="O17" s="358">
        <v>0.21</v>
      </c>
      <c r="P17" s="362">
        <v>0.25</v>
      </c>
      <c r="Q17" s="359">
        <v>0.15</v>
      </c>
      <c r="R17" s="360">
        <v>0.1</v>
      </c>
      <c r="S17" s="624" t="e">
        <f>S16/S14</f>
        <v>#DIV/0!</v>
      </c>
      <c r="T17" s="630" t="e">
        <f>T16/T14</f>
        <v>#DIV/0!</v>
      </c>
      <c r="U17" s="631" t="e">
        <f>U16/U14</f>
        <v>#DIV/0!</v>
      </c>
      <c r="V17" s="630" t="e">
        <f>V16/V14</f>
        <v>#DIV/0!</v>
      </c>
      <c r="W17" s="403" t="e">
        <f>W16/W14</f>
        <v>#DIV/0!</v>
      </c>
    </row>
    <row r="18" spans="1:23" s="33" customFormat="1" ht="17.100000000000001" customHeight="1" thickBot="1">
      <c r="A18" s="1034" t="s">
        <v>75</v>
      </c>
      <c r="B18" s="1035"/>
      <c r="C18" s="1035"/>
      <c r="D18" s="1036"/>
      <c r="E18" s="396" t="s">
        <v>296</v>
      </c>
      <c r="F18" s="397" t="s">
        <v>297</v>
      </c>
      <c r="G18" s="397"/>
      <c r="H18" s="398" t="s">
        <v>298</v>
      </c>
      <c r="I18" s="399">
        <v>44963</v>
      </c>
      <c r="J18" s="398" t="s">
        <v>299</v>
      </c>
      <c r="K18" s="400" t="s">
        <v>300</v>
      </c>
      <c r="L18" s="401" t="s">
        <v>301</v>
      </c>
      <c r="M18" s="364" t="s">
        <v>302</v>
      </c>
      <c r="N18" s="369" t="s">
        <v>303</v>
      </c>
      <c r="O18" s="364" t="s">
        <v>187</v>
      </c>
      <c r="P18" s="370" t="s">
        <v>304</v>
      </c>
      <c r="Q18" s="371" t="s">
        <v>305</v>
      </c>
      <c r="R18" s="368" t="s">
        <v>306</v>
      </c>
      <c r="S18" s="617" t="str">
        <f>CONCATENATE(TEXT(ROUND(S14-1.96*SQRT(S15),0),"#,###"),"-",TEXT(ROUND(S14+1.96*SQRT(S15),0),"#,###"))</f>
        <v>-</v>
      </c>
      <c r="T18" s="615" t="str">
        <f>CONCATENATE(TEXT(ROUND(T14-1.96*SQRT(T15),0),"#,###"),"-",TEXT(ROUND(T14+1.96*SQRT(T15),0),"#,###"))</f>
        <v>-</v>
      </c>
      <c r="U18" s="616" t="str">
        <f>CONCATENATE(TEXT(ROUND(U14-1.96*SQRT(U15),0),"#,###"),"-",TEXT(ROUND(U14+1.96*SQRT(U15),0),"#,###"))</f>
        <v>-</v>
      </c>
      <c r="V18" s="615" t="str">
        <f>CONCATENATE(TEXT(ROUND(V14-1.96*SQRT(V15),0),"#,###"),"-",TEXT(ROUND(V14+1.96*SQRT(V15),0),"#,###"))</f>
        <v>-</v>
      </c>
      <c r="W18" s="139" t="str">
        <f>CONCATENATE(TEXT(ROUND(W14-1.96*SQRT(W15),0),"#,###"),"-",TEXT(ROUND(W14+1.96*SQRT(W15),0),"#,###"))</f>
        <v>-</v>
      </c>
    </row>
    <row r="19" spans="1:23" s="33" customFormat="1" ht="17.100000000000001" customHeight="1" thickBot="1">
      <c r="A19" s="1167" t="s">
        <v>69</v>
      </c>
      <c r="B19" s="922">
        <v>27</v>
      </c>
      <c r="C19" s="377">
        <v>45108</v>
      </c>
      <c r="D19" s="378">
        <v>45108</v>
      </c>
      <c r="E19" s="96">
        <v>508</v>
      </c>
      <c r="F19" s="600">
        <v>1027</v>
      </c>
      <c r="G19" s="1184">
        <f>D19-C19+1</f>
        <v>1</v>
      </c>
      <c r="H19" s="410">
        <v>199</v>
      </c>
      <c r="I19" s="76">
        <v>7</v>
      </c>
      <c r="J19" s="264">
        <v>753</v>
      </c>
      <c r="K19" s="265">
        <v>450</v>
      </c>
      <c r="L19" s="58">
        <v>1409</v>
      </c>
      <c r="M19" s="857">
        <v>197</v>
      </c>
      <c r="N19" s="856">
        <v>61</v>
      </c>
      <c r="O19" s="855">
        <v>15</v>
      </c>
      <c r="P19" s="854">
        <v>2</v>
      </c>
      <c r="Q19" s="856">
        <v>10</v>
      </c>
      <c r="R19" s="596">
        <v>285</v>
      </c>
      <c r="S19" s="813">
        <v>2</v>
      </c>
      <c r="T19" s="812">
        <v>0</v>
      </c>
      <c r="U19" s="632">
        <v>0</v>
      </c>
      <c r="V19" s="621">
        <v>0</v>
      </c>
      <c r="W19" s="256">
        <f t="shared" ref="W19:W62" si="1">SUM(S19:V19)</f>
        <v>2</v>
      </c>
    </row>
    <row r="20" spans="1:23" s="33" customFormat="1" ht="17.100000000000001" customHeight="1" thickBot="1">
      <c r="A20" s="1168"/>
      <c r="B20" s="920"/>
      <c r="C20" s="379">
        <v>45109</v>
      </c>
      <c r="D20" s="380">
        <v>45109</v>
      </c>
      <c r="E20" s="133">
        <v>388</v>
      </c>
      <c r="F20" s="597">
        <v>820</v>
      </c>
      <c r="G20" s="1184">
        <f t="shared" ref="G20:G26" si="2">D20-C20+1</f>
        <v>1</v>
      </c>
      <c r="H20" s="254">
        <v>79</v>
      </c>
      <c r="I20" s="79">
        <v>2</v>
      </c>
      <c r="J20" s="292">
        <v>299</v>
      </c>
      <c r="K20" s="266">
        <v>179</v>
      </c>
      <c r="L20" s="291">
        <v>560</v>
      </c>
      <c r="M20" s="853">
        <v>71</v>
      </c>
      <c r="N20" s="298">
        <v>19</v>
      </c>
      <c r="O20" s="852">
        <v>8</v>
      </c>
      <c r="P20" s="851">
        <v>0</v>
      </c>
      <c r="Q20" s="298">
        <v>0</v>
      </c>
      <c r="R20" s="596">
        <v>98</v>
      </c>
      <c r="S20" s="814">
        <v>0</v>
      </c>
      <c r="T20" s="729">
        <v>0</v>
      </c>
      <c r="U20" s="631">
        <v>0</v>
      </c>
      <c r="V20" s="630">
        <v>0</v>
      </c>
      <c r="W20" s="403">
        <f t="shared" si="1"/>
        <v>0</v>
      </c>
    </row>
    <row r="21" spans="1:23" s="33" customFormat="1" ht="17.100000000000001" customHeight="1" thickBot="1">
      <c r="A21" s="1168"/>
      <c r="B21" s="918">
        <v>28</v>
      </c>
      <c r="C21" s="667">
        <v>45113</v>
      </c>
      <c r="D21" s="668">
        <v>45113</v>
      </c>
      <c r="E21" s="625">
        <v>318</v>
      </c>
      <c r="F21" s="626">
        <v>557</v>
      </c>
      <c r="G21" s="1184">
        <f t="shared" si="2"/>
        <v>1</v>
      </c>
      <c r="H21" s="295">
        <v>73</v>
      </c>
      <c r="I21" s="77">
        <v>0</v>
      </c>
      <c r="J21" s="293">
        <v>275</v>
      </c>
      <c r="K21" s="294">
        <v>167</v>
      </c>
      <c r="L21" s="57">
        <v>515</v>
      </c>
      <c r="M21" s="852">
        <v>15</v>
      </c>
      <c r="N21" s="298">
        <v>4</v>
      </c>
      <c r="O21" s="852">
        <v>10</v>
      </c>
      <c r="P21" s="851">
        <v>0</v>
      </c>
      <c r="Q21" s="298">
        <v>0</v>
      </c>
      <c r="R21" s="596">
        <v>29</v>
      </c>
      <c r="S21" s="814">
        <v>0</v>
      </c>
      <c r="T21" s="729">
        <v>0</v>
      </c>
      <c r="U21" s="631">
        <v>0</v>
      </c>
      <c r="V21" s="630">
        <v>0</v>
      </c>
      <c r="W21" s="403">
        <f t="shared" si="1"/>
        <v>0</v>
      </c>
    </row>
    <row r="22" spans="1:23" s="33" customFormat="1" ht="17.100000000000001" customHeight="1" thickBot="1">
      <c r="A22" s="1168"/>
      <c r="B22" s="919"/>
      <c r="C22" s="379">
        <v>45114</v>
      </c>
      <c r="D22" s="380">
        <v>45114</v>
      </c>
      <c r="E22" s="619">
        <v>326</v>
      </c>
      <c r="F22" s="623">
        <v>560</v>
      </c>
      <c r="G22" s="1184">
        <f t="shared" si="2"/>
        <v>1</v>
      </c>
      <c r="H22" s="267">
        <v>115</v>
      </c>
      <c r="I22" s="79">
        <v>2</v>
      </c>
      <c r="J22" s="292">
        <v>434</v>
      </c>
      <c r="K22" s="266">
        <v>261</v>
      </c>
      <c r="L22" s="291">
        <v>812</v>
      </c>
      <c r="M22" s="850">
        <v>17</v>
      </c>
      <c r="N22" s="297">
        <v>6</v>
      </c>
      <c r="O22" s="850">
        <v>2</v>
      </c>
      <c r="P22" s="296">
        <v>4</v>
      </c>
      <c r="Q22" s="297">
        <v>14</v>
      </c>
      <c r="R22" s="596">
        <v>43</v>
      </c>
      <c r="S22" s="814">
        <v>2</v>
      </c>
      <c r="T22" s="729">
        <v>0</v>
      </c>
      <c r="U22" s="631">
        <v>0</v>
      </c>
      <c r="V22" s="630">
        <v>0</v>
      </c>
      <c r="W22" s="403">
        <f t="shared" si="1"/>
        <v>2</v>
      </c>
    </row>
    <row r="23" spans="1:23" s="33" customFormat="1" ht="17.100000000000001" customHeight="1" thickBot="1">
      <c r="A23" s="1168"/>
      <c r="B23" s="919"/>
      <c r="C23" s="667">
        <v>45115</v>
      </c>
      <c r="D23" s="668">
        <v>45115</v>
      </c>
      <c r="E23" s="625">
        <v>431</v>
      </c>
      <c r="F23" s="626">
        <v>836</v>
      </c>
      <c r="G23" s="1184">
        <f t="shared" si="2"/>
        <v>1</v>
      </c>
      <c r="H23" s="295">
        <v>123</v>
      </c>
      <c r="I23" s="77">
        <v>0</v>
      </c>
      <c r="J23" s="293">
        <v>466</v>
      </c>
      <c r="K23" s="294">
        <v>282</v>
      </c>
      <c r="L23" s="57">
        <v>871</v>
      </c>
      <c r="M23" s="852">
        <v>25</v>
      </c>
      <c r="N23" s="298">
        <v>9</v>
      </c>
      <c r="O23" s="852">
        <v>10</v>
      </c>
      <c r="P23" s="851">
        <v>0</v>
      </c>
      <c r="Q23" s="298">
        <v>9</v>
      </c>
      <c r="R23" s="596">
        <v>53</v>
      </c>
      <c r="S23" s="814">
        <v>0</v>
      </c>
      <c r="T23" s="729">
        <v>0</v>
      </c>
      <c r="U23" s="631">
        <v>0</v>
      </c>
      <c r="V23" s="630">
        <v>0</v>
      </c>
      <c r="W23" s="403">
        <f t="shared" si="1"/>
        <v>0</v>
      </c>
    </row>
    <row r="24" spans="1:23" s="33" customFormat="1" ht="17.100000000000001" customHeight="1" thickBot="1">
      <c r="A24" s="1168"/>
      <c r="B24" s="920"/>
      <c r="C24" s="379">
        <v>45116</v>
      </c>
      <c r="D24" s="380">
        <v>45116</v>
      </c>
      <c r="E24" s="133">
        <v>482</v>
      </c>
      <c r="F24" s="597">
        <v>1103</v>
      </c>
      <c r="G24" s="1184">
        <f t="shared" si="2"/>
        <v>1</v>
      </c>
      <c r="H24" s="78">
        <v>51</v>
      </c>
      <c r="I24" s="79">
        <v>0</v>
      </c>
      <c r="J24" s="78">
        <v>195</v>
      </c>
      <c r="K24" s="79">
        <v>118</v>
      </c>
      <c r="L24" s="402">
        <v>364</v>
      </c>
      <c r="M24" s="260">
        <v>24</v>
      </c>
      <c r="N24" s="261">
        <v>17</v>
      </c>
      <c r="O24" s="260">
        <v>4</v>
      </c>
      <c r="P24" s="262">
        <v>4</v>
      </c>
      <c r="Q24" s="261">
        <v>10</v>
      </c>
      <c r="R24" s="596">
        <v>59</v>
      </c>
      <c r="S24" s="814">
        <v>0</v>
      </c>
      <c r="T24" s="729">
        <v>0</v>
      </c>
      <c r="U24" s="631">
        <v>0</v>
      </c>
      <c r="V24" s="630">
        <v>0</v>
      </c>
      <c r="W24" s="403">
        <f t="shared" si="1"/>
        <v>0</v>
      </c>
    </row>
    <row r="25" spans="1:23" s="33" customFormat="1" ht="17.100000000000001" customHeight="1" thickBot="1">
      <c r="A25" s="1168"/>
      <c r="B25" s="918">
        <v>29</v>
      </c>
      <c r="C25" s="667">
        <v>45120</v>
      </c>
      <c r="D25" s="668">
        <v>45120</v>
      </c>
      <c r="E25" s="612">
        <v>302</v>
      </c>
      <c r="F25" s="613">
        <v>469</v>
      </c>
      <c r="G25" s="1184">
        <f t="shared" si="2"/>
        <v>1</v>
      </c>
      <c r="H25" s="114">
        <v>66</v>
      </c>
      <c r="I25" s="77">
        <v>0</v>
      </c>
      <c r="J25" s="114">
        <v>251</v>
      </c>
      <c r="K25" s="77">
        <v>152</v>
      </c>
      <c r="L25" s="57">
        <v>470</v>
      </c>
      <c r="M25" s="147">
        <v>6</v>
      </c>
      <c r="N25" s="151">
        <v>12</v>
      </c>
      <c r="O25" s="147">
        <v>0</v>
      </c>
      <c r="P25" s="130">
        <v>0</v>
      </c>
      <c r="Q25" s="151">
        <v>2</v>
      </c>
      <c r="R25" s="255">
        <v>20</v>
      </c>
      <c r="S25" s="814">
        <v>0</v>
      </c>
      <c r="T25" s="729">
        <v>0</v>
      </c>
      <c r="U25" s="631">
        <v>0</v>
      </c>
      <c r="V25" s="630">
        <v>0</v>
      </c>
      <c r="W25" s="403">
        <f t="shared" si="1"/>
        <v>0</v>
      </c>
    </row>
    <row r="26" spans="1:23" s="33" customFormat="1" ht="17.100000000000001" customHeight="1" thickBot="1">
      <c r="A26" s="1169"/>
      <c r="B26" s="921"/>
      <c r="C26" s="385">
        <v>45121</v>
      </c>
      <c r="D26" s="386">
        <v>45121</v>
      </c>
      <c r="E26" s="524">
        <v>356</v>
      </c>
      <c r="F26" s="526">
        <v>606</v>
      </c>
      <c r="G26" s="1184">
        <f t="shared" si="2"/>
        <v>1</v>
      </c>
      <c r="H26" s="779">
        <v>103</v>
      </c>
      <c r="I26" s="780">
        <v>0</v>
      </c>
      <c r="J26" s="779">
        <v>389</v>
      </c>
      <c r="K26" s="780">
        <v>236</v>
      </c>
      <c r="L26" s="781">
        <v>728</v>
      </c>
      <c r="M26" s="782">
        <v>47</v>
      </c>
      <c r="N26" s="783">
        <v>25</v>
      </c>
      <c r="O26" s="782">
        <v>3</v>
      </c>
      <c r="P26" s="784">
        <v>0</v>
      </c>
      <c r="Q26" s="150">
        <v>18</v>
      </c>
      <c r="R26" s="858">
        <v>93</v>
      </c>
      <c r="S26" s="556">
        <v>0</v>
      </c>
      <c r="T26" s="555">
        <v>0</v>
      </c>
      <c r="U26" s="616">
        <v>0</v>
      </c>
      <c r="V26" s="615">
        <v>0</v>
      </c>
      <c r="W26" s="139">
        <f t="shared" si="1"/>
        <v>0</v>
      </c>
    </row>
    <row r="27" spans="1:23" ht="17.100000000000001" customHeight="1">
      <c r="A27" s="1173" t="s">
        <v>97</v>
      </c>
      <c r="B27" s="1123">
        <v>36</v>
      </c>
      <c r="C27" s="442">
        <v>45170</v>
      </c>
      <c r="D27" s="443">
        <v>45170</v>
      </c>
      <c r="E27" s="818">
        <v>286</v>
      </c>
      <c r="F27" s="819">
        <v>567</v>
      </c>
      <c r="G27" s="819"/>
      <c r="H27" s="818"/>
      <c r="I27" s="820"/>
      <c r="J27" s="818"/>
      <c r="K27" s="821"/>
      <c r="L27" s="822"/>
      <c r="M27" s="823">
        <v>138</v>
      </c>
      <c r="N27" s="824">
        <v>53</v>
      </c>
      <c r="O27" s="823">
        <v>36</v>
      </c>
      <c r="P27" s="825">
        <v>0</v>
      </c>
      <c r="Q27" s="824">
        <v>6</v>
      </c>
      <c r="R27" s="598">
        <v>233</v>
      </c>
      <c r="S27" s="618">
        <v>134</v>
      </c>
      <c r="T27" s="622">
        <v>132</v>
      </c>
      <c r="U27" s="826">
        <v>0</v>
      </c>
      <c r="V27" s="600">
        <v>0</v>
      </c>
      <c r="W27" s="284">
        <f t="shared" si="1"/>
        <v>266</v>
      </c>
    </row>
    <row r="28" spans="1:23" ht="17.100000000000001" customHeight="1">
      <c r="A28" s="1173"/>
      <c r="B28" s="1083"/>
      <c r="C28" s="381">
        <v>45171</v>
      </c>
      <c r="D28" s="382">
        <v>45171</v>
      </c>
      <c r="E28" s="111">
        <v>254</v>
      </c>
      <c r="F28" s="278">
        <v>572</v>
      </c>
      <c r="G28" s="278"/>
      <c r="H28" s="111"/>
      <c r="I28" s="112"/>
      <c r="J28" s="111"/>
      <c r="K28" s="113"/>
      <c r="L28" s="287"/>
      <c r="M28" s="257">
        <v>157</v>
      </c>
      <c r="N28" s="258">
        <v>61</v>
      </c>
      <c r="O28" s="257">
        <v>5</v>
      </c>
      <c r="P28" s="259">
        <v>5</v>
      </c>
      <c r="Q28" s="258">
        <v>3</v>
      </c>
      <c r="R28" s="596">
        <v>231</v>
      </c>
      <c r="S28" s="619">
        <v>185</v>
      </c>
      <c r="T28" s="623">
        <v>116</v>
      </c>
      <c r="U28" s="412">
        <v>0</v>
      </c>
      <c r="V28" s="597">
        <v>0</v>
      </c>
      <c r="W28" s="402">
        <f t="shared" si="1"/>
        <v>301</v>
      </c>
    </row>
    <row r="29" spans="1:23" ht="17.100000000000001" customHeight="1">
      <c r="A29" s="1173"/>
      <c r="B29" s="1098"/>
      <c r="C29" s="667">
        <v>45172</v>
      </c>
      <c r="D29" s="668">
        <v>45173</v>
      </c>
      <c r="E29" s="83">
        <v>479</v>
      </c>
      <c r="F29" s="100">
        <v>917</v>
      </c>
      <c r="G29" s="100"/>
      <c r="H29" s="83"/>
      <c r="I29" s="84"/>
      <c r="J29" s="83"/>
      <c r="K29" s="85"/>
      <c r="L29" s="103"/>
      <c r="M29" s="147">
        <v>378</v>
      </c>
      <c r="N29" s="151">
        <v>96</v>
      </c>
      <c r="O29" s="147">
        <v>22</v>
      </c>
      <c r="P29" s="130">
        <v>34</v>
      </c>
      <c r="Q29" s="151">
        <v>25</v>
      </c>
      <c r="R29" s="596">
        <v>555</v>
      </c>
      <c r="S29" s="625">
        <v>162</v>
      </c>
      <c r="T29" s="626">
        <v>100</v>
      </c>
      <c r="U29" s="614">
        <v>0</v>
      </c>
      <c r="V29" s="613">
        <v>0</v>
      </c>
      <c r="W29" s="651">
        <f t="shared" si="1"/>
        <v>262</v>
      </c>
    </row>
    <row r="30" spans="1:23" ht="17.100000000000001" customHeight="1">
      <c r="A30" s="1173"/>
      <c r="B30" s="1083">
        <v>37</v>
      </c>
      <c r="C30" s="379">
        <v>45174</v>
      </c>
      <c r="D30" s="380">
        <v>45176</v>
      </c>
      <c r="E30" s="86">
        <v>420</v>
      </c>
      <c r="F30" s="98">
        <v>793</v>
      </c>
      <c r="G30" s="98"/>
      <c r="H30" s="86"/>
      <c r="I30" s="87"/>
      <c r="J30" s="86"/>
      <c r="K30" s="88"/>
      <c r="L30" s="288"/>
      <c r="M30" s="260">
        <v>310</v>
      </c>
      <c r="N30" s="261">
        <v>97</v>
      </c>
      <c r="O30" s="260">
        <v>32</v>
      </c>
      <c r="P30" s="262">
        <v>0</v>
      </c>
      <c r="Q30" s="261">
        <v>32</v>
      </c>
      <c r="R30" s="596">
        <v>471</v>
      </c>
      <c r="S30" s="619">
        <v>137</v>
      </c>
      <c r="T30" s="623">
        <v>35</v>
      </c>
      <c r="U30" s="412">
        <v>0</v>
      </c>
      <c r="V30" s="597">
        <v>0</v>
      </c>
      <c r="W30" s="402">
        <f t="shared" si="1"/>
        <v>172</v>
      </c>
    </row>
    <row r="31" spans="1:23" ht="17.100000000000001" customHeight="1">
      <c r="A31" s="1173"/>
      <c r="B31" s="1083"/>
      <c r="C31" s="379">
        <v>45177</v>
      </c>
      <c r="D31" s="380">
        <v>45177</v>
      </c>
      <c r="E31" s="86">
        <v>180</v>
      </c>
      <c r="F31" s="87">
        <v>308</v>
      </c>
      <c r="G31" s="87"/>
      <c r="H31" s="86"/>
      <c r="I31" s="87"/>
      <c r="J31" s="86"/>
      <c r="K31" s="87"/>
      <c r="L31" s="288"/>
      <c r="M31" s="260">
        <v>192</v>
      </c>
      <c r="N31" s="261">
        <v>91</v>
      </c>
      <c r="O31" s="260">
        <v>7</v>
      </c>
      <c r="P31" s="262">
        <v>7</v>
      </c>
      <c r="Q31" s="261">
        <v>22</v>
      </c>
      <c r="R31" s="596">
        <v>319</v>
      </c>
      <c r="S31" s="619">
        <v>36</v>
      </c>
      <c r="T31" s="623">
        <v>16</v>
      </c>
      <c r="U31" s="412">
        <v>0</v>
      </c>
      <c r="V31" s="597">
        <v>0</v>
      </c>
      <c r="W31" s="402">
        <f t="shared" si="1"/>
        <v>52</v>
      </c>
    </row>
    <row r="32" spans="1:23" ht="17.100000000000001" customHeight="1">
      <c r="A32" s="1173"/>
      <c r="B32" s="1083"/>
      <c r="C32" s="667">
        <v>45178</v>
      </c>
      <c r="D32" s="668">
        <v>45178</v>
      </c>
      <c r="E32" s="83">
        <v>294</v>
      </c>
      <c r="F32" s="84">
        <v>682</v>
      </c>
      <c r="G32" s="84"/>
      <c r="H32" s="83"/>
      <c r="I32" s="84"/>
      <c r="J32" s="83"/>
      <c r="K32" s="84"/>
      <c r="L32" s="103"/>
      <c r="M32" s="147">
        <v>341</v>
      </c>
      <c r="N32" s="151">
        <v>114</v>
      </c>
      <c r="O32" s="147">
        <v>20</v>
      </c>
      <c r="P32" s="130">
        <v>2</v>
      </c>
      <c r="Q32" s="151">
        <v>25</v>
      </c>
      <c r="R32" s="596">
        <v>502</v>
      </c>
      <c r="S32" s="619">
        <v>97</v>
      </c>
      <c r="T32" s="623">
        <v>72</v>
      </c>
      <c r="U32" s="412">
        <v>0</v>
      </c>
      <c r="V32" s="597">
        <v>0</v>
      </c>
      <c r="W32" s="402">
        <f t="shared" si="1"/>
        <v>169</v>
      </c>
    </row>
    <row r="33" spans="1:23" ht="17.100000000000001" customHeight="1">
      <c r="A33" s="1173"/>
      <c r="B33" s="1098"/>
      <c r="C33" s="667">
        <v>45179</v>
      </c>
      <c r="D33" s="668">
        <v>45179</v>
      </c>
      <c r="E33" s="83">
        <v>279</v>
      </c>
      <c r="F33" s="84">
        <v>607</v>
      </c>
      <c r="G33" s="84"/>
      <c r="H33" s="83"/>
      <c r="I33" s="84"/>
      <c r="J33" s="83"/>
      <c r="K33" s="84"/>
      <c r="L33" s="103"/>
      <c r="M33" s="147">
        <v>234</v>
      </c>
      <c r="N33" s="151">
        <v>74</v>
      </c>
      <c r="O33" s="147">
        <v>17</v>
      </c>
      <c r="P33" s="130">
        <v>2</v>
      </c>
      <c r="Q33" s="151">
        <v>35</v>
      </c>
      <c r="R33" s="596">
        <v>362</v>
      </c>
      <c r="S33" s="619">
        <v>153</v>
      </c>
      <c r="T33" s="623">
        <v>20</v>
      </c>
      <c r="U33" s="412">
        <v>0</v>
      </c>
      <c r="V33" s="597">
        <v>0</v>
      </c>
      <c r="W33" s="402">
        <f t="shared" si="1"/>
        <v>173</v>
      </c>
    </row>
    <row r="34" spans="1:23" ht="17.100000000000001" customHeight="1">
      <c r="A34" s="1173"/>
      <c r="B34" s="1102">
        <v>38</v>
      </c>
      <c r="C34" s="667">
        <v>45180</v>
      </c>
      <c r="D34" s="668">
        <v>45183</v>
      </c>
      <c r="E34" s="83">
        <v>662</v>
      </c>
      <c r="F34" s="84">
        <v>1075</v>
      </c>
      <c r="G34" s="84"/>
      <c r="H34" s="83"/>
      <c r="I34" s="84"/>
      <c r="J34" s="83"/>
      <c r="K34" s="84"/>
      <c r="L34" s="103"/>
      <c r="M34" s="147">
        <v>487</v>
      </c>
      <c r="N34" s="151">
        <v>185</v>
      </c>
      <c r="O34" s="147">
        <v>21</v>
      </c>
      <c r="P34" s="130">
        <v>6</v>
      </c>
      <c r="Q34" s="151">
        <v>21</v>
      </c>
      <c r="R34" s="596">
        <v>720</v>
      </c>
      <c r="S34" s="619">
        <v>143</v>
      </c>
      <c r="T34" s="623">
        <v>80</v>
      </c>
      <c r="U34" s="412">
        <v>0</v>
      </c>
      <c r="V34" s="597">
        <v>0</v>
      </c>
      <c r="W34" s="402">
        <f t="shared" si="1"/>
        <v>223</v>
      </c>
    </row>
    <row r="35" spans="1:23" ht="17.100000000000001" customHeight="1">
      <c r="A35" s="1173"/>
      <c r="B35" s="1083"/>
      <c r="C35" s="667">
        <v>45184</v>
      </c>
      <c r="D35" s="668">
        <v>45184</v>
      </c>
      <c r="E35" s="83">
        <v>242</v>
      </c>
      <c r="F35" s="84">
        <v>417</v>
      </c>
      <c r="G35" s="84"/>
      <c r="H35" s="83"/>
      <c r="I35" s="84"/>
      <c r="J35" s="83"/>
      <c r="K35" s="84"/>
      <c r="L35" s="103"/>
      <c r="M35" s="147">
        <v>237</v>
      </c>
      <c r="N35" s="151">
        <v>86</v>
      </c>
      <c r="O35" s="147">
        <v>2</v>
      </c>
      <c r="P35" s="130">
        <v>0</v>
      </c>
      <c r="Q35" s="151">
        <v>27</v>
      </c>
      <c r="R35" s="596">
        <v>352</v>
      </c>
      <c r="S35" s="619">
        <v>91</v>
      </c>
      <c r="T35" s="623">
        <v>7</v>
      </c>
      <c r="U35" s="412">
        <v>0</v>
      </c>
      <c r="V35" s="597">
        <v>0</v>
      </c>
      <c r="W35" s="402">
        <f t="shared" si="1"/>
        <v>98</v>
      </c>
    </row>
    <row r="36" spans="1:23" ht="17.100000000000001" customHeight="1">
      <c r="A36" s="1173"/>
      <c r="B36" s="1083"/>
      <c r="C36" s="667">
        <v>45185</v>
      </c>
      <c r="D36" s="668">
        <v>45185</v>
      </c>
      <c r="E36" s="83">
        <v>378</v>
      </c>
      <c r="F36" s="84">
        <v>821</v>
      </c>
      <c r="G36" s="84"/>
      <c r="H36" s="83"/>
      <c r="I36" s="84"/>
      <c r="J36" s="83"/>
      <c r="K36" s="84"/>
      <c r="L36" s="103"/>
      <c r="M36" s="147">
        <v>260</v>
      </c>
      <c r="N36" s="151">
        <v>143</v>
      </c>
      <c r="O36" s="147">
        <v>16</v>
      </c>
      <c r="P36" s="130">
        <v>5</v>
      </c>
      <c r="Q36" s="151">
        <v>63</v>
      </c>
      <c r="R36" s="596">
        <v>487</v>
      </c>
      <c r="S36" s="619">
        <v>23</v>
      </c>
      <c r="T36" s="623">
        <v>19</v>
      </c>
      <c r="U36" s="412">
        <v>0</v>
      </c>
      <c r="V36" s="597">
        <v>0</v>
      </c>
      <c r="W36" s="402">
        <f t="shared" si="1"/>
        <v>42</v>
      </c>
    </row>
    <row r="37" spans="1:23" ht="17.100000000000001" customHeight="1">
      <c r="A37" s="1173"/>
      <c r="B37" s="1098"/>
      <c r="C37" s="667">
        <v>45186</v>
      </c>
      <c r="D37" s="668">
        <v>45186</v>
      </c>
      <c r="E37" s="83">
        <v>323</v>
      </c>
      <c r="F37" s="84">
        <v>683</v>
      </c>
      <c r="G37" s="84"/>
      <c r="H37" s="83"/>
      <c r="I37" s="84"/>
      <c r="J37" s="83"/>
      <c r="K37" s="84"/>
      <c r="L37" s="103"/>
      <c r="M37" s="147">
        <v>122</v>
      </c>
      <c r="N37" s="151">
        <v>54</v>
      </c>
      <c r="O37" s="147">
        <v>31</v>
      </c>
      <c r="P37" s="130">
        <v>13</v>
      </c>
      <c r="Q37" s="151">
        <v>49</v>
      </c>
      <c r="R37" s="596">
        <v>269</v>
      </c>
      <c r="S37" s="619">
        <v>25</v>
      </c>
      <c r="T37" s="623">
        <v>3</v>
      </c>
      <c r="U37" s="412">
        <v>0</v>
      </c>
      <c r="V37" s="597">
        <v>0</v>
      </c>
      <c r="W37" s="402">
        <f t="shared" si="1"/>
        <v>28</v>
      </c>
    </row>
    <row r="38" spans="1:23" ht="17.100000000000001" customHeight="1">
      <c r="A38" s="1173"/>
      <c r="B38" s="1102">
        <v>39</v>
      </c>
      <c r="C38" s="667">
        <v>45187</v>
      </c>
      <c r="D38" s="668">
        <v>45190</v>
      </c>
      <c r="E38" s="83">
        <v>524</v>
      </c>
      <c r="F38" s="84">
        <v>911</v>
      </c>
      <c r="G38" s="84"/>
      <c r="H38" s="83"/>
      <c r="I38" s="84"/>
      <c r="J38" s="83"/>
      <c r="K38" s="84"/>
      <c r="L38" s="103"/>
      <c r="M38" s="147">
        <v>284</v>
      </c>
      <c r="N38" s="151">
        <v>89</v>
      </c>
      <c r="O38" s="147">
        <v>17</v>
      </c>
      <c r="P38" s="130">
        <v>5</v>
      </c>
      <c r="Q38" s="151">
        <v>152</v>
      </c>
      <c r="R38" s="596">
        <v>547</v>
      </c>
      <c r="S38" s="619">
        <v>10</v>
      </c>
      <c r="T38" s="623">
        <v>0</v>
      </c>
      <c r="U38" s="412">
        <v>0</v>
      </c>
      <c r="V38" s="597">
        <v>0</v>
      </c>
      <c r="W38" s="402">
        <f t="shared" si="1"/>
        <v>10</v>
      </c>
    </row>
    <row r="39" spans="1:23" ht="17.100000000000001" customHeight="1">
      <c r="A39" s="1173"/>
      <c r="B39" s="1083"/>
      <c r="C39" s="667">
        <v>45191</v>
      </c>
      <c r="D39" s="668">
        <v>45191</v>
      </c>
      <c r="E39" s="83">
        <v>234</v>
      </c>
      <c r="F39" s="84">
        <v>414</v>
      </c>
      <c r="G39" s="84"/>
      <c r="H39" s="83"/>
      <c r="I39" s="84"/>
      <c r="J39" s="83"/>
      <c r="K39" s="84"/>
      <c r="L39" s="103"/>
      <c r="M39" s="147">
        <v>169</v>
      </c>
      <c r="N39" s="151">
        <v>53</v>
      </c>
      <c r="O39" s="147">
        <v>35</v>
      </c>
      <c r="P39" s="130">
        <v>10</v>
      </c>
      <c r="Q39" s="151">
        <v>56</v>
      </c>
      <c r="R39" s="596">
        <v>323</v>
      </c>
      <c r="S39" s="619">
        <v>3</v>
      </c>
      <c r="T39" s="623">
        <v>0</v>
      </c>
      <c r="U39" s="412">
        <v>0</v>
      </c>
      <c r="V39" s="597">
        <v>0</v>
      </c>
      <c r="W39" s="402">
        <f t="shared" si="1"/>
        <v>3</v>
      </c>
    </row>
    <row r="40" spans="1:23" ht="17.100000000000001" customHeight="1">
      <c r="A40" s="1173"/>
      <c r="B40" s="1083"/>
      <c r="C40" s="667">
        <v>45192</v>
      </c>
      <c r="D40" s="668">
        <v>45192</v>
      </c>
      <c r="E40" s="83">
        <v>275</v>
      </c>
      <c r="F40" s="84">
        <v>535</v>
      </c>
      <c r="G40" s="84"/>
      <c r="H40" s="83"/>
      <c r="I40" s="84"/>
      <c r="J40" s="83"/>
      <c r="K40" s="84"/>
      <c r="L40" s="103"/>
      <c r="M40" s="147">
        <v>227</v>
      </c>
      <c r="N40" s="151">
        <v>71</v>
      </c>
      <c r="O40" s="147">
        <v>8</v>
      </c>
      <c r="P40" s="130">
        <v>0</v>
      </c>
      <c r="Q40" s="151">
        <v>65</v>
      </c>
      <c r="R40" s="596">
        <v>371</v>
      </c>
      <c r="S40" s="619">
        <v>0</v>
      </c>
      <c r="T40" s="623">
        <v>2</v>
      </c>
      <c r="U40" s="412">
        <v>0</v>
      </c>
      <c r="V40" s="597">
        <v>0</v>
      </c>
      <c r="W40" s="402">
        <f t="shared" si="1"/>
        <v>2</v>
      </c>
    </row>
    <row r="41" spans="1:23" ht="17.100000000000001" customHeight="1">
      <c r="A41" s="1173"/>
      <c r="B41" s="1098"/>
      <c r="C41" s="667">
        <v>45193</v>
      </c>
      <c r="D41" s="668">
        <v>45193</v>
      </c>
      <c r="E41" s="83">
        <v>234</v>
      </c>
      <c r="F41" s="84">
        <v>430</v>
      </c>
      <c r="G41" s="84"/>
      <c r="H41" s="83"/>
      <c r="I41" s="84"/>
      <c r="J41" s="83"/>
      <c r="K41" s="84"/>
      <c r="L41" s="103"/>
      <c r="M41" s="147">
        <v>183</v>
      </c>
      <c r="N41" s="151">
        <v>72</v>
      </c>
      <c r="O41" s="147">
        <v>12</v>
      </c>
      <c r="P41" s="130">
        <v>0</v>
      </c>
      <c r="Q41" s="151">
        <v>23</v>
      </c>
      <c r="R41" s="596">
        <v>290</v>
      </c>
      <c r="S41" s="619">
        <v>7</v>
      </c>
      <c r="T41" s="623">
        <v>0</v>
      </c>
      <c r="U41" s="412">
        <v>0</v>
      </c>
      <c r="V41" s="597">
        <v>0</v>
      </c>
      <c r="W41" s="402">
        <f t="shared" si="1"/>
        <v>7</v>
      </c>
    </row>
    <row r="42" spans="1:23" ht="17.100000000000001" customHeight="1">
      <c r="A42" s="1173"/>
      <c r="B42" s="1102">
        <v>40</v>
      </c>
      <c r="C42" s="667">
        <v>45194</v>
      </c>
      <c r="D42" s="668">
        <v>45197</v>
      </c>
      <c r="E42" s="83">
        <v>254</v>
      </c>
      <c r="F42" s="84">
        <v>352</v>
      </c>
      <c r="G42" s="84"/>
      <c r="H42" s="83"/>
      <c r="I42" s="84"/>
      <c r="J42" s="83"/>
      <c r="K42" s="84"/>
      <c r="L42" s="103"/>
      <c r="M42" s="147">
        <v>118</v>
      </c>
      <c r="N42" s="151">
        <v>55</v>
      </c>
      <c r="O42" s="147">
        <v>29</v>
      </c>
      <c r="P42" s="130">
        <v>0</v>
      </c>
      <c r="Q42" s="151">
        <v>32</v>
      </c>
      <c r="R42" s="596">
        <v>234</v>
      </c>
      <c r="S42" s="619">
        <v>0</v>
      </c>
      <c r="T42" s="623">
        <v>0</v>
      </c>
      <c r="U42" s="629">
        <v>0</v>
      </c>
      <c r="V42" s="623">
        <v>0</v>
      </c>
      <c r="W42" s="402">
        <f t="shared" si="1"/>
        <v>0</v>
      </c>
    </row>
    <row r="43" spans="1:23" ht="17.100000000000001" customHeight="1">
      <c r="A43" s="1173"/>
      <c r="B43" s="1083"/>
      <c r="C43" s="667">
        <v>45198</v>
      </c>
      <c r="D43" s="668">
        <v>45198</v>
      </c>
      <c r="E43" s="83">
        <v>68</v>
      </c>
      <c r="F43" s="84">
        <v>126</v>
      </c>
      <c r="G43" s="84"/>
      <c r="H43" s="83"/>
      <c r="I43" s="84"/>
      <c r="J43" s="83"/>
      <c r="K43" s="84"/>
      <c r="L43" s="103"/>
      <c r="M43" s="147">
        <v>24</v>
      </c>
      <c r="N43" s="151">
        <v>27</v>
      </c>
      <c r="O43" s="147">
        <v>0</v>
      </c>
      <c r="P43" s="130">
        <v>0</v>
      </c>
      <c r="Q43" s="151">
        <v>24</v>
      </c>
      <c r="R43" s="596">
        <v>75</v>
      </c>
      <c r="S43" s="619">
        <v>7</v>
      </c>
      <c r="T43" s="623">
        <v>0</v>
      </c>
      <c r="U43" s="629">
        <v>0</v>
      </c>
      <c r="V43" s="623">
        <v>0</v>
      </c>
      <c r="W43" s="402">
        <f t="shared" si="1"/>
        <v>7</v>
      </c>
    </row>
    <row r="44" spans="1:23" ht="17.100000000000001" customHeight="1">
      <c r="A44" s="1173"/>
      <c r="B44" s="1083"/>
      <c r="C44" s="667">
        <v>45199</v>
      </c>
      <c r="D44" s="668">
        <v>45199</v>
      </c>
      <c r="E44" s="83">
        <v>267</v>
      </c>
      <c r="F44" s="84">
        <v>534</v>
      </c>
      <c r="G44" s="84"/>
      <c r="H44" s="83"/>
      <c r="I44" s="84"/>
      <c r="J44" s="83"/>
      <c r="K44" s="84"/>
      <c r="L44" s="103"/>
      <c r="M44" s="147">
        <v>117</v>
      </c>
      <c r="N44" s="151">
        <v>97</v>
      </c>
      <c r="O44" s="147">
        <v>13</v>
      </c>
      <c r="P44" s="130">
        <v>10</v>
      </c>
      <c r="Q44" s="151">
        <v>71</v>
      </c>
      <c r="R44" s="255">
        <v>308</v>
      </c>
      <c r="S44" s="619">
        <v>0</v>
      </c>
      <c r="T44" s="623">
        <v>2</v>
      </c>
      <c r="U44" s="629">
        <v>0</v>
      </c>
      <c r="V44" s="623">
        <v>0</v>
      </c>
      <c r="W44" s="402">
        <f t="shared" si="1"/>
        <v>2</v>
      </c>
    </row>
    <row r="45" spans="1:23" ht="17.100000000000001" customHeight="1" thickBot="1">
      <c r="A45" s="1174"/>
      <c r="B45" s="1122"/>
      <c r="C45" s="383">
        <v>45200</v>
      </c>
      <c r="D45" s="384">
        <v>45200</v>
      </c>
      <c r="E45" s="90">
        <v>161</v>
      </c>
      <c r="F45" s="91">
        <v>318</v>
      </c>
      <c r="G45" s="91"/>
      <c r="H45" s="90"/>
      <c r="I45" s="91"/>
      <c r="J45" s="90"/>
      <c r="K45" s="91"/>
      <c r="L45" s="89"/>
      <c r="M45" s="146">
        <v>87</v>
      </c>
      <c r="N45" s="150">
        <v>70</v>
      </c>
      <c r="O45" s="146">
        <v>0</v>
      </c>
      <c r="P45" s="129">
        <v>0</v>
      </c>
      <c r="Q45" s="150">
        <v>10</v>
      </c>
      <c r="R45" s="858">
        <v>167</v>
      </c>
      <c r="S45" s="279">
        <v>0</v>
      </c>
      <c r="T45" s="555">
        <v>0</v>
      </c>
      <c r="U45" s="556">
        <v>0</v>
      </c>
      <c r="V45" s="555">
        <v>0</v>
      </c>
      <c r="W45" s="139">
        <f t="shared" si="1"/>
        <v>0</v>
      </c>
    </row>
    <row r="46" spans="1:23" ht="17.100000000000001" customHeight="1">
      <c r="A46" s="1175" t="s">
        <v>98</v>
      </c>
      <c r="B46" s="1123">
        <v>41</v>
      </c>
      <c r="C46" s="379">
        <v>45201</v>
      </c>
      <c r="D46" s="380">
        <v>45204</v>
      </c>
      <c r="E46" s="86">
        <v>299</v>
      </c>
      <c r="F46" s="87">
        <v>402</v>
      </c>
      <c r="G46" s="87"/>
      <c r="H46" s="86"/>
      <c r="I46" s="87"/>
      <c r="J46" s="86"/>
      <c r="K46" s="87"/>
      <c r="L46" s="288"/>
      <c r="M46" s="260">
        <v>82</v>
      </c>
      <c r="N46" s="261">
        <v>123</v>
      </c>
      <c r="O46" s="260">
        <v>19</v>
      </c>
      <c r="P46" s="262">
        <v>32</v>
      </c>
      <c r="Q46" s="261">
        <v>47</v>
      </c>
      <c r="R46" s="598">
        <v>303</v>
      </c>
      <c r="S46" s="133">
        <v>0</v>
      </c>
      <c r="T46" s="597">
        <v>0</v>
      </c>
      <c r="U46" s="412">
        <v>0</v>
      </c>
      <c r="V46" s="597">
        <v>0</v>
      </c>
      <c r="W46" s="402">
        <f t="shared" si="1"/>
        <v>0</v>
      </c>
    </row>
    <row r="47" spans="1:23" ht="17.100000000000001" customHeight="1">
      <c r="A47" s="1173"/>
      <c r="B47" s="1083"/>
      <c r="C47" s="667">
        <v>45205</v>
      </c>
      <c r="D47" s="668">
        <v>45205</v>
      </c>
      <c r="E47" s="83">
        <v>153</v>
      </c>
      <c r="F47" s="84">
        <v>247</v>
      </c>
      <c r="G47" s="84"/>
      <c r="H47" s="83"/>
      <c r="I47" s="84"/>
      <c r="J47" s="83"/>
      <c r="K47" s="84"/>
      <c r="L47" s="103"/>
      <c r="M47" s="147">
        <v>32</v>
      </c>
      <c r="N47" s="151">
        <v>50</v>
      </c>
      <c r="O47" s="147">
        <v>9</v>
      </c>
      <c r="P47" s="130">
        <v>6</v>
      </c>
      <c r="Q47" s="151">
        <v>11</v>
      </c>
      <c r="R47" s="596">
        <v>108</v>
      </c>
      <c r="S47" s="133">
        <v>2</v>
      </c>
      <c r="T47" s="597">
        <v>0</v>
      </c>
      <c r="U47" s="412">
        <v>0</v>
      </c>
      <c r="V47" s="597">
        <v>0</v>
      </c>
      <c r="W47" s="402">
        <f t="shared" si="1"/>
        <v>2</v>
      </c>
    </row>
    <row r="48" spans="1:23" ht="17.100000000000001" customHeight="1">
      <c r="A48" s="1173"/>
      <c r="B48" s="1083"/>
      <c r="C48" s="667">
        <v>45206</v>
      </c>
      <c r="D48" s="668">
        <v>45206</v>
      </c>
      <c r="E48" s="83">
        <v>220</v>
      </c>
      <c r="F48" s="84">
        <v>476</v>
      </c>
      <c r="G48" s="84"/>
      <c r="H48" s="83"/>
      <c r="I48" s="84"/>
      <c r="J48" s="83"/>
      <c r="K48" s="84"/>
      <c r="L48" s="103"/>
      <c r="M48" s="147">
        <v>69</v>
      </c>
      <c r="N48" s="151">
        <v>74</v>
      </c>
      <c r="O48" s="147">
        <v>22</v>
      </c>
      <c r="P48" s="130">
        <v>0</v>
      </c>
      <c r="Q48" s="151">
        <v>73</v>
      </c>
      <c r="R48" s="596">
        <v>238</v>
      </c>
      <c r="S48" s="133">
        <v>0</v>
      </c>
      <c r="T48" s="597">
        <v>5</v>
      </c>
      <c r="U48" s="412">
        <v>0</v>
      </c>
      <c r="V48" s="597">
        <v>0</v>
      </c>
      <c r="W48" s="402">
        <f t="shared" si="1"/>
        <v>5</v>
      </c>
    </row>
    <row r="49" spans="1:23" ht="17.100000000000001" customHeight="1">
      <c r="A49" s="1173"/>
      <c r="B49" s="1098"/>
      <c r="C49" s="667">
        <v>45207</v>
      </c>
      <c r="D49" s="668">
        <v>45207</v>
      </c>
      <c r="E49" s="83">
        <v>130</v>
      </c>
      <c r="F49" s="84">
        <v>254</v>
      </c>
      <c r="G49" s="84"/>
      <c r="H49" s="83"/>
      <c r="I49" s="84"/>
      <c r="J49" s="83"/>
      <c r="K49" s="84"/>
      <c r="L49" s="103"/>
      <c r="M49" s="147">
        <v>14</v>
      </c>
      <c r="N49" s="151">
        <v>18</v>
      </c>
      <c r="O49" s="147">
        <v>27</v>
      </c>
      <c r="P49" s="130">
        <v>9</v>
      </c>
      <c r="Q49" s="151">
        <v>76</v>
      </c>
      <c r="R49" s="596">
        <v>144</v>
      </c>
      <c r="S49" s="133">
        <v>0</v>
      </c>
      <c r="T49" s="597">
        <v>0</v>
      </c>
      <c r="U49" s="412">
        <v>0</v>
      </c>
      <c r="V49" s="597">
        <v>0</v>
      </c>
      <c r="W49" s="402">
        <f t="shared" si="1"/>
        <v>0</v>
      </c>
    </row>
    <row r="50" spans="1:23" ht="17.100000000000001" customHeight="1">
      <c r="A50" s="1173"/>
      <c r="B50" s="1102">
        <v>42</v>
      </c>
      <c r="C50" s="667">
        <v>45208</v>
      </c>
      <c r="D50" s="668">
        <v>45211</v>
      </c>
      <c r="E50" s="83">
        <v>63</v>
      </c>
      <c r="F50" s="84">
        <v>116</v>
      </c>
      <c r="G50" s="84"/>
      <c r="H50" s="83"/>
      <c r="I50" s="84"/>
      <c r="J50" s="83"/>
      <c r="K50" s="84"/>
      <c r="L50" s="103"/>
      <c r="M50" s="147">
        <v>0</v>
      </c>
      <c r="N50" s="151">
        <v>0</v>
      </c>
      <c r="O50" s="147">
        <v>14</v>
      </c>
      <c r="P50" s="130">
        <v>0</v>
      </c>
      <c r="Q50" s="151">
        <v>113</v>
      </c>
      <c r="R50" s="596">
        <v>127</v>
      </c>
      <c r="S50" s="133">
        <v>0</v>
      </c>
      <c r="T50" s="597">
        <v>0</v>
      </c>
      <c r="U50" s="412">
        <v>0</v>
      </c>
      <c r="V50" s="597">
        <v>0</v>
      </c>
      <c r="W50" s="402">
        <f t="shared" si="1"/>
        <v>0</v>
      </c>
    </row>
    <row r="51" spans="1:23" ht="17.100000000000001" customHeight="1">
      <c r="A51" s="1173"/>
      <c r="B51" s="1083"/>
      <c r="C51" s="667">
        <v>45212</v>
      </c>
      <c r="D51" s="668">
        <v>45212</v>
      </c>
      <c r="E51" s="83">
        <v>78</v>
      </c>
      <c r="F51" s="84">
        <v>125</v>
      </c>
      <c r="G51" s="84"/>
      <c r="H51" s="83"/>
      <c r="I51" s="84"/>
      <c r="J51" s="83"/>
      <c r="K51" s="84"/>
      <c r="L51" s="103"/>
      <c r="M51" s="147">
        <v>2</v>
      </c>
      <c r="N51" s="151">
        <v>3</v>
      </c>
      <c r="O51" s="147">
        <v>0</v>
      </c>
      <c r="P51" s="130">
        <v>2</v>
      </c>
      <c r="Q51" s="151">
        <v>12</v>
      </c>
      <c r="R51" s="596">
        <v>19</v>
      </c>
      <c r="S51" s="133">
        <v>0</v>
      </c>
      <c r="T51" s="597">
        <v>0</v>
      </c>
      <c r="U51" s="412">
        <v>0</v>
      </c>
      <c r="V51" s="597">
        <v>0</v>
      </c>
      <c r="W51" s="402">
        <f t="shared" si="1"/>
        <v>0</v>
      </c>
    </row>
    <row r="52" spans="1:23" ht="17.100000000000001" customHeight="1">
      <c r="A52" s="1173"/>
      <c r="B52" s="1083"/>
      <c r="C52" s="667">
        <v>45213</v>
      </c>
      <c r="D52" s="668">
        <v>45213</v>
      </c>
      <c r="E52" s="83">
        <v>49</v>
      </c>
      <c r="F52" s="84">
        <v>96</v>
      </c>
      <c r="G52" s="84"/>
      <c r="H52" s="83"/>
      <c r="I52" s="84"/>
      <c r="J52" s="83"/>
      <c r="K52" s="84"/>
      <c r="L52" s="103"/>
      <c r="M52" s="147">
        <v>2</v>
      </c>
      <c r="N52" s="151">
        <v>5</v>
      </c>
      <c r="O52" s="147">
        <v>17</v>
      </c>
      <c r="P52" s="130">
        <v>0</v>
      </c>
      <c r="Q52" s="151">
        <v>5</v>
      </c>
      <c r="R52" s="596">
        <v>29</v>
      </c>
      <c r="S52" s="133">
        <v>0</v>
      </c>
      <c r="T52" s="597">
        <v>0</v>
      </c>
      <c r="U52" s="412">
        <v>0</v>
      </c>
      <c r="V52" s="597">
        <v>0</v>
      </c>
      <c r="W52" s="402">
        <f t="shared" si="1"/>
        <v>0</v>
      </c>
    </row>
    <row r="53" spans="1:23" ht="17.100000000000001" customHeight="1">
      <c r="A53" s="1173"/>
      <c r="B53" s="1098"/>
      <c r="C53" s="667">
        <v>45214</v>
      </c>
      <c r="D53" s="668">
        <v>45214</v>
      </c>
      <c r="E53" s="83">
        <v>35</v>
      </c>
      <c r="F53" s="84">
        <v>60</v>
      </c>
      <c r="G53" s="84"/>
      <c r="H53" s="83"/>
      <c r="I53" s="84"/>
      <c r="J53" s="83"/>
      <c r="K53" s="84"/>
      <c r="L53" s="103"/>
      <c r="M53" s="147">
        <v>0</v>
      </c>
      <c r="N53" s="151">
        <v>0</v>
      </c>
      <c r="O53" s="147">
        <v>0</v>
      </c>
      <c r="P53" s="130">
        <v>0</v>
      </c>
      <c r="Q53" s="151">
        <v>0</v>
      </c>
      <c r="R53" s="596">
        <v>0</v>
      </c>
      <c r="S53" s="133">
        <v>0</v>
      </c>
      <c r="T53" s="597">
        <v>0</v>
      </c>
      <c r="U53" s="412">
        <v>0</v>
      </c>
      <c r="V53" s="597">
        <v>0</v>
      </c>
      <c r="W53" s="402">
        <f t="shared" si="1"/>
        <v>0</v>
      </c>
    </row>
    <row r="54" spans="1:23" ht="17.100000000000001" customHeight="1">
      <c r="A54" s="1173"/>
      <c r="B54" s="1102">
        <v>43</v>
      </c>
      <c r="C54" s="667">
        <v>45215</v>
      </c>
      <c r="D54" s="668">
        <v>45218</v>
      </c>
      <c r="E54" s="83">
        <v>96</v>
      </c>
      <c r="F54" s="84">
        <v>177</v>
      </c>
      <c r="G54" s="84"/>
      <c r="H54" s="83"/>
      <c r="I54" s="84"/>
      <c r="J54" s="83"/>
      <c r="K54" s="84"/>
      <c r="L54" s="103"/>
      <c r="M54" s="147">
        <v>0</v>
      </c>
      <c r="N54" s="151">
        <v>0</v>
      </c>
      <c r="O54" s="147">
        <v>0</v>
      </c>
      <c r="P54" s="130">
        <v>0</v>
      </c>
      <c r="Q54" s="151">
        <v>0</v>
      </c>
      <c r="R54" s="596">
        <v>0</v>
      </c>
      <c r="S54" s="133">
        <v>0</v>
      </c>
      <c r="T54" s="597">
        <v>0</v>
      </c>
      <c r="U54" s="412">
        <v>0</v>
      </c>
      <c r="V54" s="597">
        <v>0</v>
      </c>
      <c r="W54" s="402">
        <f t="shared" si="1"/>
        <v>0</v>
      </c>
    </row>
    <row r="55" spans="1:23" ht="17.100000000000001" customHeight="1">
      <c r="A55" s="1173"/>
      <c r="B55" s="1083"/>
      <c r="C55" s="667">
        <v>45219</v>
      </c>
      <c r="D55" s="668">
        <v>45219</v>
      </c>
      <c r="E55" s="83">
        <v>12</v>
      </c>
      <c r="F55" s="84">
        <v>28</v>
      </c>
      <c r="G55" s="84"/>
      <c r="H55" s="83"/>
      <c r="I55" s="84"/>
      <c r="J55" s="83"/>
      <c r="K55" s="84"/>
      <c r="L55" s="103"/>
      <c r="M55" s="147">
        <v>0</v>
      </c>
      <c r="N55" s="151">
        <v>5</v>
      </c>
      <c r="O55" s="147">
        <v>0</v>
      </c>
      <c r="P55" s="130">
        <v>0</v>
      </c>
      <c r="Q55" s="151">
        <v>0</v>
      </c>
      <c r="R55" s="596">
        <v>5</v>
      </c>
      <c r="S55" s="133">
        <v>0</v>
      </c>
      <c r="T55" s="597">
        <v>0</v>
      </c>
      <c r="U55" s="412">
        <v>0</v>
      </c>
      <c r="V55" s="597">
        <v>0</v>
      </c>
      <c r="W55" s="402">
        <f t="shared" si="1"/>
        <v>0</v>
      </c>
    </row>
    <row r="56" spans="1:23" ht="17.100000000000001" customHeight="1">
      <c r="A56" s="1173"/>
      <c r="B56" s="1083"/>
      <c r="C56" s="667">
        <v>45220</v>
      </c>
      <c r="D56" s="668">
        <v>45220</v>
      </c>
      <c r="E56" s="83">
        <v>51</v>
      </c>
      <c r="F56" s="84">
        <v>105</v>
      </c>
      <c r="G56" s="84"/>
      <c r="H56" s="83"/>
      <c r="I56" s="84"/>
      <c r="J56" s="83"/>
      <c r="K56" s="84"/>
      <c r="L56" s="103"/>
      <c r="M56" s="147">
        <v>0</v>
      </c>
      <c r="N56" s="151">
        <v>0</v>
      </c>
      <c r="O56" s="147">
        <v>0</v>
      </c>
      <c r="P56" s="130">
        <v>0</v>
      </c>
      <c r="Q56" s="151">
        <v>25</v>
      </c>
      <c r="R56" s="596">
        <v>25</v>
      </c>
      <c r="S56" s="133">
        <v>0</v>
      </c>
      <c r="T56" s="597">
        <v>0</v>
      </c>
      <c r="U56" s="412">
        <v>0</v>
      </c>
      <c r="V56" s="597">
        <v>0</v>
      </c>
      <c r="W56" s="402">
        <f t="shared" si="1"/>
        <v>0</v>
      </c>
    </row>
    <row r="57" spans="1:23" ht="17.100000000000001" customHeight="1">
      <c r="A57" s="1173"/>
      <c r="B57" s="1098"/>
      <c r="C57" s="667">
        <v>45221</v>
      </c>
      <c r="D57" s="668">
        <v>45221</v>
      </c>
      <c r="E57" s="83">
        <v>20</v>
      </c>
      <c r="F57" s="84">
        <v>43</v>
      </c>
      <c r="G57" s="84"/>
      <c r="H57" s="83"/>
      <c r="I57" s="84"/>
      <c r="J57" s="83"/>
      <c r="K57" s="84"/>
      <c r="L57" s="103"/>
      <c r="M57" s="147">
        <v>0</v>
      </c>
      <c r="N57" s="151">
        <v>0</v>
      </c>
      <c r="O57" s="147">
        <v>0</v>
      </c>
      <c r="P57" s="130">
        <v>0</v>
      </c>
      <c r="Q57" s="151">
        <v>0</v>
      </c>
      <c r="R57" s="596">
        <v>0</v>
      </c>
      <c r="S57" s="133">
        <v>0</v>
      </c>
      <c r="T57" s="597">
        <v>0</v>
      </c>
      <c r="U57" s="412">
        <v>0</v>
      </c>
      <c r="V57" s="597">
        <v>0</v>
      </c>
      <c r="W57" s="402">
        <f t="shared" si="1"/>
        <v>0</v>
      </c>
    </row>
    <row r="58" spans="1:23" ht="17.100000000000001" customHeight="1">
      <c r="A58" s="1173"/>
      <c r="B58" s="1102">
        <v>44</v>
      </c>
      <c r="C58" s="667">
        <v>45222</v>
      </c>
      <c r="D58" s="668">
        <v>45225</v>
      </c>
      <c r="E58" s="83">
        <v>5</v>
      </c>
      <c r="F58" s="84">
        <v>19</v>
      </c>
      <c r="G58" s="84"/>
      <c r="H58" s="83"/>
      <c r="I58" s="84"/>
      <c r="J58" s="83"/>
      <c r="K58" s="84"/>
      <c r="L58" s="103"/>
      <c r="M58" s="147">
        <v>0</v>
      </c>
      <c r="N58" s="151">
        <v>0</v>
      </c>
      <c r="O58" s="147">
        <v>0</v>
      </c>
      <c r="P58" s="130">
        <v>0</v>
      </c>
      <c r="Q58" s="151">
        <v>0</v>
      </c>
      <c r="R58" s="596">
        <v>0</v>
      </c>
      <c r="S58" s="133">
        <v>0</v>
      </c>
      <c r="T58" s="597">
        <v>0</v>
      </c>
      <c r="U58" s="412">
        <v>0</v>
      </c>
      <c r="V58" s="597">
        <v>0</v>
      </c>
      <c r="W58" s="402">
        <f t="shared" si="1"/>
        <v>0</v>
      </c>
    </row>
    <row r="59" spans="1:23" ht="17.100000000000001" customHeight="1">
      <c r="A59" s="1173"/>
      <c r="B59" s="1083"/>
      <c r="C59" s="667">
        <v>45226</v>
      </c>
      <c r="D59" s="668">
        <v>45226</v>
      </c>
      <c r="E59" s="83">
        <v>10</v>
      </c>
      <c r="F59" s="84">
        <v>21</v>
      </c>
      <c r="G59" s="84"/>
      <c r="H59" s="83"/>
      <c r="I59" s="84"/>
      <c r="J59" s="83"/>
      <c r="K59" s="84"/>
      <c r="L59" s="103"/>
      <c r="M59" s="147">
        <v>0</v>
      </c>
      <c r="N59" s="151">
        <v>0</v>
      </c>
      <c r="O59" s="147">
        <v>0</v>
      </c>
      <c r="P59" s="130">
        <v>0</v>
      </c>
      <c r="Q59" s="151">
        <v>0</v>
      </c>
      <c r="R59" s="596">
        <v>0</v>
      </c>
      <c r="S59" s="133">
        <v>0</v>
      </c>
      <c r="T59" s="597">
        <v>0</v>
      </c>
      <c r="U59" s="412">
        <v>0</v>
      </c>
      <c r="V59" s="597">
        <v>0</v>
      </c>
      <c r="W59" s="402">
        <f t="shared" si="1"/>
        <v>0</v>
      </c>
    </row>
    <row r="60" spans="1:23" ht="17.100000000000001" customHeight="1">
      <c r="A60" s="1173"/>
      <c r="B60" s="1083"/>
      <c r="C60" s="381">
        <v>45227</v>
      </c>
      <c r="D60" s="382">
        <v>45227</v>
      </c>
      <c r="E60" s="111">
        <v>37</v>
      </c>
      <c r="F60" s="112">
        <v>69</v>
      </c>
      <c r="G60" s="112"/>
      <c r="H60" s="111"/>
      <c r="I60" s="112"/>
      <c r="J60" s="111"/>
      <c r="K60" s="112"/>
      <c r="L60" s="287"/>
      <c r="M60" s="257">
        <v>0</v>
      </c>
      <c r="N60" s="258">
        <v>0</v>
      </c>
      <c r="O60" s="257">
        <v>0</v>
      </c>
      <c r="P60" s="259">
        <v>0</v>
      </c>
      <c r="Q60" s="258">
        <v>30</v>
      </c>
      <c r="R60" s="255">
        <v>30</v>
      </c>
      <c r="S60" s="133">
        <v>0</v>
      </c>
      <c r="T60" s="597">
        <v>0</v>
      </c>
      <c r="U60" s="412">
        <v>0</v>
      </c>
      <c r="V60" s="597">
        <v>0</v>
      </c>
      <c r="W60" s="402">
        <f t="shared" si="1"/>
        <v>0</v>
      </c>
    </row>
    <row r="61" spans="1:23" ht="17.100000000000001" customHeight="1">
      <c r="A61" s="1173"/>
      <c r="B61" s="1098"/>
      <c r="C61" s="381">
        <v>45228</v>
      </c>
      <c r="D61" s="382">
        <v>45228</v>
      </c>
      <c r="E61" s="111">
        <v>20</v>
      </c>
      <c r="F61" s="112">
        <v>37</v>
      </c>
      <c r="G61" s="112"/>
      <c r="H61" s="111"/>
      <c r="I61" s="112"/>
      <c r="J61" s="111"/>
      <c r="K61" s="112"/>
      <c r="L61" s="287"/>
      <c r="M61" s="257">
        <v>0</v>
      </c>
      <c r="N61" s="258">
        <v>0</v>
      </c>
      <c r="O61" s="257">
        <v>0</v>
      </c>
      <c r="P61" s="259">
        <v>0</v>
      </c>
      <c r="Q61" s="258">
        <v>3</v>
      </c>
      <c r="R61" s="255">
        <v>3</v>
      </c>
      <c r="S61" s="133">
        <v>0</v>
      </c>
      <c r="T61" s="597">
        <v>0</v>
      </c>
      <c r="U61" s="412">
        <v>0</v>
      </c>
      <c r="V61" s="597">
        <v>0</v>
      </c>
      <c r="W61" s="402">
        <f t="shared" si="1"/>
        <v>0</v>
      </c>
    </row>
    <row r="62" spans="1:23" ht="17.100000000000001" customHeight="1" thickBot="1">
      <c r="A62" s="1174"/>
      <c r="B62" s="429">
        <v>45</v>
      </c>
      <c r="C62" s="383">
        <v>45229</v>
      </c>
      <c r="D62" s="384">
        <v>45230</v>
      </c>
      <c r="E62" s="90">
        <v>17</v>
      </c>
      <c r="F62" s="91">
        <v>37</v>
      </c>
      <c r="G62" s="91"/>
      <c r="H62" s="90"/>
      <c r="I62" s="91"/>
      <c r="J62" s="90"/>
      <c r="K62" s="91"/>
      <c r="L62" s="89"/>
      <c r="M62" s="146">
        <v>5</v>
      </c>
      <c r="N62" s="150">
        <v>0</v>
      </c>
      <c r="O62" s="146">
        <v>0</v>
      </c>
      <c r="P62" s="129">
        <v>0</v>
      </c>
      <c r="Q62" s="150">
        <v>14</v>
      </c>
      <c r="R62" s="104">
        <v>19</v>
      </c>
      <c r="S62" s="617">
        <v>0</v>
      </c>
      <c r="T62" s="615">
        <v>0</v>
      </c>
      <c r="U62" s="616">
        <v>0</v>
      </c>
      <c r="V62" s="615">
        <v>0</v>
      </c>
      <c r="W62" s="139">
        <f t="shared" si="1"/>
        <v>0</v>
      </c>
    </row>
    <row r="63" spans="1:23" ht="17.100000000000001" customHeight="1" thickBot="1">
      <c r="A63" s="1037" t="s">
        <v>307</v>
      </c>
      <c r="B63" s="1038"/>
      <c r="C63" s="1038"/>
      <c r="D63" s="1039"/>
      <c r="E63" s="334">
        <f t="shared" ref="E63:W63" si="3">SUM(E19:E62)</f>
        <v>10220</v>
      </c>
      <c r="F63" s="335">
        <f t="shared" si="3"/>
        <v>19352</v>
      </c>
      <c r="G63" s="335"/>
      <c r="H63" s="334">
        <f t="shared" si="3"/>
        <v>809</v>
      </c>
      <c r="I63" s="335">
        <f t="shared" si="3"/>
        <v>11</v>
      </c>
      <c r="J63" s="334">
        <f t="shared" si="3"/>
        <v>3062</v>
      </c>
      <c r="K63" s="335">
        <f t="shared" si="3"/>
        <v>1845</v>
      </c>
      <c r="L63" s="336">
        <f>L74</f>
        <v>4881.8965517241377</v>
      </c>
      <c r="M63" s="372">
        <f t="shared" si="3"/>
        <v>4673</v>
      </c>
      <c r="N63" s="373">
        <f t="shared" si="3"/>
        <v>2019</v>
      </c>
      <c r="O63" s="374">
        <f t="shared" si="3"/>
        <v>483</v>
      </c>
      <c r="P63" s="375">
        <f t="shared" si="3"/>
        <v>158</v>
      </c>
      <c r="Q63" s="373">
        <f t="shared" si="3"/>
        <v>1213</v>
      </c>
      <c r="R63" s="376">
        <f t="shared" si="3"/>
        <v>8546</v>
      </c>
      <c r="S63" s="372">
        <f t="shared" si="3"/>
        <v>1219</v>
      </c>
      <c r="T63" s="373">
        <f t="shared" si="3"/>
        <v>609</v>
      </c>
      <c r="U63" s="374">
        <f t="shared" si="3"/>
        <v>0</v>
      </c>
      <c r="V63" s="373">
        <f t="shared" si="3"/>
        <v>0</v>
      </c>
      <c r="W63" s="376">
        <f t="shared" si="3"/>
        <v>1828</v>
      </c>
    </row>
    <row r="64" spans="1:23" ht="15">
      <c r="A64" s="1028" t="s">
        <v>72</v>
      </c>
      <c r="B64" s="1029"/>
      <c r="C64" s="1029"/>
      <c r="D64" s="1030"/>
      <c r="E64" s="341">
        <v>29168</v>
      </c>
      <c r="F64" s="342">
        <v>90342</v>
      </c>
      <c r="G64" s="342"/>
      <c r="H64" s="341">
        <v>7551</v>
      </c>
      <c r="I64" s="343">
        <v>24</v>
      </c>
      <c r="J64" s="341">
        <v>1780680</v>
      </c>
      <c r="K64" s="344">
        <v>483348</v>
      </c>
      <c r="L64" s="345">
        <v>5089879</v>
      </c>
      <c r="M64" s="342">
        <v>42217</v>
      </c>
      <c r="N64" s="346">
        <v>11082</v>
      </c>
      <c r="O64" s="342">
        <v>1600</v>
      </c>
      <c r="P64" s="347">
        <v>89</v>
      </c>
      <c r="Q64" s="346">
        <v>7502</v>
      </c>
      <c r="R64" s="348">
        <v>62514</v>
      </c>
      <c r="S64" s="341">
        <v>5122</v>
      </c>
      <c r="T64" s="346">
        <v>1512</v>
      </c>
      <c r="U64" s="342">
        <v>0</v>
      </c>
      <c r="V64" s="346">
        <v>0</v>
      </c>
      <c r="W64" s="348">
        <f>SUM(S64:V64)</f>
        <v>6634</v>
      </c>
    </row>
    <row r="65" spans="1:27" ht="15">
      <c r="A65" s="1031" t="s">
        <v>73</v>
      </c>
      <c r="B65" s="1032"/>
      <c r="C65" s="1032"/>
      <c r="D65" s="1033"/>
      <c r="E65" s="349">
        <v>171</v>
      </c>
      <c r="F65" s="350">
        <v>301</v>
      </c>
      <c r="G65" s="350"/>
      <c r="H65" s="414">
        <v>87</v>
      </c>
      <c r="I65" s="415">
        <v>5</v>
      </c>
      <c r="J65" s="349">
        <v>1334</v>
      </c>
      <c r="K65" s="353">
        <v>695</v>
      </c>
      <c r="L65" s="666">
        <v>2256</v>
      </c>
      <c r="M65" s="354">
        <v>205</v>
      </c>
      <c r="N65" s="355">
        <v>105</v>
      </c>
      <c r="O65" s="354">
        <v>40</v>
      </c>
      <c r="P65" s="356">
        <v>9</v>
      </c>
      <c r="Q65" s="355">
        <v>87</v>
      </c>
      <c r="R65" s="357">
        <v>250</v>
      </c>
      <c r="S65" s="414">
        <v>72</v>
      </c>
      <c r="T65" s="355">
        <v>39</v>
      </c>
      <c r="U65" s="354">
        <f>SQRT(U64)</f>
        <v>0</v>
      </c>
      <c r="V65" s="355">
        <f>SQRT(V64)</f>
        <v>0</v>
      </c>
      <c r="W65" s="357">
        <f>SQRT(W64)</f>
        <v>81.449370777188946</v>
      </c>
    </row>
    <row r="66" spans="1:27" ht="15">
      <c r="A66" s="1031" t="s">
        <v>74</v>
      </c>
      <c r="B66" s="1032"/>
      <c r="C66" s="1032"/>
      <c r="D66" s="1033"/>
      <c r="E66" s="395">
        <v>0.02</v>
      </c>
      <c r="F66" s="358">
        <v>0.02</v>
      </c>
      <c r="G66" s="358"/>
      <c r="H66" s="395">
        <v>0.11</v>
      </c>
      <c r="I66" s="358">
        <v>0.45</v>
      </c>
      <c r="J66" s="395">
        <v>0.44</v>
      </c>
      <c r="K66" s="359">
        <v>0.38</v>
      </c>
      <c r="L66" s="360">
        <v>0.39</v>
      </c>
      <c r="M66" s="358">
        <v>0.04</v>
      </c>
      <c r="N66" s="361">
        <v>0.05</v>
      </c>
      <c r="O66" s="358">
        <v>0.08</v>
      </c>
      <c r="P66" s="362">
        <v>0.06</v>
      </c>
      <c r="Q66" s="359">
        <v>7.0000000000000007E-2</v>
      </c>
      <c r="R66" s="360">
        <v>0.03</v>
      </c>
      <c r="S66" s="395">
        <v>0.06</v>
      </c>
      <c r="T66" s="567">
        <v>0.06</v>
      </c>
      <c r="U66" s="358" t="e">
        <f>U65/U63</f>
        <v>#DIV/0!</v>
      </c>
      <c r="V66" s="359" t="e">
        <f>V65/V63</f>
        <v>#DIV/0!</v>
      </c>
      <c r="W66" s="360">
        <f>W65/W63</f>
        <v>4.4556548565201831E-2</v>
      </c>
      <c r="Z66" s="218"/>
      <c r="AA66" s="218"/>
    </row>
    <row r="67" spans="1:27" ht="15.75" thickBot="1">
      <c r="A67" s="1034" t="s">
        <v>75</v>
      </c>
      <c r="B67" s="1035"/>
      <c r="C67" s="1035"/>
      <c r="D67" s="1036"/>
      <c r="E67" s="363" t="s">
        <v>338</v>
      </c>
      <c r="F67" s="364" t="s">
        <v>339</v>
      </c>
      <c r="G67" s="364"/>
      <c r="H67" s="365" t="s">
        <v>308</v>
      </c>
      <c r="I67" s="371">
        <v>44947</v>
      </c>
      <c r="J67" s="365" t="s">
        <v>309</v>
      </c>
      <c r="K67" s="367" t="s">
        <v>310</v>
      </c>
      <c r="L67" s="368" t="s">
        <v>311</v>
      </c>
      <c r="M67" s="364" t="s">
        <v>332</v>
      </c>
      <c r="N67" s="369" t="s">
        <v>333</v>
      </c>
      <c r="O67" s="364" t="s">
        <v>334</v>
      </c>
      <c r="P67" s="370" t="s">
        <v>335</v>
      </c>
      <c r="Q67" s="371" t="s">
        <v>336</v>
      </c>
      <c r="R67" s="368" t="s">
        <v>337</v>
      </c>
      <c r="S67" s="365" t="s">
        <v>312</v>
      </c>
      <c r="T67" s="568" t="s">
        <v>313</v>
      </c>
      <c r="U67" s="364" t="str">
        <f>CONCATENATE(TEXT(ROUND(U63-1.96*SQRT(U64),0),"#,###"),"-",TEXT(ROUND(U63+1.96*SQRT(U64),0),"#,###"))</f>
        <v>-</v>
      </c>
      <c r="V67" s="371" t="str">
        <f>CONCATENATE(TEXT(ROUND(V63-1.96*SQRT(V64),0),"#,###"),"-",TEXT(ROUND(V63+1.96*SQRT(V64),0),"#,###"))</f>
        <v>-</v>
      </c>
      <c r="W67" s="368" t="str">
        <f>CONCATENATE(TEXT(ROUND(W63-1.96*SQRT(W64),0),"#,###"),"-",TEXT(ROUND(W63+1.96*SQRT(W64),0),"#,###"))</f>
        <v>1,668-1,988</v>
      </c>
      <c r="Z67" s="218"/>
      <c r="AA67" s="218"/>
    </row>
    <row r="68" spans="1:27" ht="15.75" thickBot="1">
      <c r="A68" s="1037" t="s">
        <v>236</v>
      </c>
      <c r="B68" s="1038"/>
      <c r="C68" s="1038"/>
      <c r="D68" s="1039"/>
      <c r="E68" s="334">
        <f t="shared" ref="E68:W68" si="4">SUM(E14,E63)</f>
        <v>13002</v>
      </c>
      <c r="F68" s="335">
        <f t="shared" si="4"/>
        <v>24941</v>
      </c>
      <c r="G68" s="335"/>
      <c r="H68" s="334">
        <f t="shared" si="4"/>
        <v>1793</v>
      </c>
      <c r="I68" s="335">
        <f t="shared" si="4"/>
        <v>15</v>
      </c>
      <c r="J68" s="334">
        <f t="shared" si="4"/>
        <v>3963</v>
      </c>
      <c r="K68" s="335">
        <f t="shared" si="4"/>
        <v>2875</v>
      </c>
      <c r="L68" s="336">
        <f t="shared" si="4"/>
        <v>7800.8965517241377</v>
      </c>
      <c r="M68" s="337">
        <f t="shared" si="4"/>
        <v>4866</v>
      </c>
      <c r="N68" s="338">
        <f t="shared" si="4"/>
        <v>2109</v>
      </c>
      <c r="O68" s="337">
        <f t="shared" si="4"/>
        <v>508</v>
      </c>
      <c r="P68" s="339">
        <f t="shared" si="4"/>
        <v>170</v>
      </c>
      <c r="Q68" s="338">
        <f t="shared" si="4"/>
        <v>1253</v>
      </c>
      <c r="R68" s="340">
        <f t="shared" si="4"/>
        <v>8906</v>
      </c>
      <c r="S68" s="569">
        <f t="shared" si="4"/>
        <v>1219</v>
      </c>
      <c r="T68" s="338">
        <f t="shared" si="4"/>
        <v>609</v>
      </c>
      <c r="U68" s="337">
        <f t="shared" si="4"/>
        <v>0</v>
      </c>
      <c r="V68" s="338">
        <f t="shared" si="4"/>
        <v>0</v>
      </c>
      <c r="W68" s="340">
        <f t="shared" si="4"/>
        <v>1828</v>
      </c>
    </row>
    <row r="69" spans="1:27" ht="15">
      <c r="A69" s="1028" t="s">
        <v>72</v>
      </c>
      <c r="B69" s="1029"/>
      <c r="C69" s="1029"/>
      <c r="D69" s="1030"/>
      <c r="E69" s="341">
        <f t="shared" ref="E69:W69" si="5">SUM(E15,E64)</f>
        <v>45207</v>
      </c>
      <c r="F69" s="342">
        <f t="shared" si="5"/>
        <v>243209</v>
      </c>
      <c r="G69" s="342"/>
      <c r="H69" s="341">
        <f t="shared" si="5"/>
        <v>9933</v>
      </c>
      <c r="I69" s="343">
        <f t="shared" si="5"/>
        <v>26</v>
      </c>
      <c r="J69" s="341">
        <f t="shared" si="5"/>
        <v>1999816</v>
      </c>
      <c r="K69" s="344">
        <f t="shared" si="5"/>
        <v>592169</v>
      </c>
      <c r="L69" s="345">
        <f t="shared" si="5"/>
        <v>5560232</v>
      </c>
      <c r="M69" s="342">
        <f t="shared" si="5"/>
        <v>43234</v>
      </c>
      <c r="N69" s="346">
        <f t="shared" si="5"/>
        <v>11394</v>
      </c>
      <c r="O69" s="342">
        <f t="shared" si="5"/>
        <v>1636</v>
      </c>
      <c r="P69" s="347">
        <f t="shared" si="5"/>
        <v>101</v>
      </c>
      <c r="Q69" s="346">
        <f t="shared" si="5"/>
        <v>7533</v>
      </c>
      <c r="R69" s="348">
        <f t="shared" si="5"/>
        <v>63923</v>
      </c>
      <c r="S69" s="341">
        <f t="shared" si="5"/>
        <v>5122</v>
      </c>
      <c r="T69" s="346">
        <f t="shared" si="5"/>
        <v>1512</v>
      </c>
      <c r="U69" s="342">
        <f t="shared" si="5"/>
        <v>0</v>
      </c>
      <c r="V69" s="346">
        <f t="shared" si="5"/>
        <v>0</v>
      </c>
      <c r="W69" s="348">
        <f t="shared" si="5"/>
        <v>6634</v>
      </c>
    </row>
    <row r="70" spans="1:27" ht="15">
      <c r="A70" s="1031" t="s">
        <v>73</v>
      </c>
      <c r="B70" s="1032"/>
      <c r="C70" s="1032"/>
      <c r="D70" s="1033"/>
      <c r="E70" s="349">
        <f>SQRT(E69)</f>
        <v>212.61937823255903</v>
      </c>
      <c r="F70" s="350">
        <f t="shared" ref="F70:R70" si="6">SQRT(F69)</f>
        <v>493.16224510803744</v>
      </c>
      <c r="G70" s="350"/>
      <c r="H70" s="414">
        <f t="shared" si="6"/>
        <v>99.664436987322617</v>
      </c>
      <c r="I70" s="415">
        <f t="shared" si="6"/>
        <v>5.0990195135927845</v>
      </c>
      <c r="J70" s="349">
        <f t="shared" si="6"/>
        <v>1414.1485070529191</v>
      </c>
      <c r="K70" s="353">
        <f t="shared" si="6"/>
        <v>769.52517827553891</v>
      </c>
      <c r="L70" s="666">
        <f t="shared" si="6"/>
        <v>2358.0144189550665</v>
      </c>
      <c r="M70" s="354">
        <f>SQRT(M69)</f>
        <v>207.92787210953705</v>
      </c>
      <c r="N70" s="355">
        <f t="shared" si="6"/>
        <v>106.74268124794318</v>
      </c>
      <c r="O70" s="354">
        <f t="shared" si="6"/>
        <v>40.447496832313369</v>
      </c>
      <c r="P70" s="356">
        <f t="shared" si="6"/>
        <v>10.04987562112089</v>
      </c>
      <c r="Q70" s="355">
        <f t="shared" si="6"/>
        <v>86.792856848936594</v>
      </c>
      <c r="R70" s="357">
        <f t="shared" si="6"/>
        <v>252.82998239923998</v>
      </c>
      <c r="S70" s="414">
        <f t="shared" ref="S70:T70" si="7">SQRT(S69)</f>
        <v>71.568149340331559</v>
      </c>
      <c r="T70" s="355">
        <f t="shared" si="7"/>
        <v>38.884444190447162</v>
      </c>
      <c r="U70" s="354">
        <f t="shared" ref="U70:W70" si="8">SQRT(U69)</f>
        <v>0</v>
      </c>
      <c r="V70" s="355">
        <f t="shared" si="8"/>
        <v>0</v>
      </c>
      <c r="W70" s="357">
        <f t="shared" si="8"/>
        <v>81.449370777188946</v>
      </c>
    </row>
    <row r="71" spans="1:27" ht="15">
      <c r="A71" s="1031" t="s">
        <v>74</v>
      </c>
      <c r="B71" s="1032"/>
      <c r="C71" s="1032"/>
      <c r="D71" s="1033"/>
      <c r="E71" s="395">
        <f t="shared" ref="E71:R71" si="9">E70/E68</f>
        <v>1.6352820968509384E-2</v>
      </c>
      <c r="F71" s="358">
        <f t="shared" si="9"/>
        <v>1.9773154448820714E-2</v>
      </c>
      <c r="G71" s="358"/>
      <c r="H71" s="395">
        <f t="shared" si="9"/>
        <v>5.5585296702355055E-2</v>
      </c>
      <c r="I71" s="358">
        <f t="shared" si="9"/>
        <v>0.33993463423951897</v>
      </c>
      <c r="J71" s="395">
        <f>J70/J68</f>
        <v>0.35683787712665127</v>
      </c>
      <c r="K71" s="359">
        <f t="shared" si="9"/>
        <v>0.26766093157410048</v>
      </c>
      <c r="L71" s="360">
        <f t="shared" si="9"/>
        <v>0.30227479666217383</v>
      </c>
      <c r="M71" s="358">
        <f t="shared" si="9"/>
        <v>4.2730758756583859E-2</v>
      </c>
      <c r="N71" s="361">
        <f t="shared" si="9"/>
        <v>5.0612935632026165E-2</v>
      </c>
      <c r="O71" s="358">
        <f t="shared" si="9"/>
        <v>7.9621056756522382E-2</v>
      </c>
      <c r="P71" s="362">
        <f t="shared" si="9"/>
        <v>5.9116915418358174E-2</v>
      </c>
      <c r="Q71" s="359">
        <f t="shared" si="9"/>
        <v>6.9268042177922262E-2</v>
      </c>
      <c r="R71" s="360">
        <f t="shared" si="9"/>
        <v>2.8388724724819219E-2</v>
      </c>
      <c r="S71" s="395">
        <f t="shared" ref="S71:T71" si="10">S70/S68</f>
        <v>5.8710540886244098E-2</v>
      </c>
      <c r="T71" s="567">
        <f t="shared" si="10"/>
        <v>6.384966205327941E-2</v>
      </c>
      <c r="U71" s="358" t="e">
        <f t="shared" ref="U71:W71" si="11">U70/U68</f>
        <v>#DIV/0!</v>
      </c>
      <c r="V71" s="359" t="e">
        <f t="shared" si="11"/>
        <v>#DIV/0!</v>
      </c>
      <c r="W71" s="360">
        <f t="shared" si="11"/>
        <v>4.4556548565201831E-2</v>
      </c>
      <c r="Z71" s="218"/>
      <c r="AA71" s="218"/>
    </row>
    <row r="72" spans="1:27" ht="15.75" thickBot="1">
      <c r="A72" s="1034" t="s">
        <v>75</v>
      </c>
      <c r="B72" s="1035"/>
      <c r="C72" s="1035"/>
      <c r="D72" s="1036"/>
      <c r="E72" s="363" t="str">
        <f t="shared" ref="E72:R72" si="12">CONCATENATE(TEXT(ROUND(E68-1.96*SQRT(E69),0),"#,###"),"-",TEXT(ROUND(E68+1.96*SQRT(E69),0),"#,###"))</f>
        <v>12,585-13,419</v>
      </c>
      <c r="F72" s="364" t="str">
        <f t="shared" si="12"/>
        <v>23,974-25,908</v>
      </c>
      <c r="G72" s="364"/>
      <c r="H72" s="365" t="str">
        <f t="shared" si="12"/>
        <v>1,598-1,988</v>
      </c>
      <c r="I72" s="366" t="str">
        <f t="shared" si="12"/>
        <v>5-25</v>
      </c>
      <c r="J72" s="365" t="str">
        <f t="shared" si="12"/>
        <v>1,191-6,735</v>
      </c>
      <c r="K72" s="367" t="str">
        <f>CONCATENATE(TEXT(ROUND(K68-1.96*SQRT(K69),0),"#,###"),"-",TEXT(ROUND(K68+1.96*SQRT(K69),0),"#,###"))</f>
        <v>1,367-4,383</v>
      </c>
      <c r="L72" s="368" t="str">
        <f t="shared" si="12"/>
        <v>3,179-12,423</v>
      </c>
      <c r="M72" s="364" t="str">
        <f t="shared" si="12"/>
        <v>4,458-5,274</v>
      </c>
      <c r="N72" s="369" t="str">
        <f t="shared" si="12"/>
        <v>1,900-2,318</v>
      </c>
      <c r="O72" s="364" t="str">
        <f t="shared" si="12"/>
        <v>429-587</v>
      </c>
      <c r="P72" s="370" t="str">
        <f t="shared" si="12"/>
        <v>150-190</v>
      </c>
      <c r="Q72" s="371" t="str">
        <f t="shared" si="12"/>
        <v>1,083-1,423</v>
      </c>
      <c r="R72" s="368" t="str">
        <f t="shared" si="12"/>
        <v>8,410-9,402</v>
      </c>
      <c r="S72" s="365" t="str">
        <f t="shared" ref="S72:T72" si="13">CONCATENATE(TEXT(ROUND(S68-1.96*SQRT(S69),0),"#,###"),"-",TEXT(ROUND(S68+1.96*SQRT(S69),0),"#,###"))</f>
        <v>1,079-1,359</v>
      </c>
      <c r="T72" s="568" t="str">
        <f t="shared" si="13"/>
        <v>533-685</v>
      </c>
      <c r="U72" s="364" t="str">
        <f t="shared" ref="U72:W72" si="14">CONCATENATE(TEXT(ROUND(U68-1.96*SQRT(U69),0),"#,###"),"-",TEXT(ROUND(U68+1.96*SQRT(U69),0),"#,###"))</f>
        <v>-</v>
      </c>
      <c r="V72" s="371" t="str">
        <f t="shared" si="14"/>
        <v>-</v>
      </c>
      <c r="W72" s="368" t="str">
        <f t="shared" si="14"/>
        <v>1,668-1,988</v>
      </c>
      <c r="Z72" s="218"/>
      <c r="AA72" s="218"/>
    </row>
    <row r="73" spans="1:27">
      <c r="A73" t="s">
        <v>314</v>
      </c>
      <c r="I73" s="1"/>
      <c r="J73" s="2"/>
      <c r="K73" s="2"/>
      <c r="L73" s="181">
        <f>(H14/'Area 11 Encounters'!C24/0.87) + (H63/'Area 11 Encounters'!C27/0.87)</f>
        <v>7803.7356321839079</v>
      </c>
      <c r="Z73" s="218"/>
      <c r="AA73" s="218"/>
    </row>
    <row r="74" spans="1:27">
      <c r="A74" t="s">
        <v>315</v>
      </c>
      <c r="L74" s="181">
        <f>(H63/'Area 11 Encounters'!C27/0.87)</f>
        <v>4881.8965517241377</v>
      </c>
      <c r="Z74" s="218"/>
      <c r="AA74" s="218"/>
    </row>
    <row r="75" spans="1:27">
      <c r="Z75" s="218"/>
      <c r="AA75" s="218"/>
    </row>
    <row r="76" spans="1:27">
      <c r="Z76" s="218"/>
      <c r="AA76" s="218"/>
    </row>
    <row r="77" spans="1:27">
      <c r="Z77" s="218"/>
      <c r="AA77" s="218"/>
    </row>
    <row r="78" spans="1:27">
      <c r="Z78" s="218"/>
      <c r="AA78" s="218"/>
    </row>
    <row r="79" spans="1:27">
      <c r="O79" s="218"/>
      <c r="P79" s="218"/>
      <c r="Z79" s="218"/>
      <c r="AA79" s="218"/>
    </row>
    <row r="80" spans="1:27">
      <c r="O80" s="218"/>
      <c r="P80" s="218"/>
      <c r="Z80" s="218"/>
      <c r="AA80" s="218"/>
    </row>
    <row r="81" spans="15:27">
      <c r="O81" s="218"/>
      <c r="P81" s="218"/>
      <c r="Z81" s="218"/>
      <c r="AA81" s="218"/>
    </row>
    <row r="82" spans="15:27">
      <c r="O82" s="218"/>
      <c r="P82" s="218"/>
      <c r="Z82" s="218"/>
      <c r="AA82" s="218"/>
    </row>
    <row r="83" spans="15:27">
      <c r="O83" s="218"/>
      <c r="P83" s="218"/>
      <c r="Z83" s="218"/>
      <c r="AA83" s="218"/>
    </row>
    <row r="84" spans="15:27">
      <c r="O84" s="218"/>
      <c r="P84" s="218"/>
      <c r="Z84" s="218"/>
      <c r="AA84" s="218"/>
    </row>
    <row r="85" spans="15:27">
      <c r="O85" s="218"/>
      <c r="P85" s="218"/>
    </row>
    <row r="86" spans="15:27">
      <c r="O86" s="218"/>
      <c r="P86" s="218"/>
    </row>
    <row r="87" spans="15:27">
      <c r="O87" s="218"/>
      <c r="P87" s="218"/>
    </row>
    <row r="88" spans="15:27">
      <c r="O88" s="218"/>
      <c r="P88" s="218"/>
    </row>
    <row r="89" spans="15:27">
      <c r="O89" s="218"/>
      <c r="P89" s="218"/>
    </row>
    <row r="90" spans="15:27">
      <c r="O90" s="218"/>
      <c r="P90" s="218"/>
    </row>
  </sheetData>
  <mergeCells count="51">
    <mergeCell ref="S3:W3"/>
    <mergeCell ref="S4:S5"/>
    <mergeCell ref="T4:T5"/>
    <mergeCell ref="U4:U5"/>
    <mergeCell ref="V4:V5"/>
    <mergeCell ref="W4:W5"/>
    <mergeCell ref="B46:B49"/>
    <mergeCell ref="B50:B53"/>
    <mergeCell ref="B54:B57"/>
    <mergeCell ref="B58:B61"/>
    <mergeCell ref="A46:A62"/>
    <mergeCell ref="B30:B33"/>
    <mergeCell ref="B34:B37"/>
    <mergeCell ref="B38:B41"/>
    <mergeCell ref="B42:B45"/>
    <mergeCell ref="A27:A45"/>
    <mergeCell ref="A1:R1"/>
    <mergeCell ref="A2:R2"/>
    <mergeCell ref="R4:R5"/>
    <mergeCell ref="M4:N4"/>
    <mergeCell ref="O4:Q4"/>
    <mergeCell ref="J4:K4"/>
    <mergeCell ref="L4:L5"/>
    <mergeCell ref="A4:A5"/>
    <mergeCell ref="B4:B5"/>
    <mergeCell ref="C4:C5"/>
    <mergeCell ref="D4:D5"/>
    <mergeCell ref="E4:F4"/>
    <mergeCell ref="H4:I4"/>
    <mergeCell ref="A19:A26"/>
    <mergeCell ref="A14:D14"/>
    <mergeCell ref="A15:D15"/>
    <mergeCell ref="A16:D16"/>
    <mergeCell ref="A17:D17"/>
    <mergeCell ref="A18:D18"/>
    <mergeCell ref="B6:B9"/>
    <mergeCell ref="B10:B13"/>
    <mergeCell ref="A71:D71"/>
    <mergeCell ref="A72:D72"/>
    <mergeCell ref="A68:D68"/>
    <mergeCell ref="A63:D63"/>
    <mergeCell ref="A70:D70"/>
    <mergeCell ref="A64:D64"/>
    <mergeCell ref="A65:D65"/>
    <mergeCell ref="A66:D66"/>
    <mergeCell ref="A67:D67"/>
    <mergeCell ref="A69:D69"/>
    <mergeCell ref="B19:B20"/>
    <mergeCell ref="B21:B24"/>
    <mergeCell ref="B25:B26"/>
    <mergeCell ref="B27:B29"/>
  </mergeCells>
  <pageMargins left="0.7" right="0.7" top="0.75" bottom="0.75" header="0.3" footer="0.3"/>
  <pageSetup scale="57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4"/>
  <sheetViews>
    <sheetView workbookViewId="0">
      <selection activeCell="C27" sqref="C27"/>
    </sheetView>
  </sheetViews>
  <sheetFormatPr defaultColWidth="8.83203125" defaultRowHeight="12.75"/>
  <cols>
    <col min="1" max="1" width="8.83203125" style="24"/>
    <col min="2" max="2" width="30" style="24" customWidth="1"/>
    <col min="3" max="6" width="11.5" style="24" customWidth="1"/>
    <col min="7" max="7" width="8.83203125" style="24"/>
    <col min="8" max="8" width="11.33203125" style="24" customWidth="1"/>
    <col min="9" max="9" width="9.33203125" style="24" customWidth="1"/>
    <col min="10" max="16384" width="8.83203125" style="24"/>
  </cols>
  <sheetData>
    <row r="1" spans="1:9" ht="13.15" customHeight="1">
      <c r="A1" s="990" t="s">
        <v>316</v>
      </c>
      <c r="B1" s="990"/>
      <c r="C1" s="990"/>
      <c r="D1" s="990"/>
      <c r="E1" s="990"/>
      <c r="F1" s="990"/>
      <c r="G1" s="990"/>
      <c r="H1" s="990"/>
      <c r="I1" s="990"/>
    </row>
    <row r="2" spans="1:9" ht="13.5" thickBot="1">
      <c r="A2" s="991" t="s">
        <v>107</v>
      </c>
      <c r="B2" s="991"/>
      <c r="C2" s="991"/>
      <c r="D2" s="991"/>
      <c r="E2" s="991"/>
      <c r="F2" s="991"/>
      <c r="G2" s="991"/>
      <c r="H2" s="991"/>
      <c r="I2" s="991"/>
    </row>
    <row r="3" spans="1:9" ht="13.5" customHeight="1">
      <c r="A3" s="1158" t="s">
        <v>317</v>
      </c>
      <c r="B3" s="1159"/>
      <c r="C3" s="1159"/>
      <c r="D3" s="1159"/>
      <c r="E3" s="1159"/>
      <c r="F3" s="1159"/>
      <c r="G3" s="1159"/>
      <c r="H3" s="1159"/>
      <c r="I3" s="1160"/>
    </row>
    <row r="4" spans="1:9" ht="21" customHeight="1" thickBot="1">
      <c r="A4" s="1161"/>
      <c r="B4" s="1162"/>
      <c r="C4" s="1162"/>
      <c r="D4" s="1162"/>
      <c r="E4" s="1162"/>
      <c r="F4" s="1162"/>
      <c r="G4" s="1162"/>
      <c r="H4" s="1162"/>
      <c r="I4" s="1163"/>
    </row>
    <row r="5" spans="1:9" ht="14.25">
      <c r="A5" s="967" t="s">
        <v>109</v>
      </c>
      <c r="B5" s="968"/>
      <c r="C5" s="973" t="s">
        <v>110</v>
      </c>
      <c r="D5" s="973"/>
      <c r="E5" s="973"/>
      <c r="F5" s="973"/>
      <c r="G5" s="974"/>
      <c r="H5" s="975" t="s">
        <v>111</v>
      </c>
      <c r="I5" s="978" t="s">
        <v>112</v>
      </c>
    </row>
    <row r="6" spans="1:9">
      <c r="A6" s="969"/>
      <c r="B6" s="970"/>
      <c r="C6" s="981" t="s">
        <v>113</v>
      </c>
      <c r="D6" s="948" t="s">
        <v>114</v>
      </c>
      <c r="E6" s="948" t="s">
        <v>115</v>
      </c>
      <c r="F6" s="950" t="s">
        <v>116</v>
      </c>
      <c r="G6" s="952" t="s">
        <v>117</v>
      </c>
      <c r="H6" s="976"/>
      <c r="I6" s="979"/>
    </row>
    <row r="7" spans="1:9" ht="13.5" thickBot="1">
      <c r="A7" s="971"/>
      <c r="B7" s="972"/>
      <c r="C7" s="982"/>
      <c r="D7" s="949"/>
      <c r="E7" s="949"/>
      <c r="F7" s="951"/>
      <c r="G7" s="953"/>
      <c r="H7" s="977"/>
      <c r="I7" s="980"/>
    </row>
    <row r="8" spans="1:9" ht="40.5" customHeight="1" thickBot="1">
      <c r="A8" s="954" t="s">
        <v>318</v>
      </c>
      <c r="B8" s="955"/>
      <c r="C8" s="34">
        <v>21</v>
      </c>
      <c r="D8" s="35">
        <v>3</v>
      </c>
      <c r="E8" s="35">
        <v>8</v>
      </c>
      <c r="F8" s="36">
        <v>1</v>
      </c>
      <c r="G8" s="51">
        <f>SUM(C8:F8)</f>
        <v>33</v>
      </c>
      <c r="H8" s="38">
        <f>C8/(SUM(C8:D8))</f>
        <v>0.875</v>
      </c>
      <c r="I8" s="899">
        <f>SUM(C8,E8)/G8</f>
        <v>0.87878787878787878</v>
      </c>
    </row>
    <row r="9" spans="1:9" ht="30" customHeight="1" thickBot="1">
      <c r="A9" s="956" t="s">
        <v>119</v>
      </c>
      <c r="B9" s="957"/>
      <c r="C9" s="39">
        <f>C8/$G$8</f>
        <v>0.63636363636363635</v>
      </c>
      <c r="D9" s="40">
        <f>D8/G8</f>
        <v>9.0909090909090912E-2</v>
      </c>
      <c r="E9" s="40">
        <f>E8/G8</f>
        <v>0.24242424242424243</v>
      </c>
      <c r="F9" s="41">
        <f>F8/G8</f>
        <v>3.0303030303030304E-2</v>
      </c>
      <c r="G9" s="899">
        <f>G8/$G$8</f>
        <v>1</v>
      </c>
      <c r="H9" s="943"/>
      <c r="I9" s="944"/>
    </row>
    <row r="10" spans="1:9" ht="31.5" customHeight="1" thickBot="1">
      <c r="A10" s="956" t="s">
        <v>319</v>
      </c>
      <c r="B10" s="957"/>
      <c r="C10" s="899">
        <f>SQRT(((1-(C9))*(C9))/(G8-1))/(C9)</f>
        <v>0.1336306209562122</v>
      </c>
      <c r="D10" s="1176"/>
      <c r="E10" s="1177"/>
      <c r="F10" s="1177"/>
      <c r="G10" s="1177"/>
      <c r="H10" s="1177"/>
      <c r="I10" s="1178"/>
    </row>
    <row r="11" spans="1:9">
      <c r="A11" s="958" t="s">
        <v>120</v>
      </c>
      <c r="B11" s="985"/>
      <c r="C11" s="985"/>
      <c r="D11" s="985"/>
      <c r="E11" s="985"/>
      <c r="F11" s="985"/>
      <c r="G11" s="985"/>
      <c r="H11" s="985"/>
      <c r="I11" s="986"/>
    </row>
    <row r="12" spans="1:9" ht="13.5" thickBot="1">
      <c r="A12" s="1153"/>
      <c r="B12" s="1154"/>
      <c r="C12" s="1154"/>
      <c r="D12" s="1154"/>
      <c r="E12" s="1154"/>
      <c r="F12" s="1154"/>
      <c r="G12" s="1154"/>
      <c r="H12" s="1154"/>
      <c r="I12" s="1155"/>
    </row>
    <row r="13" spans="1:9">
      <c r="A13" s="958" t="s">
        <v>320</v>
      </c>
      <c r="B13" s="985"/>
      <c r="C13" s="985"/>
      <c r="D13" s="985"/>
      <c r="E13" s="985"/>
      <c r="F13" s="985"/>
      <c r="G13" s="985"/>
      <c r="H13" s="985"/>
      <c r="I13" s="986"/>
    </row>
    <row r="14" spans="1:9">
      <c r="A14" s="992"/>
      <c r="B14" s="993"/>
      <c r="C14" s="993"/>
      <c r="D14" s="993"/>
      <c r="E14" s="993"/>
      <c r="F14" s="993"/>
      <c r="G14" s="993"/>
      <c r="H14" s="993"/>
      <c r="I14" s="994"/>
    </row>
    <row r="15" spans="1:9" ht="17.649999999999999" customHeight="1" thickBot="1">
      <c r="A15" s="995"/>
      <c r="B15" s="996"/>
      <c r="C15" s="996"/>
      <c r="D15" s="996"/>
      <c r="E15" s="996"/>
      <c r="F15" s="996"/>
      <c r="G15" s="996"/>
      <c r="H15" s="996"/>
      <c r="I15" s="997"/>
    </row>
    <row r="18" spans="1:9" ht="13.5" customHeight="1">
      <c r="A18" s="990" t="s">
        <v>316</v>
      </c>
      <c r="B18" s="990"/>
      <c r="C18" s="990"/>
      <c r="D18" s="990"/>
      <c r="E18" s="990"/>
      <c r="F18" s="990"/>
      <c r="G18" s="990"/>
      <c r="H18" s="990"/>
      <c r="I18" s="50"/>
    </row>
    <row r="19" spans="1:9" ht="13.5" thickBot="1">
      <c r="A19" s="286" t="s">
        <v>321</v>
      </c>
      <c r="B19" s="286"/>
      <c r="C19" s="286"/>
      <c r="D19" s="286"/>
      <c r="E19" s="286"/>
      <c r="F19" s="286"/>
      <c r="G19" s="286"/>
      <c r="H19" s="286"/>
      <c r="I19" s="286"/>
    </row>
    <row r="20" spans="1:9" ht="14.25">
      <c r="A20" s="967" t="s">
        <v>109</v>
      </c>
      <c r="B20" s="968"/>
      <c r="C20" s="973" t="s">
        <v>110</v>
      </c>
      <c r="D20" s="973"/>
      <c r="E20" s="973"/>
      <c r="F20" s="973"/>
      <c r="G20" s="974"/>
      <c r="H20" s="975" t="s">
        <v>111</v>
      </c>
      <c r="I20" s="978" t="s">
        <v>112</v>
      </c>
    </row>
    <row r="21" spans="1:9">
      <c r="A21" s="969"/>
      <c r="B21" s="970"/>
      <c r="C21" s="981" t="s">
        <v>113</v>
      </c>
      <c r="D21" s="948" t="s">
        <v>114</v>
      </c>
      <c r="E21" s="948" t="s">
        <v>115</v>
      </c>
      <c r="F21" s="950" t="s">
        <v>116</v>
      </c>
      <c r="G21" s="952" t="s">
        <v>117</v>
      </c>
      <c r="H21" s="976"/>
      <c r="I21" s="979"/>
    </row>
    <row r="22" spans="1:9" ht="13.5" thickBot="1">
      <c r="A22" s="971"/>
      <c r="B22" s="972"/>
      <c r="C22" s="982"/>
      <c r="D22" s="949"/>
      <c r="E22" s="949"/>
      <c r="F22" s="951"/>
      <c r="G22" s="953"/>
      <c r="H22" s="977"/>
      <c r="I22" s="980"/>
    </row>
    <row r="23" spans="1:9" ht="42" customHeight="1" thickBot="1">
      <c r="A23" s="954" t="s">
        <v>322</v>
      </c>
      <c r="B23" s="955"/>
      <c r="C23" s="250">
        <v>12</v>
      </c>
      <c r="D23" s="251">
        <v>7</v>
      </c>
      <c r="E23" s="252">
        <v>8</v>
      </c>
      <c r="F23" s="253">
        <v>4</v>
      </c>
      <c r="G23" s="285">
        <f>SUM(C23:F23)</f>
        <v>31</v>
      </c>
      <c r="H23" s="38">
        <f>C23/(SUM(C23:D23))</f>
        <v>0.63157894736842102</v>
      </c>
      <c r="I23" s="38">
        <f>SUM(C23,E23)/G23</f>
        <v>0.64516129032258063</v>
      </c>
    </row>
    <row r="24" spans="1:9" ht="43.5" customHeight="1" thickBot="1">
      <c r="A24" s="956" t="s">
        <v>119</v>
      </c>
      <c r="B24" s="957"/>
      <c r="C24" s="39">
        <f>C23/G23</f>
        <v>0.38709677419354838</v>
      </c>
      <c r="D24" s="40">
        <f>D23/G23</f>
        <v>0.22580645161290322</v>
      </c>
      <c r="E24" s="40">
        <f>E23/G23</f>
        <v>0.25806451612903225</v>
      </c>
      <c r="F24" s="41">
        <f>F23/G23</f>
        <v>0.12903225806451613</v>
      </c>
      <c r="G24" s="899">
        <f>G23/G23</f>
        <v>1</v>
      </c>
      <c r="H24" s="1179"/>
      <c r="I24" s="1180"/>
    </row>
    <row r="25" spans="1:9" ht="27" customHeight="1" thickBot="1">
      <c r="A25" s="956" t="s">
        <v>319</v>
      </c>
      <c r="B25" s="957"/>
      <c r="C25" s="899">
        <f>SQRT(((1-(C24))*(C24))/(G23-1))/(C24)</f>
        <v>0.22973414586817037</v>
      </c>
      <c r="D25" s="1176"/>
      <c r="E25" s="1177"/>
      <c r="F25" s="1177"/>
      <c r="G25" s="1177"/>
      <c r="H25" s="1177"/>
      <c r="I25" s="1178"/>
    </row>
    <row r="26" spans="1:9" ht="45" customHeight="1" thickBot="1">
      <c r="A26" s="954" t="s">
        <v>323</v>
      </c>
      <c r="B26" s="955"/>
      <c r="C26" s="250">
        <v>8</v>
      </c>
      <c r="D26" s="251">
        <v>9</v>
      </c>
      <c r="E26" s="252">
        <v>20</v>
      </c>
      <c r="F26" s="253">
        <v>5</v>
      </c>
      <c r="G26" s="285">
        <f>SUM(C26:F26)</f>
        <v>42</v>
      </c>
      <c r="H26" s="38">
        <f>C26/(SUM(C26:D26))</f>
        <v>0.47058823529411764</v>
      </c>
      <c r="I26" s="38">
        <f>SUM(C26,E26)/G26</f>
        <v>0.66666666666666663</v>
      </c>
    </row>
    <row r="27" spans="1:9" ht="42.75" customHeight="1" thickBot="1">
      <c r="A27" s="956" t="s">
        <v>119</v>
      </c>
      <c r="B27" s="957"/>
      <c r="C27" s="39">
        <f>C26/G26</f>
        <v>0.19047619047619047</v>
      </c>
      <c r="D27" s="40">
        <f>D26/G26</f>
        <v>0.21428571428571427</v>
      </c>
      <c r="E27" s="40">
        <f>E26/G26</f>
        <v>0.47619047619047616</v>
      </c>
      <c r="F27" s="41">
        <f>F26/G26</f>
        <v>0.11904761904761904</v>
      </c>
      <c r="G27" s="899">
        <f>G26/G26</f>
        <v>1</v>
      </c>
      <c r="H27" s="1179"/>
      <c r="I27" s="1180"/>
    </row>
    <row r="28" spans="1:9" ht="40.5" customHeight="1" thickBot="1">
      <c r="A28" s="956" t="s">
        <v>319</v>
      </c>
      <c r="B28" s="957"/>
      <c r="C28" s="899">
        <f>SQRT(((1-(C27))*(C27))/(G26-1))/(C27)</f>
        <v>0.32196045810839236</v>
      </c>
      <c r="D28" s="1176"/>
      <c r="E28" s="1177"/>
      <c r="F28" s="1177"/>
      <c r="G28" s="1177"/>
      <c r="H28" s="1177"/>
      <c r="I28" s="1178"/>
    </row>
    <row r="29" spans="1:9">
      <c r="A29" s="958" t="s">
        <v>120</v>
      </c>
      <c r="B29" s="985"/>
      <c r="C29" s="985"/>
      <c r="D29" s="985"/>
      <c r="E29" s="985"/>
      <c r="F29" s="985"/>
      <c r="G29" s="985"/>
      <c r="H29" s="985"/>
      <c r="I29" s="986"/>
    </row>
    <row r="30" spans="1:9" ht="13.5" thickBot="1">
      <c r="A30" s="1153"/>
      <c r="B30" s="1154"/>
      <c r="C30" s="1154"/>
      <c r="D30" s="1154"/>
      <c r="E30" s="1154"/>
      <c r="F30" s="1154"/>
      <c r="G30" s="1154"/>
      <c r="H30" s="1154"/>
      <c r="I30" s="1155"/>
    </row>
    <row r="33" spans="1:9">
      <c r="A33" s="990" t="s">
        <v>324</v>
      </c>
      <c r="B33" s="991"/>
      <c r="C33" s="991"/>
      <c r="D33" s="991"/>
      <c r="E33" s="991"/>
      <c r="F33" s="991"/>
      <c r="G33" s="991"/>
      <c r="H33" s="991"/>
      <c r="I33" s="50"/>
    </row>
    <row r="34" spans="1:9" ht="13.5" thickBot="1">
      <c r="A34" s="286" t="s">
        <v>126</v>
      </c>
      <c r="B34" s="286"/>
      <c r="C34" s="286"/>
      <c r="D34" s="286"/>
      <c r="E34" s="286"/>
      <c r="F34" s="286"/>
      <c r="G34" s="286"/>
      <c r="H34" s="286"/>
      <c r="I34" s="286"/>
    </row>
    <row r="35" spans="1:9" ht="33.75" customHeight="1">
      <c r="A35" s="967" t="s">
        <v>109</v>
      </c>
      <c r="B35" s="968"/>
      <c r="C35" s="973" t="s">
        <v>110</v>
      </c>
      <c r="D35" s="973"/>
      <c r="E35" s="973"/>
      <c r="F35" s="973"/>
      <c r="G35" s="974"/>
      <c r="H35" s="975" t="s">
        <v>111</v>
      </c>
      <c r="I35" s="978" t="s">
        <v>112</v>
      </c>
    </row>
    <row r="36" spans="1:9" ht="29.25" customHeight="1">
      <c r="A36" s="969"/>
      <c r="B36" s="970"/>
      <c r="C36" s="981" t="s">
        <v>113</v>
      </c>
      <c r="D36" s="948" t="s">
        <v>114</v>
      </c>
      <c r="E36" s="948" t="s">
        <v>115</v>
      </c>
      <c r="F36" s="950" t="s">
        <v>116</v>
      </c>
      <c r="G36" s="952" t="s">
        <v>117</v>
      </c>
      <c r="H36" s="976"/>
      <c r="I36" s="979"/>
    </row>
    <row r="37" spans="1:9" ht="33" customHeight="1" thickBot="1">
      <c r="A37" s="971"/>
      <c r="B37" s="972"/>
      <c r="C37" s="982"/>
      <c r="D37" s="949"/>
      <c r="E37" s="949"/>
      <c r="F37" s="951"/>
      <c r="G37" s="953"/>
      <c r="H37" s="977"/>
      <c r="I37" s="980"/>
    </row>
    <row r="38" spans="1:9" ht="40.5" customHeight="1" thickBot="1">
      <c r="A38" s="954" t="s">
        <v>325</v>
      </c>
      <c r="B38" s="955"/>
      <c r="C38" s="250"/>
      <c r="D38" s="251"/>
      <c r="E38" s="252"/>
      <c r="F38" s="253"/>
      <c r="G38" s="285">
        <f>SUM(C38:F38)</f>
        <v>0</v>
      </c>
      <c r="H38" s="38" t="e">
        <f>C38/(SUM(C38:D38))</f>
        <v>#DIV/0!</v>
      </c>
      <c r="I38" s="38" t="e">
        <f>SUM(C38,E38)/G38</f>
        <v>#DIV/0!</v>
      </c>
    </row>
    <row r="39" spans="1:9" ht="33" customHeight="1" thickBot="1">
      <c r="A39" s="956" t="s">
        <v>129</v>
      </c>
      <c r="B39" s="957"/>
      <c r="C39" s="898" t="e">
        <f>C38/$G$38</f>
        <v>#DIV/0!</v>
      </c>
      <c r="D39" s="40" t="e">
        <f t="shared" ref="D39:F39" si="0">D38/$G$38</f>
        <v>#DIV/0!</v>
      </c>
      <c r="E39" s="40" t="e">
        <f t="shared" si="0"/>
        <v>#DIV/0!</v>
      </c>
      <c r="F39" s="41" t="e">
        <f t="shared" si="0"/>
        <v>#DIV/0!</v>
      </c>
      <c r="G39" s="899" t="e">
        <f>SUM(C39:F39)</f>
        <v>#DIV/0!</v>
      </c>
      <c r="H39" s="943"/>
      <c r="I39" s="944"/>
    </row>
    <row r="40" spans="1:9" ht="34.5" customHeight="1" thickBot="1">
      <c r="A40" s="956" t="s">
        <v>130</v>
      </c>
      <c r="B40" s="957"/>
      <c r="C40" s="40" t="e">
        <f>C39*0.89</f>
        <v>#DIV/0!</v>
      </c>
      <c r="D40" s="40" t="e">
        <f>D39</f>
        <v>#DIV/0!</v>
      </c>
      <c r="E40" s="40" t="e">
        <f>E39</f>
        <v>#DIV/0!</v>
      </c>
      <c r="F40" s="41" t="e">
        <f>F39 + (C39*0.11)</f>
        <v>#DIV/0!</v>
      </c>
      <c r="G40" s="899" t="e">
        <f>SUM(C40:F40)</f>
        <v>#DIV/0!</v>
      </c>
      <c r="H40" s="943"/>
      <c r="I40" s="944"/>
    </row>
    <row r="41" spans="1:9">
      <c r="A41" s="958" t="s">
        <v>120</v>
      </c>
      <c r="B41" s="959"/>
      <c r="C41" s="959"/>
      <c r="D41" s="959"/>
      <c r="E41" s="959"/>
      <c r="F41" s="959"/>
      <c r="G41" s="959"/>
      <c r="H41" s="959"/>
      <c r="I41" s="960"/>
    </row>
    <row r="42" spans="1:9" ht="13.5" thickBot="1">
      <c r="A42" s="961"/>
      <c r="B42" s="962"/>
      <c r="C42" s="962"/>
      <c r="D42" s="962"/>
      <c r="E42" s="962"/>
      <c r="F42" s="962"/>
      <c r="G42" s="962"/>
      <c r="H42" s="962"/>
      <c r="I42" s="963"/>
    </row>
    <row r="43" spans="1:9">
      <c r="A43" s="958" t="s">
        <v>131</v>
      </c>
      <c r="B43" s="959"/>
      <c r="C43" s="959"/>
      <c r="D43" s="959"/>
      <c r="E43" s="959"/>
      <c r="F43" s="959"/>
      <c r="G43" s="959"/>
      <c r="H43" s="959"/>
      <c r="I43" s="960"/>
    </row>
    <row r="44" spans="1:9" ht="13.5" thickBot="1">
      <c r="A44" s="964"/>
      <c r="B44" s="965"/>
      <c r="C44" s="965"/>
      <c r="D44" s="965"/>
      <c r="E44" s="965"/>
      <c r="F44" s="965"/>
      <c r="G44" s="965"/>
      <c r="H44" s="965"/>
      <c r="I44" s="966"/>
    </row>
  </sheetData>
  <mergeCells count="57">
    <mergeCell ref="A29:I30"/>
    <mergeCell ref="A23:B23"/>
    <mergeCell ref="A24:B24"/>
    <mergeCell ref="H24:I24"/>
    <mergeCell ref="A25:B25"/>
    <mergeCell ref="D25:I25"/>
    <mergeCell ref="A26:B26"/>
    <mergeCell ref="A27:B27"/>
    <mergeCell ref="H27:I27"/>
    <mergeCell ref="A28:B28"/>
    <mergeCell ref="D28:I28"/>
    <mergeCell ref="A18:H18"/>
    <mergeCell ref="A20:B22"/>
    <mergeCell ref="C20:G20"/>
    <mergeCell ref="H20:H22"/>
    <mergeCell ref="I20:I22"/>
    <mergeCell ref="C21:C22"/>
    <mergeCell ref="D21:D22"/>
    <mergeCell ref="E21:E22"/>
    <mergeCell ref="F21:F22"/>
    <mergeCell ref="G21:G22"/>
    <mergeCell ref="A1:I1"/>
    <mergeCell ref="A2:I2"/>
    <mergeCell ref="A8:B8"/>
    <mergeCell ref="A9:B9"/>
    <mergeCell ref="H9:I9"/>
    <mergeCell ref="C6:C7"/>
    <mergeCell ref="D6:D7"/>
    <mergeCell ref="E6:E7"/>
    <mergeCell ref="F6:F7"/>
    <mergeCell ref="G6:G7"/>
    <mergeCell ref="A11:I12"/>
    <mergeCell ref="A13:I15"/>
    <mergeCell ref="A3:I4"/>
    <mergeCell ref="A5:B7"/>
    <mergeCell ref="C5:G5"/>
    <mergeCell ref="H5:H7"/>
    <mergeCell ref="I5:I7"/>
    <mergeCell ref="A10:B10"/>
    <mergeCell ref="D10:I10"/>
    <mergeCell ref="A33:H33"/>
    <mergeCell ref="A35:B37"/>
    <mergeCell ref="C35:G35"/>
    <mergeCell ref="H35:H37"/>
    <mergeCell ref="I35:I37"/>
    <mergeCell ref="C36:C37"/>
    <mergeCell ref="D36:D37"/>
    <mergeCell ref="E36:E37"/>
    <mergeCell ref="F36:F37"/>
    <mergeCell ref="G36:G37"/>
    <mergeCell ref="A40:B40"/>
    <mergeCell ref="H40:I40"/>
    <mergeCell ref="A41:I42"/>
    <mergeCell ref="A43:I44"/>
    <mergeCell ref="A38:B38"/>
    <mergeCell ref="A39:B39"/>
    <mergeCell ref="H39:I39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917E-7282-4725-B3D8-88D47B309720}">
  <sheetPr>
    <tabColor theme="6"/>
  </sheetPr>
  <dimension ref="A1:O175"/>
  <sheetViews>
    <sheetView topLeftCell="A140" workbookViewId="0">
      <selection activeCell="M100" sqref="M100"/>
    </sheetView>
  </sheetViews>
  <sheetFormatPr defaultRowHeight="12.75"/>
  <cols>
    <col min="2" max="2" width="11" bestFit="1" customWidth="1"/>
    <col min="3" max="3" width="18" bestFit="1" customWidth="1"/>
    <col min="4" max="4" width="20.33203125" bestFit="1" customWidth="1"/>
    <col min="5" max="6" width="15.1640625" customWidth="1"/>
    <col min="7" max="7" width="10.83203125" customWidth="1"/>
    <col min="8" max="9" width="13" customWidth="1"/>
    <col min="10" max="10" width="13.5" customWidth="1"/>
    <col min="11" max="11" width="20.1640625" customWidth="1"/>
    <col min="12" max="12" width="16.1640625" customWidth="1"/>
    <col min="13" max="13" width="17.83203125" customWidth="1"/>
  </cols>
  <sheetData>
    <row r="1" spans="1:13">
      <c r="A1" s="59" t="s">
        <v>32</v>
      </c>
    </row>
    <row r="3" spans="1:13" ht="29.25" customHeight="1">
      <c r="A3" s="22" t="s">
        <v>0</v>
      </c>
      <c r="B3" s="22" t="s">
        <v>1</v>
      </c>
      <c r="C3" s="22" t="s">
        <v>33</v>
      </c>
      <c r="D3" s="23" t="s">
        <v>34</v>
      </c>
      <c r="E3" s="23" t="s">
        <v>35</v>
      </c>
      <c r="F3" s="23" t="s">
        <v>36</v>
      </c>
      <c r="G3" s="23" t="s">
        <v>37</v>
      </c>
      <c r="H3" s="23" t="s">
        <v>38</v>
      </c>
      <c r="I3" s="23" t="s">
        <v>39</v>
      </c>
      <c r="J3" s="23" t="s">
        <v>40</v>
      </c>
      <c r="K3" s="23" t="s">
        <v>41</v>
      </c>
    </row>
    <row r="4" spans="1:13">
      <c r="A4" s="25">
        <v>5</v>
      </c>
      <c r="B4" s="25" t="s">
        <v>11</v>
      </c>
      <c r="C4" s="25" t="s">
        <v>42</v>
      </c>
      <c r="D4" s="530">
        <f>SUM('EstArea 5 2023'!G47:G64)+((1/4)*('EstArea 5 2023'!G65))</f>
        <v>619</v>
      </c>
      <c r="E4" s="530">
        <f>SUM('EstArea 5 2023'!H47:H64)+((1/4)*('EstArea 5 2023'!H65))</f>
        <v>17.25</v>
      </c>
      <c r="F4" s="530">
        <f>SUM('EstArea 5 2023'!I47:I64)+((1/4)*('EstArea 5 2023'!I65))</f>
        <v>4</v>
      </c>
      <c r="G4" s="530">
        <f>SUM('EstArea 5 2023'!J47:J64)+((1/4)*('EstArea 5 2023'!J65))</f>
        <v>145.5</v>
      </c>
      <c r="H4" s="530">
        <f>SUM('EstArea 5 2023'!K47:K64)+((1/4)*('EstArea 5 2023'!K65))</f>
        <v>644.75</v>
      </c>
      <c r="I4" s="530">
        <f>SUM('EstArea 5 2023'!L47:L64)+((1/4)*('EstArea 5 2023'!L65))</f>
        <v>350.5</v>
      </c>
      <c r="J4" s="530">
        <f>SUM(D4:I4)</f>
        <v>1781</v>
      </c>
      <c r="K4" s="247"/>
      <c r="L4" s="185"/>
    </row>
    <row r="5" spans="1:13">
      <c r="A5" s="26">
        <v>5</v>
      </c>
      <c r="B5" s="26" t="s">
        <v>13</v>
      </c>
      <c r="C5" s="26" t="s">
        <v>42</v>
      </c>
      <c r="D5" s="539">
        <v>1533</v>
      </c>
      <c r="E5" s="539">
        <v>19</v>
      </c>
      <c r="F5" s="539"/>
      <c r="G5" s="539">
        <f>17/0.07</f>
        <v>242.85714285714283</v>
      </c>
      <c r="H5" s="539">
        <f>129/0.07</f>
        <v>1842.8571428571427</v>
      </c>
      <c r="I5" s="539"/>
      <c r="J5" s="539">
        <f>1826+1780</f>
        <v>3606</v>
      </c>
      <c r="K5" s="28"/>
      <c r="L5" s="185"/>
    </row>
    <row r="6" spans="1:13" ht="14.25">
      <c r="A6" s="25"/>
      <c r="B6" s="25" t="s">
        <v>15</v>
      </c>
      <c r="C6" s="25"/>
      <c r="D6" s="27">
        <f>D5-D4</f>
        <v>914</v>
      </c>
      <c r="E6" s="27">
        <f>E5-E4</f>
        <v>1.75</v>
      </c>
      <c r="F6" s="27"/>
      <c r="G6" s="25">
        <f>G5-G4</f>
        <v>97.357142857142833</v>
      </c>
      <c r="H6" s="27">
        <f>H5-H4</f>
        <v>1198.1071428571427</v>
      </c>
      <c r="I6" s="27"/>
      <c r="J6" s="27">
        <f>J5-J4</f>
        <v>1825</v>
      </c>
      <c r="K6" s="24"/>
    </row>
    <row r="7" spans="1:13">
      <c r="A7" s="24"/>
      <c r="B7" s="28" t="s">
        <v>17</v>
      </c>
      <c r="C7" s="28"/>
      <c r="D7" s="187">
        <f>D4/D5</f>
        <v>0.40378343118069143</v>
      </c>
      <c r="E7" s="187">
        <f>E4/E5</f>
        <v>0.90789473684210531</v>
      </c>
      <c r="F7" s="187"/>
      <c r="G7" s="187">
        <f>G4/G5</f>
        <v>0.59911764705882364</v>
      </c>
      <c r="H7" s="187">
        <f>H4/H5</f>
        <v>0.34986434108527137</v>
      </c>
      <c r="I7" s="187"/>
      <c r="J7" s="187">
        <f>J4/J5</f>
        <v>0.49389905712701054</v>
      </c>
      <c r="K7" s="28"/>
    </row>
    <row r="9" spans="1:13" ht="25.5" customHeight="1">
      <c r="A9" s="22" t="s">
        <v>0</v>
      </c>
      <c r="B9" s="22" t="s">
        <v>1</v>
      </c>
      <c r="C9" s="22" t="s">
        <v>33</v>
      </c>
      <c r="D9" s="23" t="s">
        <v>34</v>
      </c>
      <c r="E9" s="23" t="s">
        <v>35</v>
      </c>
      <c r="F9" s="23" t="s">
        <v>36</v>
      </c>
      <c r="G9" s="23" t="s">
        <v>37</v>
      </c>
      <c r="H9" s="23" t="s">
        <v>38</v>
      </c>
      <c r="I9" s="23" t="s">
        <v>39</v>
      </c>
      <c r="J9" s="23" t="s">
        <v>40</v>
      </c>
      <c r="K9" s="23" t="s">
        <v>41</v>
      </c>
    </row>
    <row r="10" spans="1:13">
      <c r="A10" s="25">
        <v>5</v>
      </c>
      <c r="B10" s="25" t="s">
        <v>11</v>
      </c>
      <c r="C10" s="25" t="s">
        <v>43</v>
      </c>
      <c r="D10" s="246">
        <f>SUM('EstArea 5 2023'!G66:G82)+((3/4)*('EstArea 5 2023'!G65))</f>
        <v>4574</v>
      </c>
      <c r="E10" s="246">
        <f>SUM('EstArea 5 2023'!H66:H82)+((3/4)*('EstArea 5 2023'!H65))</f>
        <v>96.75</v>
      </c>
      <c r="F10" s="246">
        <f>SUM('EstArea 5 2023'!I66:I82)+((3/4)*('EstArea 5 2023'!I65))</f>
        <v>38</v>
      </c>
      <c r="G10" s="246">
        <f>SUM('EstArea 5 2023'!J66:J82)+((3/4)*('EstArea 5 2023'!J65))</f>
        <v>168.5</v>
      </c>
      <c r="H10" s="246">
        <f>SUM('EstArea 5 2023'!K66:K82)+((3/4)*('EstArea 5 2023'!K65))</f>
        <v>6119.25</v>
      </c>
      <c r="I10" s="246">
        <f>SUM('EstArea 5 2023'!L66:L82)+((3/4)*('EstArea 5 2023'!L65))</f>
        <v>103.5</v>
      </c>
      <c r="J10" s="246">
        <f>SUM(D10:I10)</f>
        <v>11100</v>
      </c>
      <c r="K10" s="247"/>
      <c r="M10" s="185"/>
    </row>
    <row r="11" spans="1:13">
      <c r="A11" s="26">
        <v>5</v>
      </c>
      <c r="B11" s="26" t="s">
        <v>13</v>
      </c>
      <c r="C11" s="26" t="s">
        <v>43</v>
      </c>
      <c r="D11" s="539">
        <v>3199</v>
      </c>
      <c r="E11" s="539">
        <v>40</v>
      </c>
      <c r="F11" s="539"/>
      <c r="G11" s="539">
        <f>36/0.07</f>
        <v>514.28571428571422</v>
      </c>
      <c r="H11" s="539">
        <f>279/0.07</f>
        <v>3985.7142857142853</v>
      </c>
      <c r="I11" s="539"/>
      <c r="J11" s="539">
        <f>3938+3710</f>
        <v>7648</v>
      </c>
      <c r="K11" s="28"/>
      <c r="L11" s="185"/>
    </row>
    <row r="12" spans="1:13" ht="14.25">
      <c r="A12" s="25"/>
      <c r="B12" s="25" t="s">
        <v>15</v>
      </c>
      <c r="C12" s="25"/>
      <c r="D12" s="27">
        <f t="shared" ref="D12:E12" si="0">D11-D10</f>
        <v>-1375</v>
      </c>
      <c r="E12" s="27">
        <f t="shared" si="0"/>
        <v>-56.75</v>
      </c>
      <c r="F12" s="27"/>
      <c r="G12" s="25">
        <f>G11-G10</f>
        <v>345.78571428571422</v>
      </c>
      <c r="H12" s="27">
        <f>H11-H10</f>
        <v>-2133.5357142857147</v>
      </c>
      <c r="I12" s="27"/>
      <c r="J12" s="27">
        <f>J11-J10</f>
        <v>-3452</v>
      </c>
      <c r="K12" s="24"/>
    </row>
    <row r="13" spans="1:13">
      <c r="A13" s="24"/>
      <c r="B13" s="28" t="s">
        <v>17</v>
      </c>
      <c r="C13" s="28"/>
      <c r="D13" s="187">
        <f t="shared" ref="D13" si="1">D10/D11</f>
        <v>1.429821819318537</v>
      </c>
      <c r="E13" s="187">
        <f>E10/E11</f>
        <v>2.4187500000000002</v>
      </c>
      <c r="F13" s="187"/>
      <c r="G13" s="187">
        <f>G10/G11</f>
        <v>0.32763888888888892</v>
      </c>
      <c r="H13" s="187">
        <f>H10/H11</f>
        <v>1.5352956989247313</v>
      </c>
      <c r="I13" s="187"/>
      <c r="J13" s="187">
        <f>J10/J11</f>
        <v>1.4513598326359833</v>
      </c>
      <c r="K13" s="28"/>
    </row>
    <row r="15" spans="1:13" ht="26.25" customHeight="1">
      <c r="A15" s="22" t="s">
        <v>0</v>
      </c>
      <c r="B15" s="22" t="s">
        <v>1</v>
      </c>
      <c r="C15" s="22" t="s">
        <v>33</v>
      </c>
      <c r="D15" s="23" t="s">
        <v>34</v>
      </c>
      <c r="E15" s="23" t="s">
        <v>35</v>
      </c>
      <c r="F15" s="23" t="s">
        <v>36</v>
      </c>
      <c r="G15" s="23" t="s">
        <v>37</v>
      </c>
      <c r="H15" s="23" t="s">
        <v>38</v>
      </c>
      <c r="I15" s="23" t="s">
        <v>39</v>
      </c>
      <c r="J15" s="23" t="s">
        <v>40</v>
      </c>
      <c r="K15" s="23" t="s">
        <v>41</v>
      </c>
    </row>
    <row r="16" spans="1:13">
      <c r="A16" s="25">
        <v>5</v>
      </c>
      <c r="B16" s="25" t="s">
        <v>11</v>
      </c>
      <c r="C16" s="25" t="s">
        <v>44</v>
      </c>
      <c r="D16" s="246">
        <f>SUM('EstArea 5 2023'!G83:G100)</f>
        <v>9614</v>
      </c>
      <c r="E16" s="246">
        <f>SUM('EstArea 5 2023'!H83:H100)</f>
        <v>95</v>
      </c>
      <c r="F16" s="246">
        <f>SUM('EstArea 5 2023'!I83:I100)</f>
        <v>32</v>
      </c>
      <c r="G16" s="246">
        <f>SUM('EstArea 5 2023'!J83:J100)</f>
        <v>610</v>
      </c>
      <c r="H16" s="246">
        <f>SUM('EstArea 5 2023'!K83:K100)</f>
        <v>14899</v>
      </c>
      <c r="I16" s="246">
        <f>SUM('EstArea 5 2023'!L83:L100)</f>
        <v>1323</v>
      </c>
      <c r="J16" s="530">
        <f>SUM(D16:I16)</f>
        <v>26573</v>
      </c>
      <c r="K16" s="247"/>
    </row>
    <row r="17" spans="1:13">
      <c r="A17" s="26">
        <v>5</v>
      </c>
      <c r="B17" s="26" t="s">
        <v>13</v>
      </c>
      <c r="C17" s="26" t="s">
        <v>44</v>
      </c>
      <c r="D17" s="539">
        <v>10501</v>
      </c>
      <c r="E17" s="539">
        <v>149</v>
      </c>
      <c r="F17" s="539"/>
      <c r="G17" s="539">
        <f>120/0.07</f>
        <v>1714.2857142857142</v>
      </c>
      <c r="H17" s="539">
        <f>1033/0.07</f>
        <v>14757.142857142855</v>
      </c>
      <c r="I17" s="539"/>
      <c r="J17" s="539">
        <f>14446+12145</f>
        <v>26591</v>
      </c>
      <c r="K17" s="28"/>
    </row>
    <row r="18" spans="1:13" ht="14.25">
      <c r="A18" s="25"/>
      <c r="B18" s="25" t="s">
        <v>15</v>
      </c>
      <c r="C18" s="25"/>
      <c r="D18" s="27">
        <f>D17-D16</f>
        <v>887</v>
      </c>
      <c r="E18" s="27">
        <f t="shared" ref="E18:G18" si="2">E17-E16</f>
        <v>54</v>
      </c>
      <c r="F18" s="27"/>
      <c r="G18" s="25">
        <f t="shared" si="2"/>
        <v>1104.2857142857142</v>
      </c>
      <c r="H18" s="27">
        <f>H17-H16</f>
        <v>-141.85714285714494</v>
      </c>
      <c r="I18" s="27"/>
      <c r="J18" s="27">
        <f t="shared" ref="J18" si="3">J17-J16</f>
        <v>18</v>
      </c>
      <c r="K18" s="24"/>
    </row>
    <row r="19" spans="1:13">
      <c r="A19" s="24"/>
      <c r="B19" s="28" t="s">
        <v>17</v>
      </c>
      <c r="C19" s="28"/>
      <c r="D19" s="187">
        <f t="shared" ref="D19" si="4">D16/D17</f>
        <v>0.91553185410913251</v>
      </c>
      <c r="E19" s="187">
        <f>E16/E17</f>
        <v>0.63758389261744963</v>
      </c>
      <c r="F19" s="187"/>
      <c r="G19" s="187">
        <f>G16/G17</f>
        <v>0.35583333333333333</v>
      </c>
      <c r="H19" s="187">
        <f>H16/H17</f>
        <v>1.0096127783155857</v>
      </c>
      <c r="I19" s="187"/>
      <c r="J19" s="187">
        <f>J16/J17</f>
        <v>0.99932307923733599</v>
      </c>
      <c r="K19" s="28"/>
    </row>
    <row r="21" spans="1:13" ht="25.5">
      <c r="A21" s="22" t="s">
        <v>0</v>
      </c>
      <c r="B21" s="22" t="s">
        <v>1</v>
      </c>
      <c r="C21" s="22" t="s">
        <v>33</v>
      </c>
      <c r="D21" s="23" t="s">
        <v>34</v>
      </c>
      <c r="E21" s="23" t="s">
        <v>35</v>
      </c>
      <c r="F21" s="23" t="s">
        <v>36</v>
      </c>
      <c r="G21" s="23" t="s">
        <v>45</v>
      </c>
      <c r="H21" s="23" t="s">
        <v>37</v>
      </c>
      <c r="I21" s="23" t="s">
        <v>38</v>
      </c>
      <c r="J21" s="23" t="s">
        <v>39</v>
      </c>
      <c r="K21" s="23" t="s">
        <v>46</v>
      </c>
      <c r="L21" s="23" t="s">
        <v>40</v>
      </c>
      <c r="M21" s="248" t="s">
        <v>47</v>
      </c>
    </row>
    <row r="22" spans="1:13">
      <c r="A22" s="25">
        <v>5</v>
      </c>
      <c r="B22" s="25" t="s">
        <v>11</v>
      </c>
      <c r="C22" s="25" t="s">
        <v>48</v>
      </c>
      <c r="D22" s="246">
        <f>SUM('EstArea 5 2023'!G101:G103)</f>
        <v>381</v>
      </c>
      <c r="E22" s="246">
        <f>SUM('EstArea 5 2023'!H101:H103)</f>
        <v>2111</v>
      </c>
      <c r="F22" s="246">
        <f>SUM('EstArea 5 2023'!I101:I103)</f>
        <v>0</v>
      </c>
      <c r="G22" s="246">
        <f>SUM(D22:F22)</f>
        <v>2492</v>
      </c>
      <c r="H22" s="246">
        <f>SUM('EstArea 5 2023'!J101:J103)</f>
        <v>213</v>
      </c>
      <c r="I22" s="246">
        <f>SUM('EstArea 5 2023'!K101:K103)</f>
        <v>190</v>
      </c>
      <c r="J22" s="246">
        <f>SUM('EstArea 5 2023'!L101:L103)</f>
        <v>862</v>
      </c>
      <c r="K22" s="246"/>
      <c r="L22" s="246">
        <f>SUM(D22:F22,H22:J22)</f>
        <v>3757</v>
      </c>
      <c r="M22" s="247"/>
    </row>
    <row r="23" spans="1:13">
      <c r="A23" s="26">
        <v>5</v>
      </c>
      <c r="B23" s="26" t="s">
        <v>13</v>
      </c>
      <c r="C23" s="26" t="s">
        <v>48</v>
      </c>
      <c r="D23" s="539">
        <v>929</v>
      </c>
      <c r="E23" s="539">
        <v>1010</v>
      </c>
      <c r="F23" s="539"/>
      <c r="G23" s="539">
        <v>1939</v>
      </c>
      <c r="H23" s="539"/>
      <c r="I23" s="539"/>
      <c r="J23" s="539"/>
      <c r="K23" s="539">
        <f>97/0.05</f>
        <v>1940</v>
      </c>
      <c r="L23" s="539">
        <f>G23+K23</f>
        <v>3879</v>
      </c>
      <c r="M23" s="247"/>
    </row>
    <row r="24" spans="1:13" ht="14.25">
      <c r="A24" s="25"/>
      <c r="B24" s="25" t="s">
        <v>15</v>
      </c>
      <c r="C24" s="25"/>
      <c r="D24" s="27">
        <f>D23-D22</f>
        <v>548</v>
      </c>
      <c r="E24" s="27">
        <f>E23-E22</f>
        <v>-1101</v>
      </c>
      <c r="F24" s="27"/>
      <c r="G24" s="27">
        <f>G23-G22</f>
        <v>-553</v>
      </c>
      <c r="H24" s="25"/>
      <c r="I24" s="27"/>
      <c r="J24" s="27"/>
      <c r="K24" s="27"/>
      <c r="L24" s="27">
        <f>L23-L22</f>
        <v>122</v>
      </c>
    </row>
    <row r="25" spans="1:13">
      <c r="A25" s="533"/>
      <c r="B25" s="534" t="s">
        <v>17</v>
      </c>
      <c r="C25" s="534"/>
      <c r="D25" s="776">
        <f>D22/D23</f>
        <v>0.4101184068891281</v>
      </c>
      <c r="E25" s="776">
        <f>E22/E23</f>
        <v>2.0900990099009902</v>
      </c>
      <c r="F25" s="535"/>
      <c r="G25" s="776">
        <f>G22/G23</f>
        <v>1.2851985559566788</v>
      </c>
      <c r="H25" s="535"/>
      <c r="I25" s="535"/>
      <c r="J25" s="535"/>
      <c r="K25" s="535"/>
      <c r="L25" s="776">
        <f>L22/L23</f>
        <v>0.96854859499871104</v>
      </c>
      <c r="M25" s="536"/>
    </row>
    <row r="27" spans="1:13" ht="27" customHeight="1">
      <c r="A27" s="22" t="s">
        <v>0</v>
      </c>
      <c r="B27" s="22" t="s">
        <v>1</v>
      </c>
      <c r="C27" s="22" t="s">
        <v>33</v>
      </c>
      <c r="D27" s="23" t="s">
        <v>34</v>
      </c>
      <c r="E27" s="23" t="s">
        <v>35</v>
      </c>
      <c r="F27" s="23" t="s">
        <v>36</v>
      </c>
      <c r="G27" s="23" t="s">
        <v>37</v>
      </c>
      <c r="H27" s="23" t="s">
        <v>38</v>
      </c>
      <c r="I27" s="23" t="s">
        <v>39</v>
      </c>
      <c r="J27" s="23" t="s">
        <v>40</v>
      </c>
      <c r="K27" s="23" t="s">
        <v>41</v>
      </c>
    </row>
    <row r="28" spans="1:13">
      <c r="A28" s="25">
        <v>6</v>
      </c>
      <c r="B28" s="25" t="s">
        <v>11</v>
      </c>
      <c r="C28" s="25" t="s">
        <v>42</v>
      </c>
      <c r="D28" s="530">
        <f>SUM('EstArea 6 2023'!G47:G64)+((1/4)*('EstArea 6 2023'!G65))</f>
        <v>241.5</v>
      </c>
      <c r="E28" s="530">
        <f>SUM('EstArea 6 2023'!H47:H64)+((1/4)*('EstArea 6 2023'!H65))</f>
        <v>4</v>
      </c>
      <c r="F28" s="530">
        <f>SUM('EstArea 6 2023'!I47:I64)+((1/4)*('EstArea 6 2023'!I65))</f>
        <v>0</v>
      </c>
      <c r="G28" s="530">
        <f>SUM('EstArea 6 2023'!J47:J64)+((1/4)*('EstArea 6 2023'!J65))</f>
        <v>62</v>
      </c>
      <c r="H28" s="530">
        <f>SUM('EstArea 6 2023'!K47:K64)+((1/4)*('EstArea 6 2023'!K65))</f>
        <v>414.5</v>
      </c>
      <c r="I28" s="530">
        <f>SUM('EstArea 6 2023'!L47:L64)+((1/4)*('EstArea 6 2023'!L65))</f>
        <v>131.5</v>
      </c>
      <c r="J28" s="246">
        <f>SUM(D28:I28)</f>
        <v>853.5</v>
      </c>
      <c r="K28" s="247"/>
      <c r="L28" s="185"/>
    </row>
    <row r="29" spans="1:13" ht="13.5" customHeight="1">
      <c r="A29" s="26">
        <v>6</v>
      </c>
      <c r="B29" s="26" t="s">
        <v>13</v>
      </c>
      <c r="C29" s="26" t="s">
        <v>42</v>
      </c>
      <c r="D29" s="539">
        <v>479</v>
      </c>
      <c r="E29" s="539">
        <v>13</v>
      </c>
      <c r="F29" s="539"/>
      <c r="G29" s="539">
        <f>6/0.07</f>
        <v>85.714285714285708</v>
      </c>
      <c r="H29" s="539">
        <f>44/0.07</f>
        <v>628.57142857142856</v>
      </c>
      <c r="I29" s="539"/>
      <c r="J29" s="539">
        <f>637+569</f>
        <v>1206</v>
      </c>
      <c r="K29" s="28"/>
      <c r="L29" s="185"/>
    </row>
    <row r="30" spans="1:13" ht="14.25">
      <c r="A30" s="25"/>
      <c r="B30" s="25" t="s">
        <v>15</v>
      </c>
      <c r="C30" s="25"/>
      <c r="D30" s="27">
        <f>D29-D28</f>
        <v>237.5</v>
      </c>
      <c r="E30" s="27">
        <f>E29-E28</f>
        <v>9</v>
      </c>
      <c r="F30" s="27"/>
      <c r="G30" s="25">
        <f>G29-G28</f>
        <v>23.714285714285708</v>
      </c>
      <c r="H30" s="27">
        <f>H29-H28</f>
        <v>214.07142857142856</v>
      </c>
      <c r="I30" s="27"/>
      <c r="J30" s="27">
        <f>J29-J28</f>
        <v>352.5</v>
      </c>
      <c r="K30" s="24"/>
    </row>
    <row r="31" spans="1:13">
      <c r="A31" s="24"/>
      <c r="B31" s="28" t="s">
        <v>17</v>
      </c>
      <c r="C31" s="28"/>
      <c r="D31" s="187">
        <f>D28/D29</f>
        <v>0.50417536534446761</v>
      </c>
      <c r="E31" s="187">
        <f>E28/E29</f>
        <v>0.30769230769230771</v>
      </c>
      <c r="F31" s="187"/>
      <c r="G31" s="187">
        <f>G28/G29</f>
        <v>0.72333333333333338</v>
      </c>
      <c r="H31" s="187">
        <f>H28/H29</f>
        <v>0.65943181818181817</v>
      </c>
      <c r="I31" s="187"/>
      <c r="J31" s="187">
        <f>J28/J29</f>
        <v>0.70771144278606968</v>
      </c>
      <c r="K31" s="28"/>
    </row>
    <row r="33" spans="1:13" ht="27.75" customHeight="1">
      <c r="A33" s="22" t="s">
        <v>0</v>
      </c>
      <c r="B33" s="22" t="s">
        <v>1</v>
      </c>
      <c r="C33" s="22" t="s">
        <v>33</v>
      </c>
      <c r="D33" s="23" t="s">
        <v>34</v>
      </c>
      <c r="E33" s="23" t="s">
        <v>35</v>
      </c>
      <c r="F33" s="23" t="s">
        <v>36</v>
      </c>
      <c r="G33" s="23" t="s">
        <v>37</v>
      </c>
      <c r="H33" s="23" t="s">
        <v>38</v>
      </c>
      <c r="I33" s="23" t="s">
        <v>39</v>
      </c>
      <c r="J33" s="23" t="s">
        <v>40</v>
      </c>
      <c r="K33" s="23" t="s">
        <v>41</v>
      </c>
    </row>
    <row r="34" spans="1:13">
      <c r="A34" s="25">
        <v>6</v>
      </c>
      <c r="B34" s="25" t="s">
        <v>11</v>
      </c>
      <c r="C34" s="25" t="s">
        <v>43</v>
      </c>
      <c r="D34" s="530">
        <f>SUM('EstArea 6 2023'!G66:G82)+((3/4)*('EstArea 6 2023'!G65))</f>
        <v>723.5</v>
      </c>
      <c r="E34" s="530">
        <f>SUM('EstArea 6 2023'!H66:H82)+((3/4)*('EstArea 6 2023'!H65))</f>
        <v>21</v>
      </c>
      <c r="F34" s="530">
        <f>SUM('EstArea 6 2023'!I66:I82)+((3/4)*('EstArea 6 2023'!I65))</f>
        <v>0</v>
      </c>
      <c r="G34" s="530">
        <f>SUM('EstArea 6 2023'!J66:J82)+((3/4)*('EstArea 6 2023'!J65))</f>
        <v>94</v>
      </c>
      <c r="H34" s="530">
        <f>SUM('EstArea 6 2023'!K66:K82)+((3/4)*('EstArea 6 2023'!K65))</f>
        <v>700.5</v>
      </c>
      <c r="I34" s="530">
        <f>SUM('EstArea 6 2023'!L66:L82)+((3/4)*('EstArea 6 2023'!L65))</f>
        <v>187.5</v>
      </c>
      <c r="J34" s="246">
        <f>SUM(D34:I34)</f>
        <v>1726.5</v>
      </c>
      <c r="K34" s="247"/>
      <c r="M34" s="185"/>
    </row>
    <row r="35" spans="1:13">
      <c r="A35" s="26">
        <v>6</v>
      </c>
      <c r="B35" s="26" t="s">
        <v>13</v>
      </c>
      <c r="C35" s="26" t="s">
        <v>43</v>
      </c>
      <c r="D35" s="539">
        <v>519</v>
      </c>
      <c r="E35" s="539">
        <v>13</v>
      </c>
      <c r="F35" s="539"/>
      <c r="G35" s="539">
        <f>7/0.07</f>
        <v>99.999999999999986</v>
      </c>
      <c r="H35" s="539">
        <f>45/0.07</f>
        <v>642.85714285714278</v>
      </c>
      <c r="I35" s="539"/>
      <c r="J35" s="539">
        <f>649+616</f>
        <v>1265</v>
      </c>
      <c r="K35" s="28"/>
      <c r="L35" s="185"/>
    </row>
    <row r="36" spans="1:13" ht="14.25">
      <c r="A36" s="25"/>
      <c r="B36" s="25" t="s">
        <v>15</v>
      </c>
      <c r="C36" s="25"/>
      <c r="D36" s="27">
        <f t="shared" ref="D36:E36" si="5">D35-D34</f>
        <v>-204.5</v>
      </c>
      <c r="E36" s="27">
        <f t="shared" si="5"/>
        <v>-8</v>
      </c>
      <c r="F36" s="27"/>
      <c r="G36" s="25">
        <f>G35-G34</f>
        <v>5.9999999999999858</v>
      </c>
      <c r="H36" s="27">
        <f>H35-H34</f>
        <v>-57.642857142857224</v>
      </c>
      <c r="I36" s="27"/>
      <c r="J36" s="27">
        <f>J35-J34</f>
        <v>-461.5</v>
      </c>
      <c r="K36" s="24"/>
    </row>
    <row r="37" spans="1:13">
      <c r="A37" s="24"/>
      <c r="B37" s="28" t="s">
        <v>17</v>
      </c>
      <c r="C37" s="28"/>
      <c r="D37" s="187">
        <f t="shared" ref="D37" si="6">D34/D35</f>
        <v>1.3940269749518304</v>
      </c>
      <c r="E37" s="187">
        <f>E34/E35</f>
        <v>1.6153846153846154</v>
      </c>
      <c r="F37" s="187"/>
      <c r="G37" s="187">
        <f>G34/G35</f>
        <v>0.94000000000000017</v>
      </c>
      <c r="H37" s="187">
        <f>H34/H35</f>
        <v>1.0896666666666668</v>
      </c>
      <c r="I37" s="187"/>
      <c r="J37" s="187">
        <f>J34/J35</f>
        <v>1.3648221343873517</v>
      </c>
      <c r="K37" s="28"/>
    </row>
    <row r="39" spans="1:13" ht="24" customHeight="1">
      <c r="A39" s="22" t="s">
        <v>0</v>
      </c>
      <c r="B39" s="22" t="s">
        <v>1</v>
      </c>
      <c r="C39" s="22" t="s">
        <v>33</v>
      </c>
      <c r="D39" s="23" t="s">
        <v>34</v>
      </c>
      <c r="E39" s="23" t="s">
        <v>35</v>
      </c>
      <c r="F39" s="23" t="s">
        <v>36</v>
      </c>
      <c r="G39" s="23" t="s">
        <v>37</v>
      </c>
      <c r="H39" s="23" t="s">
        <v>38</v>
      </c>
      <c r="I39" s="23" t="s">
        <v>39</v>
      </c>
      <c r="J39" s="23" t="s">
        <v>40</v>
      </c>
      <c r="K39" s="23" t="s">
        <v>41</v>
      </c>
    </row>
    <row r="40" spans="1:13">
      <c r="A40" s="25">
        <v>6</v>
      </c>
      <c r="B40" s="25" t="s">
        <v>11</v>
      </c>
      <c r="C40" s="25" t="s">
        <v>44</v>
      </c>
      <c r="D40" s="530">
        <f>SUM('EstArea 6 2023'!G83:G100)</f>
        <v>2883</v>
      </c>
      <c r="E40" s="530">
        <f>SUM('EstArea 6 2023'!H83:H100)</f>
        <v>41</v>
      </c>
      <c r="F40" s="530">
        <f>SUM('EstArea 6 2023'!I83:I100)</f>
        <v>3</v>
      </c>
      <c r="G40" s="530">
        <f>SUM('EstArea 6 2023'!J83:J100)</f>
        <v>445</v>
      </c>
      <c r="H40" s="530">
        <f>SUM('EstArea 6 2023'!K83:K100)</f>
        <v>4297</v>
      </c>
      <c r="I40" s="530">
        <f>SUM('EstArea 6 2023'!L83:L100)</f>
        <v>96</v>
      </c>
      <c r="J40" s="530">
        <f>SUM(D40:I40)</f>
        <v>7765</v>
      </c>
      <c r="K40" s="247"/>
    </row>
    <row r="41" spans="1:13">
      <c r="A41" s="26">
        <v>6</v>
      </c>
      <c r="B41" s="26" t="s">
        <v>13</v>
      </c>
      <c r="C41" s="26" t="s">
        <v>44</v>
      </c>
      <c r="D41" s="539">
        <v>3369</v>
      </c>
      <c r="E41" s="539">
        <v>111</v>
      </c>
      <c r="F41" s="539"/>
      <c r="G41" s="539">
        <f>45/0.07</f>
        <v>642.85714285714278</v>
      </c>
      <c r="H41" s="539">
        <f>379/0.07</f>
        <v>5414.2857142857138</v>
      </c>
      <c r="I41" s="539"/>
      <c r="J41" s="539">
        <f>532+3987</f>
        <v>4519</v>
      </c>
      <c r="K41" s="28"/>
    </row>
    <row r="42" spans="1:13" ht="14.25">
      <c r="A42" s="25"/>
      <c r="B42" s="25" t="s">
        <v>15</v>
      </c>
      <c r="C42" s="25"/>
      <c r="D42" s="27">
        <f>D41-D40</f>
        <v>486</v>
      </c>
      <c r="E42" s="27">
        <f t="shared" ref="E42" si="7">E41-E40</f>
        <v>70</v>
      </c>
      <c r="F42" s="27"/>
      <c r="G42" s="25">
        <f t="shared" ref="G42" si="8">G41-G40</f>
        <v>197.85714285714278</v>
      </c>
      <c r="H42" s="27">
        <f>H41-H40</f>
        <v>1117.2857142857138</v>
      </c>
      <c r="I42" s="27"/>
      <c r="J42" s="27">
        <f t="shared" ref="J42" si="9">J41-J40</f>
        <v>-3246</v>
      </c>
      <c r="K42" s="24"/>
    </row>
    <row r="43" spans="1:13">
      <c r="A43" s="24"/>
      <c r="B43" s="28" t="s">
        <v>17</v>
      </c>
      <c r="C43" s="28"/>
      <c r="D43" s="187">
        <f t="shared" ref="D43" si="10">D40/D41</f>
        <v>0.85574354407836151</v>
      </c>
      <c r="E43" s="187">
        <f>E40/E41</f>
        <v>0.36936936936936937</v>
      </c>
      <c r="F43" s="187"/>
      <c r="G43" s="187">
        <f>G40/G41</f>
        <v>0.69222222222222229</v>
      </c>
      <c r="H43" s="187">
        <f>H40/H41</f>
        <v>0.79364116094986814</v>
      </c>
      <c r="I43" s="187"/>
      <c r="J43" s="187">
        <f>J40/J41</f>
        <v>1.7183005089621597</v>
      </c>
      <c r="K43" s="28"/>
    </row>
    <row r="45" spans="1:13" ht="25.5">
      <c r="A45" s="22" t="s">
        <v>0</v>
      </c>
      <c r="B45" s="22" t="s">
        <v>1</v>
      </c>
      <c r="C45" s="22" t="s">
        <v>33</v>
      </c>
      <c r="D45" s="23" t="s">
        <v>34</v>
      </c>
      <c r="E45" s="23" t="s">
        <v>35</v>
      </c>
      <c r="F45" s="23" t="s">
        <v>36</v>
      </c>
      <c r="G45" s="23" t="s">
        <v>45</v>
      </c>
      <c r="H45" s="23" t="s">
        <v>37</v>
      </c>
      <c r="I45" s="23" t="s">
        <v>38</v>
      </c>
      <c r="J45" s="23" t="s">
        <v>39</v>
      </c>
      <c r="K45" s="23" t="s">
        <v>46</v>
      </c>
      <c r="L45" s="23" t="s">
        <v>40</v>
      </c>
      <c r="M45" s="248" t="s">
        <v>47</v>
      </c>
    </row>
    <row r="46" spans="1:13">
      <c r="A46" s="25">
        <v>6</v>
      </c>
      <c r="B46" s="25" t="s">
        <v>11</v>
      </c>
      <c r="C46" s="25" t="s">
        <v>48</v>
      </c>
      <c r="D46" s="246">
        <f>SUM('EstArea 5 2023'!G101:G103)</f>
        <v>381</v>
      </c>
      <c r="E46" s="246">
        <f>SUM('EstArea 5 2023'!H101:H103)</f>
        <v>2111</v>
      </c>
      <c r="F46" s="246">
        <f>SUM('EstArea 5 2023'!I101:I103)</f>
        <v>0</v>
      </c>
      <c r="G46" s="246">
        <f>SUM(D46:F46)</f>
        <v>2492</v>
      </c>
      <c r="H46" s="246">
        <f>SUM('EstArea 5 2023'!J101:J103)</f>
        <v>213</v>
      </c>
      <c r="I46" s="246">
        <f>SUM('EstArea 5 2023'!K101:K103)</f>
        <v>190</v>
      </c>
      <c r="J46" s="246">
        <f>SUM('EstArea 5 2023'!L101:L103)</f>
        <v>862</v>
      </c>
      <c r="K46" s="246"/>
      <c r="L46" s="246">
        <f>SUM(D46:F46,H46:J46)</f>
        <v>3757</v>
      </c>
      <c r="M46" s="873">
        <f>890/G46</f>
        <v>0.35714285714285715</v>
      </c>
    </row>
    <row r="47" spans="1:13">
      <c r="A47" s="26">
        <v>6</v>
      </c>
      <c r="B47" s="26" t="s">
        <v>13</v>
      </c>
      <c r="C47" s="26" t="s">
        <v>48</v>
      </c>
      <c r="D47" s="539">
        <v>733</v>
      </c>
      <c r="E47" s="539">
        <v>976</v>
      </c>
      <c r="F47" s="539"/>
      <c r="G47" s="539">
        <v>1709</v>
      </c>
      <c r="H47" s="539"/>
      <c r="I47" s="539"/>
      <c r="J47" s="539"/>
      <c r="K47" s="539">
        <f>8/0.05</f>
        <v>160</v>
      </c>
      <c r="L47" s="539">
        <f>G47+K47</f>
        <v>1869</v>
      </c>
      <c r="M47" s="247"/>
    </row>
    <row r="48" spans="1:13" ht="14.25">
      <c r="A48" s="25"/>
      <c r="B48" s="25" t="s">
        <v>15</v>
      </c>
      <c r="C48" s="25"/>
      <c r="D48" s="25">
        <f t="shared" ref="D48:E48" si="11">D47-D46</f>
        <v>352</v>
      </c>
      <c r="E48" s="25">
        <f t="shared" si="11"/>
        <v>-1135</v>
      </c>
      <c r="F48" s="27"/>
      <c r="G48" s="25">
        <f t="shared" ref="G48" si="12">G47-G46</f>
        <v>-783</v>
      </c>
      <c r="H48" s="25"/>
      <c r="I48" s="27"/>
      <c r="J48" s="27"/>
      <c r="K48" s="27"/>
      <c r="L48" s="25">
        <f t="shared" ref="L48" si="13">L47-L46</f>
        <v>-1888</v>
      </c>
    </row>
    <row r="49" spans="1:13">
      <c r="A49" s="533"/>
      <c r="B49" s="534" t="s">
        <v>17</v>
      </c>
      <c r="C49" s="534"/>
      <c r="D49" s="776">
        <f>D46/D47</f>
        <v>0.51978171896316505</v>
      </c>
      <c r="E49" s="776">
        <f>E46/E47</f>
        <v>2.1629098360655736</v>
      </c>
      <c r="F49" s="776"/>
      <c r="G49" s="776">
        <f>G46/G47</f>
        <v>1.4581626682270334</v>
      </c>
      <c r="H49" s="776"/>
      <c r="I49" s="535"/>
      <c r="J49" s="535"/>
      <c r="K49" s="535"/>
      <c r="L49" s="776">
        <f>L46/L47</f>
        <v>2.0101658640984486</v>
      </c>
      <c r="M49" s="536"/>
    </row>
    <row r="51" spans="1:13" ht="26.25" customHeight="1">
      <c r="A51" s="22" t="s">
        <v>0</v>
      </c>
      <c r="B51" s="22" t="s">
        <v>1</v>
      </c>
      <c r="C51" s="22" t="s">
        <v>33</v>
      </c>
      <c r="D51" s="23" t="s">
        <v>34</v>
      </c>
      <c r="E51" s="23" t="s">
        <v>35</v>
      </c>
      <c r="F51" s="23" t="s">
        <v>36</v>
      </c>
      <c r="G51" s="23" t="s">
        <v>37</v>
      </c>
      <c r="H51" s="23" t="s">
        <v>38</v>
      </c>
      <c r="I51" s="23" t="s">
        <v>39</v>
      </c>
      <c r="J51" s="23" t="s">
        <v>40</v>
      </c>
      <c r="K51" s="23" t="s">
        <v>41</v>
      </c>
    </row>
    <row r="52" spans="1:13">
      <c r="A52" s="25">
        <v>7</v>
      </c>
      <c r="B52" s="25" t="s">
        <v>11</v>
      </c>
      <c r="C52" s="25" t="s">
        <v>42</v>
      </c>
      <c r="D52" s="246">
        <f>SUM('EstArea 7 2023'!L6:L11)</f>
        <v>177</v>
      </c>
      <c r="E52" s="246">
        <f>SUM('EstArea 7 2023'!M6:M11)</f>
        <v>0</v>
      </c>
      <c r="F52" s="246">
        <f>SUM('EstArea 7 2023'!N6:N11)</f>
        <v>0</v>
      </c>
      <c r="G52" s="246">
        <f>SUM('EstArea 7 2023'!O6:O11)</f>
        <v>54</v>
      </c>
      <c r="H52" s="246">
        <f>SUM('EstArea 7 2023'!P6:P11)</f>
        <v>363</v>
      </c>
      <c r="I52" s="246">
        <f>SUM('EstArea 7 2023'!Q6:Q11)</f>
        <v>27</v>
      </c>
      <c r="J52" s="246">
        <f>SUM(E52:F52,G52:I52)</f>
        <v>444</v>
      </c>
      <c r="K52" s="247"/>
    </row>
    <row r="53" spans="1:13">
      <c r="A53" s="26">
        <v>7</v>
      </c>
      <c r="B53" s="26" t="s">
        <v>13</v>
      </c>
      <c r="C53" s="26" t="s">
        <v>42</v>
      </c>
      <c r="D53" s="539">
        <v>88</v>
      </c>
      <c r="E53" s="539">
        <v>5</v>
      </c>
      <c r="F53" s="539"/>
      <c r="G53" s="539">
        <v>0</v>
      </c>
      <c r="H53" s="539">
        <f>5/0.07</f>
        <v>71.428571428571416</v>
      </c>
      <c r="I53" s="539"/>
      <c r="J53" s="539">
        <f>78+93</f>
        <v>171</v>
      </c>
      <c r="K53" s="28"/>
    </row>
    <row r="54" spans="1:13" ht="14.25">
      <c r="A54" s="25"/>
      <c r="B54" s="25" t="s">
        <v>15</v>
      </c>
      <c r="C54" s="25"/>
      <c r="D54" s="25">
        <f t="shared" ref="D54" si="14">D53-D52</f>
        <v>-89</v>
      </c>
      <c r="E54" s="25">
        <f t="shared" ref="E54" si="15">E53-E52</f>
        <v>5</v>
      </c>
      <c r="F54" s="27"/>
      <c r="G54" s="25"/>
      <c r="H54" s="25">
        <f t="shared" ref="H54" si="16">H53-H52</f>
        <v>-291.57142857142856</v>
      </c>
      <c r="I54" s="27"/>
      <c r="J54" s="27">
        <f>J53-J52</f>
        <v>-273</v>
      </c>
      <c r="K54" s="24"/>
    </row>
    <row r="55" spans="1:13">
      <c r="A55" s="24"/>
      <c r="B55" s="28" t="s">
        <v>17</v>
      </c>
      <c r="C55" s="28"/>
      <c r="D55" s="187">
        <f t="shared" ref="D55:H55" si="17">D52/D53</f>
        <v>2.0113636363636362</v>
      </c>
      <c r="E55" s="187">
        <f t="shared" si="17"/>
        <v>0</v>
      </c>
      <c r="F55" s="187"/>
      <c r="G55" s="187"/>
      <c r="H55" s="187">
        <f t="shared" si="17"/>
        <v>5.0820000000000007</v>
      </c>
      <c r="I55" s="187"/>
      <c r="J55" s="187">
        <f>J52/J53</f>
        <v>2.5964912280701755</v>
      </c>
      <c r="K55" s="28"/>
    </row>
    <row r="56" spans="1:13">
      <c r="A56" s="24"/>
      <c r="B56" s="28"/>
      <c r="C56" s="28"/>
      <c r="D56" s="187"/>
      <c r="E56" s="187"/>
      <c r="F56" s="187"/>
      <c r="G56" s="187"/>
      <c r="H56" s="187"/>
      <c r="I56" s="187"/>
      <c r="J56" s="187"/>
      <c r="K56" s="187"/>
      <c r="L56" s="187"/>
      <c r="M56" s="28"/>
    </row>
    <row r="57" spans="1:13" ht="27.75" customHeight="1">
      <c r="A57" s="22" t="s">
        <v>0</v>
      </c>
      <c r="B57" s="22" t="s">
        <v>1</v>
      </c>
      <c r="C57" s="22" t="s">
        <v>33</v>
      </c>
      <c r="D57" s="23" t="s">
        <v>34</v>
      </c>
      <c r="E57" s="23" t="s">
        <v>35</v>
      </c>
      <c r="F57" s="23" t="s">
        <v>36</v>
      </c>
      <c r="G57" s="23" t="s">
        <v>37</v>
      </c>
      <c r="H57" s="23" t="s">
        <v>38</v>
      </c>
      <c r="I57" s="23" t="s">
        <v>39</v>
      </c>
      <c r="J57" s="23" t="s">
        <v>40</v>
      </c>
      <c r="K57" s="23" t="s">
        <v>41</v>
      </c>
    </row>
    <row r="58" spans="1:13">
      <c r="A58" s="25">
        <v>7</v>
      </c>
      <c r="B58" s="25" t="s">
        <v>11</v>
      </c>
      <c r="C58" s="25" t="s">
        <v>43</v>
      </c>
      <c r="D58" s="246">
        <f>SUM('EstArea 7 2023'!L17:L33)</f>
        <v>157</v>
      </c>
      <c r="E58" s="246">
        <f>SUM('EstArea 7 2023'!M17:M33)</f>
        <v>0</v>
      </c>
      <c r="F58" s="246">
        <f>SUM('EstArea 7 2023'!N17:N33)</f>
        <v>0</v>
      </c>
      <c r="G58" s="246">
        <f>SUM('EstArea 7 2023'!O17:O33)</f>
        <v>25</v>
      </c>
      <c r="H58" s="246">
        <f>SUM('EstArea 7 2023'!P17:P33)</f>
        <v>386</v>
      </c>
      <c r="I58" s="246">
        <f>SUM('EstArea 7 2023'!Q17:Q33)</f>
        <v>12</v>
      </c>
      <c r="J58" s="246">
        <f>SUM(D58:E58,G58:I58)</f>
        <v>580</v>
      </c>
      <c r="K58" s="247"/>
    </row>
    <row r="59" spans="1:13">
      <c r="A59" s="26">
        <v>7</v>
      </c>
      <c r="B59" s="26" t="s">
        <v>13</v>
      </c>
      <c r="C59" s="26" t="s">
        <v>43</v>
      </c>
      <c r="D59" s="539">
        <v>246</v>
      </c>
      <c r="E59" s="539">
        <v>20</v>
      </c>
      <c r="F59" s="539"/>
      <c r="G59" s="539">
        <f>1/0.07</f>
        <v>14.285714285714285</v>
      </c>
      <c r="H59" s="539">
        <f>20/0.07</f>
        <v>285.71428571428567</v>
      </c>
      <c r="I59" s="539"/>
      <c r="J59" s="539">
        <f>293+261</f>
        <v>554</v>
      </c>
      <c r="K59" s="28"/>
    </row>
    <row r="60" spans="1:13" ht="14.25">
      <c r="A60" s="25"/>
      <c r="B60" s="25" t="s">
        <v>15</v>
      </c>
      <c r="C60" s="25"/>
      <c r="D60" s="25">
        <f t="shared" ref="D60" si="18">D59-D58</f>
        <v>89</v>
      </c>
      <c r="E60" s="25">
        <f t="shared" ref="E60" si="19">E59-E58</f>
        <v>20</v>
      </c>
      <c r="F60" s="27"/>
      <c r="G60" s="25">
        <f t="shared" ref="G60" si="20">G59-G58</f>
        <v>-10.714285714285715</v>
      </c>
      <c r="H60" s="25">
        <f t="shared" ref="H60" si="21">H59-H58</f>
        <v>-100.28571428571433</v>
      </c>
      <c r="I60" s="27"/>
      <c r="J60" s="27">
        <f t="shared" ref="J60" si="22">J59-J58</f>
        <v>-26</v>
      </c>
      <c r="K60" s="24"/>
    </row>
    <row r="61" spans="1:13">
      <c r="A61" s="24"/>
      <c r="B61" s="28" t="s">
        <v>17</v>
      </c>
      <c r="C61" s="28"/>
      <c r="D61" s="187">
        <f t="shared" ref="D61:E61" si="23">D58/D59</f>
        <v>0.63821138211382111</v>
      </c>
      <c r="E61" s="187">
        <f t="shared" si="23"/>
        <v>0</v>
      </c>
      <c r="F61" s="187"/>
      <c r="G61" s="187">
        <f t="shared" ref="G61:H61" si="24">G58/G59</f>
        <v>1.7500000000000002</v>
      </c>
      <c r="H61" s="187">
        <f t="shared" si="24"/>
        <v>1.3510000000000002</v>
      </c>
      <c r="I61" s="187"/>
      <c r="J61" s="187">
        <f t="shared" ref="J61" si="25">J58/J59</f>
        <v>1.0469314079422383</v>
      </c>
      <c r="K61" s="28"/>
    </row>
    <row r="62" spans="1:13">
      <c r="A62" s="24"/>
      <c r="B62" s="28"/>
      <c r="C62" s="28"/>
      <c r="D62" s="187"/>
      <c r="E62" s="187"/>
      <c r="F62" s="187"/>
      <c r="G62" s="187"/>
      <c r="H62" s="187"/>
      <c r="I62" s="187"/>
      <c r="J62" s="187"/>
      <c r="L62" s="187"/>
      <c r="M62" s="28"/>
    </row>
    <row r="63" spans="1:13" ht="25.5">
      <c r="A63" s="249" t="s">
        <v>0</v>
      </c>
      <c r="B63" s="22" t="s">
        <v>1</v>
      </c>
      <c r="C63" s="22" t="s">
        <v>33</v>
      </c>
      <c r="D63" s="23" t="s">
        <v>34</v>
      </c>
      <c r="E63" s="23" t="s">
        <v>35</v>
      </c>
      <c r="F63" s="23" t="s">
        <v>36</v>
      </c>
      <c r="G63" s="23" t="s">
        <v>45</v>
      </c>
      <c r="H63" s="23" t="s">
        <v>37</v>
      </c>
      <c r="I63" s="23" t="s">
        <v>38</v>
      </c>
      <c r="J63" s="23" t="s">
        <v>39</v>
      </c>
      <c r="K63" s="23" t="s">
        <v>46</v>
      </c>
      <c r="L63" s="23" t="s">
        <v>40</v>
      </c>
      <c r="M63" s="248" t="s">
        <v>47</v>
      </c>
    </row>
    <row r="64" spans="1:13">
      <c r="A64" s="25">
        <v>7</v>
      </c>
      <c r="B64" s="25" t="s">
        <v>11</v>
      </c>
      <c r="C64" s="25" t="s">
        <v>44</v>
      </c>
      <c r="D64" s="530">
        <f>SUM('EstArea 7 2023'!L39:L56)</f>
        <v>478</v>
      </c>
      <c r="E64" s="530">
        <f>SUM('EstArea 7 2023'!M39:M56)</f>
        <v>1030</v>
      </c>
      <c r="F64" s="530">
        <f>SUM('EstArea 7 2023'!N39:N56)</f>
        <v>21</v>
      </c>
      <c r="G64" s="246">
        <f>SUM(D64:F64)</f>
        <v>1529</v>
      </c>
      <c r="H64" s="530">
        <f>SUM('EstArea 7 2023'!O39:O56)</f>
        <v>16</v>
      </c>
      <c r="I64" s="530">
        <f>SUM('EstArea 7 2023'!P39:P56)</f>
        <v>161</v>
      </c>
      <c r="J64" s="530">
        <f>SUM('EstArea 7 2023'!Q39:Q56)</f>
        <v>318</v>
      </c>
      <c r="K64" s="246"/>
      <c r="L64" s="246">
        <f>SUM(D64:F64,H64:J64)</f>
        <v>2024</v>
      </c>
      <c r="M64" s="247"/>
    </row>
    <row r="65" spans="1:14">
      <c r="A65" s="26">
        <v>7</v>
      </c>
      <c r="B65" s="26" t="s">
        <v>13</v>
      </c>
      <c r="C65" s="26" t="s">
        <v>44</v>
      </c>
      <c r="D65" s="539">
        <v>1367</v>
      </c>
      <c r="E65" s="539">
        <v>2890</v>
      </c>
      <c r="F65" s="539"/>
      <c r="G65" s="539">
        <v>4257</v>
      </c>
      <c r="H65" s="539"/>
      <c r="I65" s="539"/>
      <c r="J65" s="539"/>
      <c r="K65" s="539">
        <f>213/0.05</f>
        <v>4260</v>
      </c>
      <c r="L65" s="539">
        <f>G65+K65</f>
        <v>8517</v>
      </c>
      <c r="M65" s="28"/>
    </row>
    <row r="66" spans="1:14" ht="14.25">
      <c r="A66" s="25"/>
      <c r="B66" s="25" t="s">
        <v>15</v>
      </c>
      <c r="C66" s="25"/>
      <c r="D66" s="25">
        <f t="shared" ref="D66:G66" si="26">D65-D64</f>
        <v>889</v>
      </c>
      <c r="E66" s="25">
        <f t="shared" si="26"/>
        <v>1860</v>
      </c>
      <c r="F66" s="27"/>
      <c r="G66" s="25">
        <f t="shared" si="26"/>
        <v>2728</v>
      </c>
      <c r="H66" s="25"/>
      <c r="I66" s="27"/>
      <c r="J66" s="27"/>
      <c r="K66" s="27"/>
      <c r="L66" s="27">
        <f t="shared" ref="L66" si="27">L65-L64</f>
        <v>6493</v>
      </c>
      <c r="M66" s="24"/>
    </row>
    <row r="67" spans="1:14">
      <c r="A67" s="533"/>
      <c r="B67" s="534" t="s">
        <v>17</v>
      </c>
      <c r="C67" s="534"/>
      <c r="D67" s="776">
        <f>D64/D65</f>
        <v>0.34967081199707389</v>
      </c>
      <c r="E67" s="776">
        <f>E64/E65</f>
        <v>0.356401384083045</v>
      </c>
      <c r="F67" s="535"/>
      <c r="G67" s="776">
        <f>G64/G65</f>
        <v>0.35917312661498707</v>
      </c>
      <c r="H67" s="776"/>
      <c r="I67" s="535"/>
      <c r="J67" s="535"/>
      <c r="K67" s="535"/>
      <c r="L67" s="535">
        <f t="shared" ref="L67" si="28">L64/L65</f>
        <v>0.23764236233415523</v>
      </c>
      <c r="M67" s="534"/>
    </row>
    <row r="68" spans="1:14">
      <c r="A68" s="24"/>
      <c r="B68" s="28"/>
      <c r="C68" s="28"/>
      <c r="D68" s="187"/>
      <c r="E68" s="187"/>
      <c r="F68" s="187"/>
      <c r="G68" s="187"/>
      <c r="H68" s="187"/>
      <c r="I68" s="187"/>
      <c r="J68" s="187"/>
      <c r="K68" s="187"/>
      <c r="L68" s="187"/>
      <c r="M68" s="28"/>
    </row>
    <row r="69" spans="1:14" ht="25.5">
      <c r="A69" s="22" t="s">
        <v>0</v>
      </c>
      <c r="B69" s="22" t="s">
        <v>1</v>
      </c>
      <c r="C69" s="22" t="s">
        <v>33</v>
      </c>
      <c r="D69" s="23" t="s">
        <v>34</v>
      </c>
      <c r="E69" s="23" t="s">
        <v>35</v>
      </c>
      <c r="F69" s="23" t="s">
        <v>36</v>
      </c>
      <c r="G69" s="23" t="s">
        <v>45</v>
      </c>
      <c r="H69" s="23" t="s">
        <v>37</v>
      </c>
      <c r="I69" s="23" t="s">
        <v>38</v>
      </c>
      <c r="J69" s="23" t="s">
        <v>39</v>
      </c>
      <c r="K69" s="23" t="s">
        <v>46</v>
      </c>
      <c r="L69" s="23" t="s">
        <v>40</v>
      </c>
      <c r="M69" s="248" t="s">
        <v>47</v>
      </c>
    </row>
    <row r="70" spans="1:14">
      <c r="A70" s="25">
        <v>81</v>
      </c>
      <c r="B70" s="25" t="s">
        <v>11</v>
      </c>
      <c r="C70" s="25" t="s">
        <v>43</v>
      </c>
      <c r="D70" s="246">
        <f>SUM('EstArea 81 2023'!G7:G10)+(  (4/8) * 'EstArea 81 2023'!G11)</f>
        <v>175</v>
      </c>
      <c r="E70" s="246">
        <f>SUM('EstArea 81 2023'!H7:H10) +(  (4/8) * 'EstArea 81 2023'!H11)</f>
        <v>158.5</v>
      </c>
      <c r="F70" s="246">
        <f>SUM('EstArea 81 2023'!I7:I11)</f>
        <v>0</v>
      </c>
      <c r="G70" s="246">
        <f>SUM(D70:F70)</f>
        <v>333.5</v>
      </c>
      <c r="H70" s="246">
        <f>SUM('EstArea 81 2023'!J7:J10)+(  (4/8) * 'EstArea 81 2023'!J11)</f>
        <v>0</v>
      </c>
      <c r="I70" s="246">
        <f>SUM('EstArea 81 2023'!K7:K10)+(  (4/8) * 'EstArea 81 2023'!K11)</f>
        <v>2</v>
      </c>
      <c r="J70" s="246">
        <f>SUM('EstArea 81 2023'!L7:L10)+(  (4/8) * 'EstArea 81 2023'!L11)</f>
        <v>3.5</v>
      </c>
      <c r="K70" s="246"/>
      <c r="L70" s="246">
        <f>SUM(D70:F70,H70:J70)</f>
        <v>339</v>
      </c>
      <c r="M70" s="247"/>
      <c r="N70">
        <f>108/G70</f>
        <v>0.32383808095952021</v>
      </c>
    </row>
    <row r="71" spans="1:14">
      <c r="A71" s="25">
        <v>81</v>
      </c>
      <c r="B71" s="25" t="s">
        <v>13</v>
      </c>
      <c r="C71" s="25" t="s">
        <v>43</v>
      </c>
      <c r="D71" s="539">
        <v>71</v>
      </c>
      <c r="E71" s="539">
        <v>101</v>
      </c>
      <c r="F71" s="539"/>
      <c r="G71" s="539">
        <v>172</v>
      </c>
      <c r="H71" s="539"/>
      <c r="I71" s="539"/>
      <c r="J71" s="539"/>
      <c r="K71" s="539">
        <f>9/0.05</f>
        <v>180</v>
      </c>
      <c r="L71" s="539">
        <f>G71+K71</f>
        <v>352</v>
      </c>
      <c r="M71" s="247"/>
    </row>
    <row r="72" spans="1:14" ht="14.25">
      <c r="A72" s="25"/>
      <c r="B72" s="25" t="s">
        <v>15</v>
      </c>
      <c r="C72" s="25"/>
      <c r="D72" s="25">
        <f t="shared" ref="D72:G72" si="29">D71-D70</f>
        <v>-104</v>
      </c>
      <c r="E72" s="25">
        <f t="shared" si="29"/>
        <v>-57.5</v>
      </c>
      <c r="F72" s="27"/>
      <c r="G72" s="25">
        <f t="shared" si="29"/>
        <v>-161.5</v>
      </c>
      <c r="H72" s="25"/>
      <c r="I72" s="27"/>
      <c r="J72" s="27"/>
      <c r="K72" s="27"/>
      <c r="L72" s="27">
        <f>L71-L70</f>
        <v>13</v>
      </c>
    </row>
    <row r="73" spans="1:14">
      <c r="A73" s="24"/>
      <c r="B73" s="28" t="s">
        <v>17</v>
      </c>
      <c r="C73" s="28"/>
      <c r="D73" s="187">
        <f t="shared" ref="D73" si="30">D70/D71</f>
        <v>2.464788732394366</v>
      </c>
      <c r="E73" s="187">
        <f t="shared" ref="E73" si="31">E70/E71</f>
        <v>1.5693069306930694</v>
      </c>
      <c r="F73" s="187"/>
      <c r="G73" s="187">
        <f t="shared" ref="G73" si="32">G70/G71</f>
        <v>1.9389534883720929</v>
      </c>
      <c r="H73" s="187"/>
      <c r="I73" s="187"/>
      <c r="J73" s="187"/>
      <c r="K73" s="187"/>
      <c r="L73" s="187">
        <f>L70/L71</f>
        <v>0.96306818181818177</v>
      </c>
    </row>
    <row r="74" spans="1:14">
      <c r="A74" s="24"/>
      <c r="B74" s="28"/>
      <c r="C74" s="28"/>
      <c r="D74" s="187"/>
      <c r="E74" s="187"/>
      <c r="F74" s="187"/>
      <c r="G74" s="187"/>
      <c r="H74" s="187"/>
      <c r="I74" s="187"/>
      <c r="J74" s="187"/>
      <c r="K74" s="187"/>
      <c r="L74" s="187"/>
    </row>
    <row r="75" spans="1:14" ht="25.5">
      <c r="A75" s="22" t="s">
        <v>0</v>
      </c>
      <c r="B75" s="22" t="s">
        <v>1</v>
      </c>
      <c r="C75" s="22" t="s">
        <v>33</v>
      </c>
      <c r="D75" s="23" t="s">
        <v>34</v>
      </c>
      <c r="E75" s="23" t="s">
        <v>35</v>
      </c>
      <c r="F75" s="23" t="s">
        <v>36</v>
      </c>
      <c r="G75" s="23" t="s">
        <v>45</v>
      </c>
      <c r="H75" s="23" t="s">
        <v>37</v>
      </c>
      <c r="I75" s="23" t="s">
        <v>38</v>
      </c>
      <c r="J75" s="23" t="s">
        <v>39</v>
      </c>
      <c r="K75" s="23" t="s">
        <v>46</v>
      </c>
      <c r="L75" s="23" t="s">
        <v>40</v>
      </c>
      <c r="M75" s="248" t="s">
        <v>47</v>
      </c>
    </row>
    <row r="76" spans="1:14">
      <c r="A76" s="25">
        <v>81</v>
      </c>
      <c r="B76" s="25" t="s">
        <v>11</v>
      </c>
      <c r="C76" s="25" t="s">
        <v>44</v>
      </c>
      <c r="D76" s="246">
        <f>SUM('EstArea 81 2023'!G12:G15)+(  (4/8) * 'EstArea 81 2023'!G11)</f>
        <v>187</v>
      </c>
      <c r="E76" s="246">
        <f>SUM('EstArea 81 2023'!H12:H15)+(  (4/8) * 'EstArea 81 2023'!H11)</f>
        <v>466.5</v>
      </c>
      <c r="F76" s="246">
        <f>SUM('EstArea 81 2023'!I12:I15)</f>
        <v>0</v>
      </c>
      <c r="G76" s="246">
        <f>SUM(D76:F76)</f>
        <v>653.5</v>
      </c>
      <c r="H76" s="246">
        <f>SUM('EstArea 81 2023'!J12:J15)+(  (4/8) * 'EstArea 81 2023'!J11)</f>
        <v>0</v>
      </c>
      <c r="I76" s="246">
        <f>SUM('EstArea 81 2023'!K12:K15)+(  (4/8) * 'EstArea 81 2023'!K11)</f>
        <v>11</v>
      </c>
      <c r="J76" s="246">
        <f>SUM('EstArea 81 2023'!L12:L15)+(  (4/8) * 'EstArea 81 2023'!K11)</f>
        <v>15</v>
      </c>
      <c r="K76" s="246"/>
      <c r="L76" s="246">
        <f>SUM(D76:F76,H76:J76)</f>
        <v>679.5</v>
      </c>
      <c r="M76" s="247"/>
      <c r="N76">
        <f>83/G76</f>
        <v>0.12700841622035194</v>
      </c>
    </row>
    <row r="77" spans="1:14">
      <c r="A77" s="25">
        <v>81</v>
      </c>
      <c r="B77" s="25" t="s">
        <v>13</v>
      </c>
      <c r="C77" s="25" t="s">
        <v>44</v>
      </c>
      <c r="D77" s="539">
        <v>523</v>
      </c>
      <c r="E77" s="539">
        <v>467</v>
      </c>
      <c r="F77" s="539"/>
      <c r="G77" s="539">
        <v>990</v>
      </c>
      <c r="H77" s="539"/>
      <c r="I77" s="539"/>
      <c r="J77" s="539"/>
      <c r="K77" s="539">
        <f>49/0.05</f>
        <v>980</v>
      </c>
      <c r="L77" s="539">
        <f>G77+K77</f>
        <v>1970</v>
      </c>
      <c r="M77" s="247"/>
    </row>
    <row r="78" spans="1:14" ht="14.25">
      <c r="A78" s="25"/>
      <c r="B78" s="25" t="s">
        <v>15</v>
      </c>
      <c r="C78" s="25"/>
      <c r="D78" s="25">
        <f t="shared" ref="D78:G78" si="33">D77-D76</f>
        <v>336</v>
      </c>
      <c r="E78" s="25">
        <f t="shared" si="33"/>
        <v>0.5</v>
      </c>
      <c r="F78" s="27"/>
      <c r="G78" s="25">
        <f t="shared" si="33"/>
        <v>336.5</v>
      </c>
      <c r="H78" s="25"/>
      <c r="I78" s="27"/>
      <c r="J78" s="27"/>
      <c r="K78" s="27"/>
      <c r="L78" s="27">
        <f>L77-L76</f>
        <v>1290.5</v>
      </c>
    </row>
    <row r="79" spans="1:14">
      <c r="A79" s="533"/>
      <c r="B79" s="534" t="s">
        <v>17</v>
      </c>
      <c r="C79" s="534"/>
      <c r="D79" s="776">
        <f>D76/D77</f>
        <v>0.35755258126195028</v>
      </c>
      <c r="E79" s="776">
        <f>E76/E77</f>
        <v>0.99892933618843682</v>
      </c>
      <c r="F79" s="535"/>
      <c r="G79" s="776">
        <f>G76/G77</f>
        <v>0.66010101010101008</v>
      </c>
      <c r="H79" s="535"/>
      <c r="I79" s="535"/>
      <c r="J79" s="535"/>
      <c r="K79" s="535"/>
      <c r="L79" s="776">
        <f>L76/L77</f>
        <v>0.34492385786802032</v>
      </c>
      <c r="M79" s="536"/>
    </row>
    <row r="80" spans="1:14">
      <c r="A80" s="24"/>
      <c r="B80" s="28"/>
      <c r="C80" s="28"/>
      <c r="D80" s="187"/>
      <c r="E80" s="187"/>
      <c r="F80" s="187"/>
      <c r="G80" s="187"/>
      <c r="H80" s="187"/>
      <c r="I80" s="187"/>
      <c r="J80" s="187"/>
      <c r="L80" s="187"/>
      <c r="M80" s="28"/>
    </row>
    <row r="81" spans="1:14" ht="28.5" customHeight="1">
      <c r="A81" s="22" t="s">
        <v>0</v>
      </c>
      <c r="B81" s="22" t="s">
        <v>1</v>
      </c>
      <c r="C81" s="22" t="s">
        <v>33</v>
      </c>
      <c r="D81" s="23" t="s">
        <v>34</v>
      </c>
      <c r="E81" s="23" t="s">
        <v>35</v>
      </c>
      <c r="F81" s="23" t="s">
        <v>36</v>
      </c>
      <c r="G81" s="23" t="s">
        <v>45</v>
      </c>
      <c r="H81" s="23" t="s">
        <v>37</v>
      </c>
      <c r="I81" s="23" t="s">
        <v>38</v>
      </c>
      <c r="J81" s="23" t="s">
        <v>39</v>
      </c>
      <c r="K81" s="23" t="s">
        <v>46</v>
      </c>
      <c r="L81" s="23" t="s">
        <v>40</v>
      </c>
      <c r="M81" s="248" t="s">
        <v>47</v>
      </c>
    </row>
    <row r="82" spans="1:14">
      <c r="A82" s="25">
        <v>82</v>
      </c>
      <c r="B82" s="25" t="s">
        <v>11</v>
      </c>
      <c r="C82" s="25" t="s">
        <v>43</v>
      </c>
      <c r="D82" s="246">
        <f>SUM('EstArea 82 2023'!G7:G10)+(  (4/8) * 'EstArea 82 2023'!G11)</f>
        <v>670.5</v>
      </c>
      <c r="E82" s="246">
        <f>SUM('EstArea 82 2023'!H7:H10) +(  (4/8) * 'EstArea 82 2023'!H11)</f>
        <v>1020</v>
      </c>
      <c r="F82" s="246">
        <f>SUM('EstArea 82 2023'!I7:I11)</f>
        <v>3</v>
      </c>
      <c r="G82" s="246">
        <f>SUM(D82:F82)</f>
        <v>1693.5</v>
      </c>
      <c r="H82" s="246">
        <f>SUM('EstArea 82 2023'!J7:J10)+(  (4/8) * 'EstArea 82 2023'!J11)</f>
        <v>102</v>
      </c>
      <c r="I82" s="246">
        <f>SUM('EstArea 82 2023'!K7:K10)+(  (4/8) * 'EstArea 82 2023'!K11)</f>
        <v>459.5</v>
      </c>
      <c r="J82" s="246">
        <f>SUM('EstArea 82 2023'!L7:L10)+(  (4/8) * 'EstArea 82 2023'!L11)</f>
        <v>401</v>
      </c>
      <c r="K82" s="246"/>
      <c r="L82" s="246">
        <f>SUM(D82:F82,H82:J82)</f>
        <v>2656</v>
      </c>
      <c r="M82" s="247"/>
      <c r="N82">
        <f>543/G82</f>
        <v>0.32063773250664307</v>
      </c>
    </row>
    <row r="83" spans="1:14">
      <c r="A83" s="25">
        <v>82</v>
      </c>
      <c r="B83" s="25" t="s">
        <v>13</v>
      </c>
      <c r="C83" s="25" t="s">
        <v>43</v>
      </c>
      <c r="D83" s="539">
        <v>296</v>
      </c>
      <c r="E83" s="539">
        <v>308</v>
      </c>
      <c r="F83" s="539"/>
      <c r="G83" s="539">
        <v>604</v>
      </c>
      <c r="H83" s="539"/>
      <c r="I83" s="539"/>
      <c r="J83" s="539"/>
      <c r="K83" s="539">
        <f>30/0.05</f>
        <v>600</v>
      </c>
      <c r="L83" s="539">
        <f>G83+K83</f>
        <v>1204</v>
      </c>
      <c r="M83" s="247"/>
    </row>
    <row r="84" spans="1:14" ht="14.25">
      <c r="A84" s="25"/>
      <c r="B84" s="25" t="s">
        <v>15</v>
      </c>
      <c r="C84" s="25"/>
      <c r="D84" s="25">
        <f t="shared" ref="D84:G84" si="34">D83-D82</f>
        <v>-374.5</v>
      </c>
      <c r="E84" s="25">
        <f t="shared" si="34"/>
        <v>-712</v>
      </c>
      <c r="F84" s="27"/>
      <c r="G84" s="25">
        <f t="shared" si="34"/>
        <v>-1089.5</v>
      </c>
      <c r="H84" s="25"/>
      <c r="I84" s="27"/>
      <c r="J84" s="27"/>
      <c r="K84" s="25"/>
      <c r="L84" s="27">
        <f>L83-L82</f>
        <v>-1452</v>
      </c>
    </row>
    <row r="85" spans="1:14">
      <c r="A85" s="24"/>
      <c r="B85" s="28" t="s">
        <v>17</v>
      </c>
      <c r="C85" s="28"/>
      <c r="D85" s="187">
        <f t="shared" ref="D85:E85" si="35">D82/D83</f>
        <v>2.2652027027027026</v>
      </c>
      <c r="E85" s="187">
        <f t="shared" si="35"/>
        <v>3.3116883116883118</v>
      </c>
      <c r="F85" s="187"/>
      <c r="G85" s="29">
        <f>G82/G83</f>
        <v>2.8038079470198674</v>
      </c>
      <c r="H85" s="187"/>
      <c r="I85" s="187"/>
      <c r="J85" s="187"/>
      <c r="K85" s="187"/>
      <c r="L85" s="187">
        <f>L82/L83</f>
        <v>2.2059800664451825</v>
      </c>
    </row>
    <row r="87" spans="1:14" ht="26.25" customHeight="1">
      <c r="A87" s="22" t="s">
        <v>0</v>
      </c>
      <c r="B87" s="22" t="s">
        <v>1</v>
      </c>
      <c r="C87" s="22" t="s">
        <v>33</v>
      </c>
      <c r="D87" s="23" t="s">
        <v>34</v>
      </c>
      <c r="E87" s="23" t="s">
        <v>35</v>
      </c>
      <c r="F87" s="23" t="s">
        <v>36</v>
      </c>
      <c r="G87" s="23" t="s">
        <v>45</v>
      </c>
      <c r="H87" s="23" t="s">
        <v>37</v>
      </c>
      <c r="I87" s="23" t="s">
        <v>38</v>
      </c>
      <c r="J87" s="23" t="s">
        <v>39</v>
      </c>
      <c r="K87" s="23" t="s">
        <v>46</v>
      </c>
      <c r="L87" s="23" t="s">
        <v>40</v>
      </c>
      <c r="M87" s="248" t="s">
        <v>47</v>
      </c>
    </row>
    <row r="88" spans="1:14">
      <c r="A88" s="25">
        <v>82</v>
      </c>
      <c r="B88" s="25" t="s">
        <v>11</v>
      </c>
      <c r="C88" s="25" t="s">
        <v>44</v>
      </c>
      <c r="D88" s="530">
        <f>SUM('EstArea 82 2023'!G12:G14)</f>
        <v>1495</v>
      </c>
      <c r="E88" s="530">
        <f>SUM('EstArea 82 2023'!H12:H14)</f>
        <v>1726</v>
      </c>
      <c r="F88" s="530">
        <f>SUM('EstArea 82 2023'!I12:I14)</f>
        <v>2</v>
      </c>
      <c r="G88" s="246">
        <f>SUM(D88:F88)</f>
        <v>3223</v>
      </c>
      <c r="H88" s="530">
        <f>SUM('EstArea 82 2023'!J12:J14)+(  (4/8) * 'EstArea 82 2023'!J11)</f>
        <v>273</v>
      </c>
      <c r="I88" s="530">
        <f>SUM('EstArea 82 2023'!K12:K14)+(  (4/8) * 'EstArea 82 2023'!K11)</f>
        <v>536.5</v>
      </c>
      <c r="J88" s="530">
        <f>SUM('EstArea 82 2023'!L12:L14)+(  (4/8) * 'EstArea 82 2023'!L11)</f>
        <v>462</v>
      </c>
      <c r="K88" s="246"/>
      <c r="L88" s="530">
        <f>SUM(D88:F88,H88:J88)</f>
        <v>4494.5</v>
      </c>
      <c r="M88" s="247"/>
      <c r="N88">
        <f>1972/G88</f>
        <v>0.6118523115110146</v>
      </c>
    </row>
    <row r="89" spans="1:14">
      <c r="A89" s="25">
        <v>82</v>
      </c>
      <c r="B89" s="25" t="s">
        <v>13</v>
      </c>
      <c r="C89" s="25" t="s">
        <v>44</v>
      </c>
      <c r="D89" s="539">
        <v>1273</v>
      </c>
      <c r="E89" s="539">
        <v>3674</v>
      </c>
      <c r="F89" s="539"/>
      <c r="G89" s="539">
        <v>4947</v>
      </c>
      <c r="H89" s="539"/>
      <c r="I89" s="539"/>
      <c r="J89" s="539"/>
      <c r="K89" s="539">
        <f>247/0.05</f>
        <v>4940</v>
      </c>
      <c r="L89" s="539">
        <f>G89+K89</f>
        <v>9887</v>
      </c>
      <c r="M89" s="247"/>
    </row>
    <row r="90" spans="1:14" ht="14.25">
      <c r="A90" s="25"/>
      <c r="B90" s="25" t="s">
        <v>15</v>
      </c>
      <c r="C90" s="25"/>
      <c r="D90" s="25">
        <f t="shared" ref="D90:G90" si="36">D89-D88</f>
        <v>-222</v>
      </c>
      <c r="E90" s="25">
        <f t="shared" si="36"/>
        <v>1948</v>
      </c>
      <c r="F90" s="27"/>
      <c r="G90" s="25">
        <f t="shared" si="36"/>
        <v>1724</v>
      </c>
      <c r="H90" s="25"/>
      <c r="I90" s="27"/>
      <c r="J90" s="27"/>
      <c r="K90" s="27"/>
      <c r="L90" s="27">
        <f t="shared" ref="L90" si="37">L89-L88</f>
        <v>5392.5</v>
      </c>
    </row>
    <row r="91" spans="1:14">
      <c r="A91" s="533"/>
      <c r="B91" s="534" t="s">
        <v>17</v>
      </c>
      <c r="C91" s="534"/>
      <c r="D91" s="535">
        <f t="shared" ref="D91:E91" si="38">D88/D89</f>
        <v>1.1743912018853102</v>
      </c>
      <c r="E91" s="535">
        <f t="shared" si="38"/>
        <v>0.4697876973326075</v>
      </c>
      <c r="F91" s="535"/>
      <c r="G91" s="535">
        <f t="shared" ref="G91" si="39">G88/G89</f>
        <v>0.6515059632100263</v>
      </c>
      <c r="H91" s="535"/>
      <c r="I91" s="535"/>
      <c r="J91" s="535"/>
      <c r="K91" s="535"/>
      <c r="L91" s="535">
        <f t="shared" ref="L91" si="40">L88/L89</f>
        <v>0.45458683119247495</v>
      </c>
      <c r="M91" s="536"/>
    </row>
    <row r="92" spans="1:14">
      <c r="A92" s="24"/>
      <c r="B92" s="28"/>
      <c r="C92" s="28"/>
      <c r="D92" s="187"/>
      <c r="E92" s="187"/>
      <c r="F92" s="187"/>
      <c r="G92" s="187"/>
      <c r="H92" s="187"/>
      <c r="I92" s="187"/>
      <c r="J92" s="187"/>
      <c r="K92" s="187"/>
      <c r="L92" s="28"/>
    </row>
    <row r="93" spans="1:14" ht="27.75" customHeight="1">
      <c r="A93" s="22" t="s">
        <v>0</v>
      </c>
      <c r="B93" s="22" t="s">
        <v>1</v>
      </c>
      <c r="C93" s="22" t="s">
        <v>33</v>
      </c>
      <c r="D93" s="23" t="s">
        <v>34</v>
      </c>
      <c r="E93" s="23" t="s">
        <v>35</v>
      </c>
      <c r="F93" s="23"/>
      <c r="G93" s="23" t="s">
        <v>37</v>
      </c>
      <c r="H93" s="23" t="s">
        <v>38</v>
      </c>
      <c r="I93" s="23" t="s">
        <v>39</v>
      </c>
      <c r="J93" s="23" t="s">
        <v>40</v>
      </c>
      <c r="K93" s="248" t="s">
        <v>49</v>
      </c>
    </row>
    <row r="94" spans="1:14">
      <c r="A94" s="25">
        <v>9</v>
      </c>
      <c r="B94" s="25" t="s">
        <v>11</v>
      </c>
      <c r="C94" s="25" t="s">
        <v>42</v>
      </c>
      <c r="D94" s="246">
        <f>SUM('EstAreas9&amp;10 2023'!L6:L15)+((1/4)*('EstAreas9&amp;10 2023'!L16))</f>
        <v>3285.75</v>
      </c>
      <c r="E94" s="246">
        <f>SUM('EstAreas9&amp;10 2023'!M6:M15)+((1/4)*('EstAreas9&amp;10 2023'!M16))</f>
        <v>90.5</v>
      </c>
      <c r="F94" s="246"/>
      <c r="G94" s="246">
        <f>SUM('EstAreas9&amp;10 2023'!N6:N15)+((1/4)*('EstAreas9&amp;10 2023'!N16))</f>
        <v>810</v>
      </c>
      <c r="H94" s="246">
        <f>SUM('EstAreas9&amp;10 2023'!O6:O15)+((1/4)*('EstAreas9&amp;10 2023'!O16))</f>
        <v>2684.75</v>
      </c>
      <c r="I94" s="246">
        <f>SUM('EstAreas9&amp;10 2023'!P6:P15)+((1/4)*('EstAreas9&amp;10 2023'!P16))</f>
        <v>1217</v>
      </c>
      <c r="J94" s="246">
        <f>SUM(D94:E94,G94:I94)</f>
        <v>8088</v>
      </c>
      <c r="K94" s="247"/>
    </row>
    <row r="95" spans="1:14">
      <c r="A95" s="25">
        <v>9</v>
      </c>
      <c r="B95" s="25" t="s">
        <v>13</v>
      </c>
      <c r="C95" s="25" t="s">
        <v>42</v>
      </c>
      <c r="D95" s="539">
        <v>928</v>
      </c>
      <c r="E95" s="539">
        <v>82</v>
      </c>
      <c r="F95" s="539"/>
      <c r="G95" s="539">
        <f>35/0.07</f>
        <v>499.99999999999994</v>
      </c>
      <c r="H95" s="539">
        <f>109/0.07</f>
        <v>1557.1428571428569</v>
      </c>
      <c r="I95" s="539"/>
      <c r="J95" s="539">
        <f>1616+1425</f>
        <v>3041</v>
      </c>
      <c r="K95" s="247"/>
    </row>
    <row r="96" spans="1:14" ht="14.25">
      <c r="A96" s="25"/>
      <c r="B96" s="25" t="s">
        <v>15</v>
      </c>
      <c r="C96" s="25"/>
      <c r="D96" s="27">
        <f>SUM(D95-D94)</f>
        <v>-2357.75</v>
      </c>
      <c r="E96" s="27">
        <f>SUM(E95-E94)</f>
        <v>-8.5</v>
      </c>
      <c r="F96" s="27"/>
      <c r="G96" s="27">
        <f t="shared" ref="G96:H96" si="41">SUM(G95-G94)</f>
        <v>-310.00000000000006</v>
      </c>
      <c r="H96" s="27">
        <f t="shared" si="41"/>
        <v>-1127.6071428571431</v>
      </c>
      <c r="I96" s="27"/>
      <c r="J96" s="27">
        <f>J95-J94</f>
        <v>-5047</v>
      </c>
    </row>
    <row r="97" spans="1:14">
      <c r="A97" s="24"/>
      <c r="B97" s="28" t="s">
        <v>17</v>
      </c>
      <c r="C97" s="28"/>
      <c r="D97" s="300">
        <f>D94/D95</f>
        <v>3.5406788793103448</v>
      </c>
      <c r="E97" s="300">
        <f>E94/E95</f>
        <v>1.1036585365853659</v>
      </c>
      <c r="F97" s="187"/>
      <c r="G97" s="300">
        <f t="shared" ref="G97:H97" si="42">G94/G95</f>
        <v>1.62</v>
      </c>
      <c r="H97" s="300">
        <f t="shared" si="42"/>
        <v>1.7241513761467893</v>
      </c>
      <c r="I97" s="187"/>
      <c r="J97" s="187">
        <f>J94/J95</f>
        <v>2.6596514304505097</v>
      </c>
    </row>
    <row r="99" spans="1:14" ht="27" customHeight="1">
      <c r="A99" s="22" t="s">
        <v>0</v>
      </c>
      <c r="B99" s="22" t="s">
        <v>1</v>
      </c>
      <c r="C99" s="22" t="s">
        <v>33</v>
      </c>
      <c r="D99" s="23" t="s">
        <v>34</v>
      </c>
      <c r="E99" s="23" t="s">
        <v>35</v>
      </c>
      <c r="F99" s="23"/>
      <c r="G99" s="23" t="s">
        <v>37</v>
      </c>
      <c r="H99" s="23" t="s">
        <v>38</v>
      </c>
      <c r="I99" s="23" t="s">
        <v>39</v>
      </c>
      <c r="J99" s="23" t="s">
        <v>40</v>
      </c>
      <c r="K99" s="248" t="s">
        <v>49</v>
      </c>
    </row>
    <row r="100" spans="1:14">
      <c r="A100" s="25">
        <v>9</v>
      </c>
      <c r="B100" s="25" t="s">
        <v>11</v>
      </c>
      <c r="C100" s="25" t="s">
        <v>43</v>
      </c>
      <c r="D100" s="246">
        <f>SUM('EstAreas9&amp;10 2023'!L17:L32)+((3/4)*('EstAreas9&amp;10 2023'!L16))</f>
        <v>2245.25</v>
      </c>
      <c r="E100" s="246">
        <f>SUM('EstAreas9&amp;10 2023'!M17:M32)+((3/4)*('EstAreas9&amp;10 2023'!M16))</f>
        <v>160.5</v>
      </c>
      <c r="F100" s="246"/>
      <c r="G100" s="246">
        <f>SUM('EstAreas9&amp;10 2023'!N17:N32)+((3/4)*('EstAreas9&amp;10 2023'!N16))</f>
        <v>225</v>
      </c>
      <c r="H100" s="246">
        <f>SUM('EstAreas9&amp;10 2023'!O17:O32)+((3/4)*('EstAreas9&amp;10 2023'!O16))</f>
        <v>1880.25</v>
      </c>
      <c r="I100" s="246">
        <f>SUM('EstAreas9&amp;10 2023'!P17:P32)+((3/4)*('EstAreas9&amp;10 2023'!P16))</f>
        <v>159</v>
      </c>
      <c r="J100" s="246">
        <f>SUM(D100:E100,G100:I100)</f>
        <v>4670</v>
      </c>
      <c r="K100" s="247"/>
    </row>
    <row r="101" spans="1:14">
      <c r="A101" s="25">
        <v>9</v>
      </c>
      <c r="B101" s="25" t="s">
        <v>13</v>
      </c>
      <c r="C101" s="25" t="s">
        <v>43</v>
      </c>
      <c r="D101" s="539">
        <v>1435</v>
      </c>
      <c r="E101" s="539">
        <v>123</v>
      </c>
      <c r="F101" s="539"/>
      <c r="G101" s="539">
        <f>54/0.07</f>
        <v>771.42857142857133</v>
      </c>
      <c r="H101" s="539">
        <f>164/0.07</f>
        <v>2342.8571428571427</v>
      </c>
      <c r="I101" s="539"/>
      <c r="J101" s="539">
        <f>2423+2200</f>
        <v>4623</v>
      </c>
      <c r="K101" s="247"/>
    </row>
    <row r="102" spans="1:14" ht="14.25">
      <c r="A102" s="25"/>
      <c r="B102" s="25" t="s">
        <v>15</v>
      </c>
      <c r="C102" s="25"/>
      <c r="D102" s="27">
        <f>SUM(D101-D100)</f>
        <v>-810.25</v>
      </c>
      <c r="E102" s="27">
        <f>SUM(E101-E100)</f>
        <v>-37.5</v>
      </c>
      <c r="F102" s="27"/>
      <c r="G102" s="27">
        <f t="shared" ref="G102" si="43">SUM(G101-G100)</f>
        <v>546.42857142857133</v>
      </c>
      <c r="H102" s="27">
        <f t="shared" ref="H102" si="44">SUM(H101-H100)</f>
        <v>462.60714285714266</v>
      </c>
      <c r="I102" s="27"/>
      <c r="J102" s="27">
        <f t="shared" ref="J102" si="45">J101-J100</f>
        <v>-47</v>
      </c>
    </row>
    <row r="103" spans="1:14">
      <c r="A103" s="24"/>
      <c r="B103" s="28" t="s">
        <v>17</v>
      </c>
      <c r="C103" s="28"/>
      <c r="D103" s="300">
        <f>D100/D101</f>
        <v>1.5646341463414635</v>
      </c>
      <c r="E103" s="300">
        <f>E100/E101</f>
        <v>1.3048780487804879</v>
      </c>
      <c r="F103" s="187"/>
      <c r="G103" s="300">
        <f t="shared" ref="G103:H103" si="46">G100/G101</f>
        <v>0.29166666666666669</v>
      </c>
      <c r="H103" s="300">
        <f t="shared" si="46"/>
        <v>0.80254573170731713</v>
      </c>
      <c r="I103" s="187"/>
      <c r="J103" s="187">
        <f>J100/J101</f>
        <v>1.0101665585117889</v>
      </c>
    </row>
    <row r="104" spans="1:14">
      <c r="A104" s="24"/>
      <c r="B104" s="28"/>
      <c r="C104" s="28"/>
      <c r="D104" s="187"/>
      <c r="E104" s="187"/>
      <c r="F104" s="187"/>
      <c r="G104" s="187"/>
      <c r="H104" s="187"/>
      <c r="I104" s="187"/>
      <c r="J104" s="187"/>
      <c r="K104" s="187"/>
      <c r="L104" s="28"/>
    </row>
    <row r="105" spans="1:14" ht="26.25" customHeight="1">
      <c r="A105" s="22" t="s">
        <v>0</v>
      </c>
      <c r="B105" s="22" t="s">
        <v>1</v>
      </c>
      <c r="C105" s="22" t="s">
        <v>33</v>
      </c>
      <c r="D105" s="23" t="s">
        <v>34</v>
      </c>
      <c r="E105" s="23" t="s">
        <v>35</v>
      </c>
      <c r="F105" s="23"/>
      <c r="G105" s="23" t="s">
        <v>37</v>
      </c>
      <c r="H105" s="23" t="s">
        <v>38</v>
      </c>
      <c r="I105" s="23" t="s">
        <v>39</v>
      </c>
      <c r="J105" s="23" t="s">
        <v>40</v>
      </c>
      <c r="K105" s="248" t="s">
        <v>49</v>
      </c>
    </row>
    <row r="106" spans="1:14">
      <c r="A106" s="25">
        <v>9</v>
      </c>
      <c r="B106" s="25" t="s">
        <v>11</v>
      </c>
      <c r="C106" s="25" t="s">
        <v>50</v>
      </c>
      <c r="D106" s="530">
        <f>SUM('EstAreas9&amp;10 2023'!L33:L42)</f>
        <v>7611</v>
      </c>
      <c r="E106" s="530">
        <f>SUM('EstAreas9&amp;10 2023'!M33:M42)</f>
        <v>363</v>
      </c>
      <c r="F106" s="530"/>
      <c r="G106" s="530">
        <f>SUM('EstAreas9&amp;10 2023'!N33:N42)</f>
        <v>443</v>
      </c>
      <c r="H106" s="530">
        <f>SUM('EstAreas9&amp;10 2023'!O33:O42)</f>
        <v>6531</v>
      </c>
      <c r="I106" s="530">
        <f>SUM('EstAreas9&amp;10 2023'!P33:P42)</f>
        <v>396</v>
      </c>
      <c r="J106" s="530">
        <f>SUM(D106:E106,G106:I106)</f>
        <v>15344</v>
      </c>
      <c r="K106" s="247"/>
      <c r="L106">
        <f>2844/SUM(D106:E106)</f>
        <v>0.35665914221218964</v>
      </c>
    </row>
    <row r="107" spans="1:14">
      <c r="A107" s="25">
        <v>9</v>
      </c>
      <c r="B107" s="25" t="s">
        <v>13</v>
      </c>
      <c r="C107" s="25" t="s">
        <v>50</v>
      </c>
      <c r="D107" s="539">
        <v>2038</v>
      </c>
      <c r="E107" s="539">
        <v>197</v>
      </c>
      <c r="F107" s="539"/>
      <c r="G107" s="539">
        <f>77/0.07</f>
        <v>1100</v>
      </c>
      <c r="H107" s="539">
        <f>261/0.07</f>
        <v>3728.5714285714284</v>
      </c>
      <c r="I107" s="539"/>
      <c r="J107" s="539">
        <f>3804+3113</f>
        <v>6917</v>
      </c>
      <c r="K107" s="247"/>
    </row>
    <row r="108" spans="1:14" ht="14.25">
      <c r="A108" s="25"/>
      <c r="B108" s="25" t="s">
        <v>15</v>
      </c>
      <c r="C108" s="25"/>
      <c r="D108" s="27">
        <f>SUM(D107-D106)</f>
        <v>-5573</v>
      </c>
      <c r="E108" s="27">
        <f>SUM(E107-E106)</f>
        <v>-166</v>
      </c>
      <c r="F108" s="27"/>
      <c r="G108" s="27">
        <f t="shared" ref="G108" si="47">SUM(G107-G106)</f>
        <v>657</v>
      </c>
      <c r="H108" s="27">
        <f t="shared" ref="H108" si="48">SUM(H107-H106)</f>
        <v>-2802.4285714285716</v>
      </c>
      <c r="I108" s="27"/>
      <c r="J108" s="27">
        <f t="shared" ref="J108" si="49">J107-J106</f>
        <v>-8427</v>
      </c>
    </row>
    <row r="109" spans="1:14">
      <c r="A109" s="24"/>
      <c r="B109" s="28" t="s">
        <v>17</v>
      </c>
      <c r="C109" s="28"/>
      <c r="D109" s="30">
        <f>D106/D107</f>
        <v>3.7345436702649657</v>
      </c>
      <c r="E109" s="30">
        <f>E106/E107</f>
        <v>1.8426395939086295</v>
      </c>
      <c r="F109" s="29"/>
      <c r="G109" s="30">
        <f t="shared" ref="G109:H109" si="50">G106/G107</f>
        <v>0.40272727272727271</v>
      </c>
      <c r="H109" s="30">
        <f t="shared" si="50"/>
        <v>1.751609195402299</v>
      </c>
      <c r="I109" s="29"/>
      <c r="J109" s="29">
        <f t="shared" ref="J109" si="51">J106/J107</f>
        <v>2.2183027323984388</v>
      </c>
    </row>
    <row r="110" spans="1:14">
      <c r="A110" s="24"/>
      <c r="B110" s="28"/>
      <c r="C110" s="28"/>
      <c r="D110" s="30"/>
      <c r="E110" s="30"/>
      <c r="F110" s="29"/>
      <c r="G110" s="30"/>
      <c r="H110" s="30"/>
      <c r="I110" s="29"/>
      <c r="J110" s="29"/>
    </row>
    <row r="111" spans="1:14" ht="25.5">
      <c r="A111" s="22" t="s">
        <v>0</v>
      </c>
      <c r="B111" s="22" t="s">
        <v>1</v>
      </c>
      <c r="C111" s="22" t="s">
        <v>33</v>
      </c>
      <c r="D111" s="23" t="s">
        <v>34</v>
      </c>
      <c r="E111" s="23" t="s">
        <v>35</v>
      </c>
      <c r="F111" s="23"/>
      <c r="G111" s="23" t="s">
        <v>45</v>
      </c>
      <c r="H111" s="23" t="s">
        <v>37</v>
      </c>
      <c r="I111" s="23" t="s">
        <v>38</v>
      </c>
      <c r="J111" s="23" t="s">
        <v>39</v>
      </c>
      <c r="K111" s="23" t="s">
        <v>46</v>
      </c>
      <c r="L111" s="23" t="s">
        <v>40</v>
      </c>
      <c r="M111" s="248" t="s">
        <v>47</v>
      </c>
    </row>
    <row r="112" spans="1:14">
      <c r="A112" s="25">
        <v>9</v>
      </c>
      <c r="B112" s="25" t="s">
        <v>11</v>
      </c>
      <c r="C112" s="25" t="s">
        <v>51</v>
      </c>
      <c r="D112" s="530">
        <f>SUM('EstAreas9&amp;10 2023'!L43:L49)</f>
        <v>3508</v>
      </c>
      <c r="E112" s="530">
        <f>SUM('EstAreas9&amp;10 2023'!M43:M49)</f>
        <v>5099</v>
      </c>
      <c r="F112" s="246"/>
      <c r="G112" s="246">
        <f>SUM(D112:E112)</f>
        <v>8607</v>
      </c>
      <c r="H112" s="530">
        <f>SUM('EstAreas9&amp;10 2023'!N43:N49)</f>
        <v>509</v>
      </c>
      <c r="I112" s="530">
        <f>SUM('EstAreas9&amp;10 2023'!O43:O49)</f>
        <v>652</v>
      </c>
      <c r="J112" s="530">
        <f>SUM('EstAreas9&amp;10 2023'!P43:P49)</f>
        <v>1496</v>
      </c>
      <c r="K112" s="246"/>
      <c r="L112" s="246">
        <f>SUM(D112:E112,H112:K112)</f>
        <v>11264</v>
      </c>
      <c r="M112" s="247"/>
      <c r="N112">
        <f>3316/G112</f>
        <v>0.38526780527477633</v>
      </c>
    </row>
    <row r="113" spans="1:13">
      <c r="A113" s="25">
        <v>9</v>
      </c>
      <c r="B113" s="25" t="s">
        <v>13</v>
      </c>
      <c r="C113" s="25" t="s">
        <v>51</v>
      </c>
      <c r="D113" s="539">
        <v>3852</v>
      </c>
      <c r="E113" s="539">
        <v>4827</v>
      </c>
      <c r="F113" s="539"/>
      <c r="G113" s="539">
        <v>8679</v>
      </c>
      <c r="H113" s="539"/>
      <c r="I113" s="539"/>
      <c r="J113" s="539"/>
      <c r="K113" s="539">
        <f>787/0.05</f>
        <v>15740</v>
      </c>
      <c r="L113" s="539">
        <f>G113+K113</f>
        <v>24419</v>
      </c>
      <c r="M113" s="247"/>
    </row>
    <row r="114" spans="1:13" ht="14.25">
      <c r="A114" s="25"/>
      <c r="B114" s="25" t="s">
        <v>15</v>
      </c>
      <c r="C114" s="25"/>
      <c r="D114" s="27">
        <f t="shared" ref="D114:G114" si="52">D113-D112</f>
        <v>344</v>
      </c>
      <c r="E114" s="27">
        <f t="shared" si="52"/>
        <v>-272</v>
      </c>
      <c r="F114" s="27"/>
      <c r="G114" s="27">
        <f t="shared" si="52"/>
        <v>72</v>
      </c>
      <c r="H114" s="25"/>
      <c r="I114" s="27"/>
      <c r="J114" s="27"/>
      <c r="K114" s="27"/>
      <c r="L114" s="27">
        <f t="shared" ref="L114" si="53">L113-L112</f>
        <v>13155</v>
      </c>
    </row>
    <row r="115" spans="1:13">
      <c r="A115" s="533"/>
      <c r="B115" s="534" t="s">
        <v>17</v>
      </c>
      <c r="C115" s="534"/>
      <c r="D115" s="535">
        <f t="shared" ref="D115:G115" si="54">D112/D113</f>
        <v>0.91069574247144336</v>
      </c>
      <c r="E115" s="535">
        <f t="shared" si="54"/>
        <v>1.0563496996063808</v>
      </c>
      <c r="F115" s="535"/>
      <c r="G115" s="535">
        <f t="shared" si="54"/>
        <v>0.99170411337711717</v>
      </c>
      <c r="H115" s="535"/>
      <c r="I115" s="535"/>
      <c r="J115" s="535"/>
      <c r="K115" s="535"/>
      <c r="L115" s="535">
        <f t="shared" ref="L115" si="55">L112/L113</f>
        <v>0.46128015070232198</v>
      </c>
      <c r="M115" s="536"/>
    </row>
    <row r="116" spans="1:13">
      <c r="A116" s="24"/>
      <c r="B116" s="28"/>
      <c r="C116" s="28"/>
      <c r="D116" s="187"/>
      <c r="E116" s="187"/>
      <c r="F116" s="187"/>
      <c r="G116" s="187"/>
      <c r="H116" s="187"/>
      <c r="I116" s="187"/>
      <c r="J116" s="187"/>
      <c r="K116" s="187"/>
      <c r="L116" s="187"/>
    </row>
    <row r="117" spans="1:13" ht="25.5">
      <c r="A117" s="22" t="s">
        <v>0</v>
      </c>
      <c r="B117" s="22" t="s">
        <v>1</v>
      </c>
      <c r="C117" s="22" t="s">
        <v>33</v>
      </c>
      <c r="D117" s="23" t="s">
        <v>34</v>
      </c>
      <c r="E117" s="23" t="s">
        <v>35</v>
      </c>
      <c r="F117" s="23"/>
      <c r="G117" s="23" t="s">
        <v>45</v>
      </c>
      <c r="H117" s="23" t="s">
        <v>37</v>
      </c>
      <c r="I117" s="23" t="s">
        <v>38</v>
      </c>
      <c r="J117" s="23" t="s">
        <v>39</v>
      </c>
      <c r="K117" s="23" t="s">
        <v>46</v>
      </c>
      <c r="L117" s="23" t="s">
        <v>40</v>
      </c>
      <c r="M117" s="248" t="s">
        <v>47</v>
      </c>
    </row>
    <row r="118" spans="1:13">
      <c r="A118" s="25">
        <v>10</v>
      </c>
      <c r="B118" s="25" t="s">
        <v>11</v>
      </c>
      <c r="C118" s="25" t="s">
        <v>52</v>
      </c>
      <c r="D118" s="246">
        <f>SUM('EstAreas9&amp;10 2023'!L62:L79)</f>
        <v>2906</v>
      </c>
      <c r="E118" s="246">
        <f>SUM('EstAreas9&amp;10 2023'!M62:M79)</f>
        <v>2172</v>
      </c>
      <c r="F118" s="246"/>
      <c r="G118" s="246">
        <f>SUM(D118:E118)</f>
        <v>5078</v>
      </c>
      <c r="H118" s="246">
        <f>SUM('EstAreas9&amp;10 2023'!N62:N79)</f>
        <v>273</v>
      </c>
      <c r="I118" s="246">
        <f>SUM('EstAreas9&amp;10 2023'!O62:O79)</f>
        <v>117</v>
      </c>
      <c r="J118" s="246">
        <f>SUM('EstAreas9&amp;10 2023'!P62:P79)</f>
        <v>819</v>
      </c>
      <c r="K118" s="246"/>
      <c r="L118" s="246">
        <f>SUM(D118:E118,H118:K118)</f>
        <v>6287</v>
      </c>
      <c r="M118" s="247"/>
    </row>
    <row r="119" spans="1:13">
      <c r="A119" s="25">
        <v>10</v>
      </c>
      <c r="B119" s="25" t="s">
        <v>13</v>
      </c>
      <c r="C119" s="25" t="s">
        <v>52</v>
      </c>
      <c r="D119" s="539">
        <v>1672</v>
      </c>
      <c r="E119" s="539">
        <v>1588</v>
      </c>
      <c r="F119" s="539"/>
      <c r="G119" s="539">
        <v>3260</v>
      </c>
      <c r="H119" s="539"/>
      <c r="I119" s="539"/>
      <c r="J119" s="539"/>
      <c r="K119" s="539">
        <f>163/0.05</f>
        <v>3260</v>
      </c>
      <c r="L119" s="539">
        <f>G119+K119</f>
        <v>6520</v>
      </c>
      <c r="M119" s="247"/>
    </row>
    <row r="120" spans="1:13" ht="14.25">
      <c r="A120" s="25"/>
      <c r="B120" s="25" t="s">
        <v>15</v>
      </c>
      <c r="C120" s="25"/>
      <c r="D120" s="27">
        <f t="shared" ref="D120" si="56">D119-D118</f>
        <v>-1234</v>
      </c>
      <c r="E120" s="27">
        <f t="shared" ref="E120:G120" si="57">E119-E118</f>
        <v>-584</v>
      </c>
      <c r="F120" s="27"/>
      <c r="G120" s="27">
        <f t="shared" si="57"/>
        <v>-1818</v>
      </c>
      <c r="H120" s="25"/>
      <c r="I120" s="27"/>
      <c r="J120" s="27"/>
      <c r="K120" s="27"/>
      <c r="L120" s="27">
        <f t="shared" ref="L120" si="58">L119-L118</f>
        <v>233</v>
      </c>
    </row>
    <row r="121" spans="1:13">
      <c r="A121" s="24"/>
      <c r="B121" s="28" t="s">
        <v>17</v>
      </c>
      <c r="C121" s="28"/>
      <c r="D121" s="187">
        <f t="shared" ref="D121" si="59">D118/D119</f>
        <v>1.7380382775119618</v>
      </c>
      <c r="E121" s="187">
        <f t="shared" ref="E121:G121" si="60">E118/E119</f>
        <v>1.3677581863979849</v>
      </c>
      <c r="F121" s="187"/>
      <c r="G121" s="187">
        <f t="shared" si="60"/>
        <v>1.5576687116564416</v>
      </c>
      <c r="H121" s="187"/>
      <c r="I121" s="187"/>
      <c r="J121" s="187"/>
      <c r="K121" s="187"/>
      <c r="L121" s="187">
        <f t="shared" ref="L121" si="61">L118/L119</f>
        <v>0.96426380368098163</v>
      </c>
    </row>
    <row r="122" spans="1:13">
      <c r="A122" s="24"/>
      <c r="B122" s="28"/>
      <c r="C122" s="28"/>
      <c r="D122" s="187"/>
      <c r="E122" s="187"/>
      <c r="F122" s="187"/>
      <c r="G122" s="187"/>
      <c r="H122" s="187"/>
      <c r="I122" s="187"/>
      <c r="J122" s="187"/>
      <c r="K122" s="187"/>
      <c r="L122" s="28"/>
    </row>
    <row r="123" spans="1:13" ht="25.5">
      <c r="A123" s="22" t="s">
        <v>0</v>
      </c>
      <c r="B123" s="22" t="s">
        <v>1</v>
      </c>
      <c r="C123" s="22" t="s">
        <v>33</v>
      </c>
      <c r="D123" s="23" t="s">
        <v>34</v>
      </c>
      <c r="E123" s="23" t="s">
        <v>35</v>
      </c>
      <c r="F123" s="23"/>
      <c r="G123" s="23" t="s">
        <v>45</v>
      </c>
      <c r="H123" s="23" t="s">
        <v>37</v>
      </c>
      <c r="I123" s="23" t="s">
        <v>38</v>
      </c>
      <c r="J123" s="23" t="s">
        <v>39</v>
      </c>
      <c r="K123" s="23" t="s">
        <v>46</v>
      </c>
      <c r="L123" s="23" t="s">
        <v>40</v>
      </c>
      <c r="M123" s="248" t="s">
        <v>47</v>
      </c>
    </row>
    <row r="124" spans="1:13">
      <c r="A124" s="25">
        <v>10</v>
      </c>
      <c r="B124" s="25" t="s">
        <v>11</v>
      </c>
      <c r="C124" s="25" t="s">
        <v>42</v>
      </c>
      <c r="D124" s="246">
        <f>SUM('EstAreas9&amp;10 2023'!L80:L98)+((1/4)*('EstAreas9&amp;10 2023'!L99))</f>
        <v>5977.5</v>
      </c>
      <c r="E124" s="246">
        <f>SUM('EstAreas9&amp;10 2023'!M80:M98)+((1/4)*('EstAreas9&amp;10 2023'!M99))</f>
        <v>6838</v>
      </c>
      <c r="F124" s="246"/>
      <c r="G124" s="246">
        <f>SUM(D124:E124)</f>
        <v>12815.5</v>
      </c>
      <c r="H124" s="246">
        <f>SUM('EstAreas9&amp;10 2023'!N80:N98)+((1/4)*('EstAreas9&amp;10 2023'!N99))</f>
        <v>861.25</v>
      </c>
      <c r="I124" s="246">
        <f>SUM('EstAreas9&amp;10 2023'!O80:O98)+((1/4)*('EstAreas9&amp;10 2023'!O99))</f>
        <v>682</v>
      </c>
      <c r="J124" s="246">
        <f>SUM('EstAreas9&amp;10 2023'!P80:P98)+((1/4)*('EstAreas9&amp;10 2023'!P99))</f>
        <v>2833.75</v>
      </c>
      <c r="K124" s="246"/>
      <c r="L124" s="246">
        <f>SUM(D124:E124,H124:K124)</f>
        <v>17192.5</v>
      </c>
      <c r="M124" s="247"/>
    </row>
    <row r="125" spans="1:13">
      <c r="A125" s="25">
        <v>10</v>
      </c>
      <c r="B125" s="25" t="s">
        <v>13</v>
      </c>
      <c r="C125" s="25" t="s">
        <v>42</v>
      </c>
      <c r="D125" s="539">
        <v>2320</v>
      </c>
      <c r="E125" s="539">
        <v>2490</v>
      </c>
      <c r="F125" s="539"/>
      <c r="G125" s="539">
        <v>4810</v>
      </c>
      <c r="H125" s="539"/>
      <c r="I125" s="539"/>
      <c r="J125" s="539"/>
      <c r="K125" s="539">
        <f>240/0.05</f>
        <v>4800</v>
      </c>
      <c r="L125" s="539">
        <f>G125+K125</f>
        <v>9610</v>
      </c>
      <c r="M125" s="247"/>
    </row>
    <row r="126" spans="1:13" ht="14.25">
      <c r="A126" s="25"/>
      <c r="B126" s="25" t="s">
        <v>15</v>
      </c>
      <c r="C126" s="25"/>
      <c r="D126" s="27">
        <f t="shared" ref="D126:G126" si="62">D125-D124</f>
        <v>-3657.5</v>
      </c>
      <c r="E126" s="27">
        <f t="shared" si="62"/>
        <v>-4348</v>
      </c>
      <c r="F126" s="27"/>
      <c r="G126" s="27">
        <f t="shared" si="62"/>
        <v>-8005.5</v>
      </c>
      <c r="H126" s="25"/>
      <c r="I126" s="27"/>
      <c r="J126" s="27"/>
      <c r="K126" s="27"/>
      <c r="L126" s="27">
        <f t="shared" ref="L126" si="63">L125-L124</f>
        <v>-7582.5</v>
      </c>
    </row>
    <row r="127" spans="1:13">
      <c r="A127" s="24"/>
      <c r="B127" s="28" t="s">
        <v>17</v>
      </c>
      <c r="C127" s="28"/>
      <c r="D127" s="187">
        <f t="shared" ref="D127:G127" si="64">D124/D125</f>
        <v>2.5765086206896552</v>
      </c>
      <c r="E127" s="187">
        <f t="shared" si="64"/>
        <v>2.7461847389558232</v>
      </c>
      <c r="F127" s="187"/>
      <c r="G127" s="187">
        <f t="shared" si="64"/>
        <v>2.6643451143451142</v>
      </c>
      <c r="H127" s="187"/>
      <c r="I127" s="187"/>
      <c r="J127" s="187"/>
      <c r="K127" s="187"/>
      <c r="L127" s="187">
        <f t="shared" ref="L127" si="65">L124/L125</f>
        <v>1.789021852237253</v>
      </c>
    </row>
    <row r="128" spans="1:13">
      <c r="A128" s="24"/>
      <c r="B128" s="28"/>
      <c r="C128" s="28"/>
      <c r="D128" s="187"/>
      <c r="E128" s="187"/>
      <c r="F128" s="187"/>
      <c r="G128" s="187"/>
      <c r="H128" s="187"/>
      <c r="I128" s="187"/>
      <c r="J128" s="187"/>
      <c r="K128" s="187"/>
      <c r="L128" s="28"/>
    </row>
    <row r="129" spans="1:13" ht="25.5">
      <c r="A129" s="22" t="s">
        <v>0</v>
      </c>
      <c r="B129" s="22" t="s">
        <v>1</v>
      </c>
      <c r="C129" s="22" t="s">
        <v>33</v>
      </c>
      <c r="D129" s="23" t="s">
        <v>34</v>
      </c>
      <c r="E129" s="23" t="s">
        <v>35</v>
      </c>
      <c r="F129" s="23"/>
      <c r="G129" s="23" t="s">
        <v>45</v>
      </c>
      <c r="H129" s="23" t="s">
        <v>37</v>
      </c>
      <c r="I129" s="23" t="s">
        <v>38</v>
      </c>
      <c r="J129" s="23" t="s">
        <v>39</v>
      </c>
      <c r="K129" s="23" t="s">
        <v>46</v>
      </c>
      <c r="L129" s="23" t="s">
        <v>40</v>
      </c>
      <c r="M129" s="248" t="s">
        <v>47</v>
      </c>
    </row>
    <row r="130" spans="1:13">
      <c r="A130" s="25">
        <v>10</v>
      </c>
      <c r="B130" s="25" t="s">
        <v>11</v>
      </c>
      <c r="C130" s="25" t="s">
        <v>43</v>
      </c>
      <c r="D130" s="246">
        <f>SUM('EstAreas9&amp;10 2023'!L100:L115)+((3/4)*('EstAreas9&amp;10 2023'!L99))</f>
        <v>2774.5</v>
      </c>
      <c r="E130" s="246">
        <f>SUM('EstAreas9&amp;10 2023'!M100:M115)+((3/4)*('EstAreas9&amp;10 2023'!M99))</f>
        <v>2462</v>
      </c>
      <c r="F130" s="246"/>
      <c r="G130" s="246">
        <f>SUM(D130:E130)</f>
        <v>5236.5</v>
      </c>
      <c r="H130" s="246">
        <f>SUM('EstAreas9&amp;10 2023'!N100:N115)+((3/4)*('EstAreas9&amp;10 2023'!N99))</f>
        <v>693.75</v>
      </c>
      <c r="I130" s="246">
        <f>SUM('EstAreas9&amp;10 2023'!O100:O115)+((3/4)*('EstAreas9&amp;10 2023'!O99))</f>
        <v>653</v>
      </c>
      <c r="J130" s="246">
        <f>SUM('EstAreas9&amp;10 2023'!P100:P115)+((3/4)*('EstAreas9&amp;10 2023'!P99))</f>
        <v>1434.25</v>
      </c>
      <c r="K130" s="246"/>
      <c r="L130" s="246">
        <f>SUM(D130:E130,H130:K130)</f>
        <v>8017.5</v>
      </c>
      <c r="M130" s="247"/>
    </row>
    <row r="131" spans="1:13">
      <c r="A131" s="25">
        <v>10</v>
      </c>
      <c r="B131" s="25" t="s">
        <v>13</v>
      </c>
      <c r="C131" s="25" t="s">
        <v>43</v>
      </c>
      <c r="D131" s="539">
        <v>1846</v>
      </c>
      <c r="E131" s="539">
        <v>2008</v>
      </c>
      <c r="F131" s="539"/>
      <c r="G131" s="539">
        <v>3854</v>
      </c>
      <c r="H131" s="539"/>
      <c r="I131" s="539"/>
      <c r="J131" s="539"/>
      <c r="K131" s="539">
        <f>193/0.05</f>
        <v>3860</v>
      </c>
      <c r="L131" s="539">
        <f>G131+K131</f>
        <v>7714</v>
      </c>
      <c r="M131" s="247"/>
    </row>
    <row r="132" spans="1:13" ht="14.25">
      <c r="A132" s="25"/>
      <c r="B132" s="25" t="s">
        <v>15</v>
      </c>
      <c r="C132" s="25"/>
      <c r="D132" s="27">
        <f t="shared" ref="D132:G132" si="66">D131-D130</f>
        <v>-928.5</v>
      </c>
      <c r="E132" s="27">
        <f t="shared" si="66"/>
        <v>-454</v>
      </c>
      <c r="F132" s="27"/>
      <c r="G132" s="27">
        <f t="shared" si="66"/>
        <v>-1382.5</v>
      </c>
      <c r="H132" s="25"/>
      <c r="I132" s="27"/>
      <c r="J132" s="27"/>
      <c r="K132" s="27"/>
      <c r="L132" s="27">
        <f t="shared" ref="L132" si="67">L131-L130</f>
        <v>-303.5</v>
      </c>
    </row>
    <row r="133" spans="1:13">
      <c r="A133" s="24"/>
      <c r="B133" s="28" t="s">
        <v>17</v>
      </c>
      <c r="C133" s="28"/>
      <c r="D133" s="187">
        <f t="shared" ref="D133:G133" si="68">D130/D131</f>
        <v>1.5029794149512459</v>
      </c>
      <c r="E133" s="187">
        <f t="shared" si="68"/>
        <v>1.2260956175298805</v>
      </c>
      <c r="F133" s="187"/>
      <c r="G133" s="187">
        <f t="shared" si="68"/>
        <v>1.3587182148417229</v>
      </c>
      <c r="H133" s="187"/>
      <c r="I133" s="187"/>
      <c r="J133" s="187"/>
      <c r="K133" s="187"/>
      <c r="L133" s="187">
        <f t="shared" ref="L133" si="69">L130/L131</f>
        <v>1.0393440497796214</v>
      </c>
    </row>
    <row r="134" spans="1:13">
      <c r="A134" s="24"/>
      <c r="B134" s="28"/>
      <c r="C134" s="28"/>
      <c r="D134" s="187"/>
      <c r="E134" s="187"/>
      <c r="F134" s="187"/>
      <c r="G134" s="187"/>
      <c r="H134" s="187"/>
      <c r="I134" s="187"/>
      <c r="J134" s="187"/>
      <c r="K134" s="187"/>
      <c r="L134" s="187"/>
    </row>
    <row r="135" spans="1:13" ht="25.5">
      <c r="A135" s="22" t="s">
        <v>0</v>
      </c>
      <c r="B135" s="22" t="s">
        <v>1</v>
      </c>
      <c r="C135" s="22" t="s">
        <v>33</v>
      </c>
      <c r="D135" s="23" t="s">
        <v>34</v>
      </c>
      <c r="E135" s="23" t="s">
        <v>35</v>
      </c>
      <c r="F135" s="23"/>
      <c r="G135" s="23" t="s">
        <v>45</v>
      </c>
      <c r="H135" s="23" t="s">
        <v>37</v>
      </c>
      <c r="I135" s="23" t="s">
        <v>38</v>
      </c>
      <c r="J135" s="23" t="s">
        <v>39</v>
      </c>
      <c r="K135" s="23" t="s">
        <v>46</v>
      </c>
      <c r="L135" s="23" t="s">
        <v>40</v>
      </c>
      <c r="M135" s="248" t="s">
        <v>47</v>
      </c>
    </row>
    <row r="136" spans="1:13">
      <c r="A136" s="25">
        <v>10</v>
      </c>
      <c r="B136" s="25" t="s">
        <v>11</v>
      </c>
      <c r="C136" s="25" t="s">
        <v>44</v>
      </c>
      <c r="D136" s="246">
        <f>SUM('EstAreas9&amp;10 2023'!L116:L132)</f>
        <v>5762</v>
      </c>
      <c r="E136" s="246">
        <f>SUM('EstAreas9&amp;10 2023'!M116:M132)</f>
        <v>6246</v>
      </c>
      <c r="F136" s="246"/>
      <c r="G136" s="246">
        <f>SUM(D136:E136)</f>
        <v>12008</v>
      </c>
      <c r="H136" s="246">
        <f>SUM('EstAreas9&amp;10 2023'!N116:N132)</f>
        <v>2413</v>
      </c>
      <c r="I136" s="246">
        <f>SUM('EstAreas9&amp;10 2023'!O116:O132)</f>
        <v>1476</v>
      </c>
      <c r="J136" s="246">
        <f>SUM('EstAreas9&amp;10 2023'!P116:P132)</f>
        <v>3091</v>
      </c>
      <c r="K136" s="246"/>
      <c r="L136" s="246">
        <f>SUM(D136:E136,H136:J136)</f>
        <v>18988</v>
      </c>
      <c r="M136" s="247"/>
    </row>
    <row r="137" spans="1:13">
      <c r="A137" s="25">
        <v>10</v>
      </c>
      <c r="B137" s="25" t="s">
        <v>13</v>
      </c>
      <c r="C137" s="25" t="s">
        <v>44</v>
      </c>
      <c r="D137" s="539">
        <v>7713</v>
      </c>
      <c r="E137" s="539">
        <v>8712</v>
      </c>
      <c r="F137" s="539"/>
      <c r="G137" s="539">
        <v>16425</v>
      </c>
      <c r="H137" s="539"/>
      <c r="I137" s="539"/>
      <c r="J137" s="539"/>
      <c r="K137" s="539">
        <f>821/0.05</f>
        <v>16420</v>
      </c>
      <c r="L137" s="539">
        <f>G137+K137</f>
        <v>32845</v>
      </c>
      <c r="M137" s="247"/>
    </row>
    <row r="138" spans="1:13" ht="14.25">
      <c r="A138" s="25"/>
      <c r="B138" s="25" t="s">
        <v>15</v>
      </c>
      <c r="C138" s="25"/>
      <c r="D138" s="27">
        <f t="shared" ref="D138:G138" si="70">D137-D136</f>
        <v>1951</v>
      </c>
      <c r="E138" s="27">
        <f t="shared" si="70"/>
        <v>2466</v>
      </c>
      <c r="F138" s="27"/>
      <c r="G138" s="27">
        <f t="shared" si="70"/>
        <v>4417</v>
      </c>
      <c r="H138" s="25"/>
      <c r="I138" s="27"/>
      <c r="J138" s="27"/>
      <c r="K138" s="27"/>
      <c r="L138" s="27">
        <f t="shared" ref="L138" si="71">L137-L136</f>
        <v>13857</v>
      </c>
    </row>
    <row r="139" spans="1:13">
      <c r="A139" s="24"/>
      <c r="B139" s="28" t="s">
        <v>17</v>
      </c>
      <c r="C139" s="28"/>
      <c r="D139" s="187">
        <f t="shared" ref="D139" si="72">D136/D137</f>
        <v>0.74705043433164786</v>
      </c>
      <c r="E139" s="187">
        <f t="shared" ref="E139" si="73">E136/E137</f>
        <v>0.71694214876033058</v>
      </c>
      <c r="F139" s="187"/>
      <c r="G139" s="187">
        <f t="shared" ref="G139" si="74">G136/G137</f>
        <v>0.73108066971080665</v>
      </c>
      <c r="H139" s="187"/>
      <c r="I139" s="187"/>
      <c r="J139" s="187"/>
      <c r="K139" s="187"/>
      <c r="L139" s="187">
        <f t="shared" ref="L139" si="75">L136/L137</f>
        <v>0.57810930126351046</v>
      </c>
    </row>
    <row r="140" spans="1:13">
      <c r="A140" s="24"/>
      <c r="B140" s="28"/>
      <c r="C140" s="28"/>
      <c r="D140" s="187"/>
      <c r="E140" s="187"/>
      <c r="F140" s="187"/>
      <c r="G140" s="187"/>
      <c r="H140" s="187"/>
      <c r="I140" s="187"/>
      <c r="J140" s="187"/>
      <c r="K140" s="187"/>
      <c r="L140" s="187"/>
    </row>
    <row r="141" spans="1:13" ht="25.5">
      <c r="A141" s="22" t="s">
        <v>0</v>
      </c>
      <c r="B141" s="22" t="s">
        <v>1</v>
      </c>
      <c r="C141" s="22" t="s">
        <v>33</v>
      </c>
      <c r="D141" s="23" t="s">
        <v>34</v>
      </c>
      <c r="E141" s="23" t="s">
        <v>35</v>
      </c>
      <c r="F141" s="23"/>
      <c r="G141" s="23" t="s">
        <v>45</v>
      </c>
      <c r="H141" s="23" t="s">
        <v>37</v>
      </c>
      <c r="I141" s="23" t="s">
        <v>38</v>
      </c>
      <c r="J141" s="23" t="s">
        <v>39</v>
      </c>
      <c r="K141" s="23" t="s">
        <v>46</v>
      </c>
      <c r="L141" s="23" t="s">
        <v>40</v>
      </c>
      <c r="M141" s="248" t="s">
        <v>47</v>
      </c>
    </row>
    <row r="142" spans="1:13">
      <c r="A142" s="25">
        <v>10</v>
      </c>
      <c r="B142" s="25" t="s">
        <v>11</v>
      </c>
      <c r="C142" s="25" t="s">
        <v>48</v>
      </c>
      <c r="D142" s="530">
        <f>SUM('EstAreas9&amp;10 2023'!L133:L150)</f>
        <v>611</v>
      </c>
      <c r="E142" s="530">
        <f>SUM('EstAreas9&amp;10 2023'!M133:M150)</f>
        <v>1183</v>
      </c>
      <c r="F142" s="530"/>
      <c r="G142" s="530">
        <f>SUM(D142:E142)</f>
        <v>1794</v>
      </c>
      <c r="H142" s="530">
        <f>SUM('EstAreas9&amp;10 2023'!N133:N150)</f>
        <v>607</v>
      </c>
      <c r="I142" s="530">
        <f>SUM('EstAreas9&amp;10 2023'!O133:O150)</f>
        <v>395</v>
      </c>
      <c r="J142" s="530">
        <f>SUM('EstAreas9&amp;10 2023'!P133:P150)</f>
        <v>1225</v>
      </c>
      <c r="K142" s="530"/>
      <c r="L142" s="530">
        <f>SUM(D142:E142,H142:J142)</f>
        <v>4021</v>
      </c>
      <c r="M142" s="247"/>
    </row>
    <row r="143" spans="1:13">
      <c r="A143" s="25">
        <v>10</v>
      </c>
      <c r="B143" s="25" t="s">
        <v>13</v>
      </c>
      <c r="C143" s="25" t="s">
        <v>48</v>
      </c>
      <c r="D143" s="539">
        <v>633</v>
      </c>
      <c r="E143" s="539">
        <v>812</v>
      </c>
      <c r="F143" s="539"/>
      <c r="G143" s="539">
        <v>1445</v>
      </c>
      <c r="H143" s="539"/>
      <c r="I143" s="539"/>
      <c r="J143" s="539"/>
      <c r="K143" s="539">
        <f>72/0.05</f>
        <v>1440</v>
      </c>
      <c r="L143" s="539">
        <f>G143+K143</f>
        <v>2885</v>
      </c>
      <c r="M143" s="247"/>
    </row>
    <row r="144" spans="1:13" ht="14.25">
      <c r="A144" s="25"/>
      <c r="B144" s="25" t="s">
        <v>15</v>
      </c>
      <c r="C144" s="25"/>
      <c r="D144" s="27">
        <f t="shared" ref="D144:E144" si="76">D143-D142</f>
        <v>22</v>
      </c>
      <c r="E144" s="27">
        <f t="shared" si="76"/>
        <v>-371</v>
      </c>
      <c r="F144" s="27"/>
      <c r="G144" s="27">
        <f t="shared" ref="G144" si="77">G143-G142</f>
        <v>-349</v>
      </c>
      <c r="H144" s="25"/>
      <c r="I144" s="27"/>
      <c r="J144" s="27"/>
      <c r="K144" s="27"/>
      <c r="L144" s="27">
        <f t="shared" ref="L144" si="78">L143-L142</f>
        <v>-1136</v>
      </c>
    </row>
    <row r="145" spans="1:15">
      <c r="A145" s="533"/>
      <c r="B145" s="534" t="s">
        <v>17</v>
      </c>
      <c r="C145" s="534"/>
      <c r="D145" s="535">
        <f t="shared" ref="D145" si="79">D142/D143</f>
        <v>0.96524486571879942</v>
      </c>
      <c r="E145" s="535">
        <f t="shared" ref="E145:G145" si="80">E142/E143</f>
        <v>1.4568965517241379</v>
      </c>
      <c r="F145" s="535"/>
      <c r="G145" s="535">
        <f t="shared" si="80"/>
        <v>1.2415224913494809</v>
      </c>
      <c r="H145" s="535"/>
      <c r="I145" s="535"/>
      <c r="J145" s="535"/>
      <c r="K145" s="535"/>
      <c r="L145" s="535">
        <f t="shared" ref="L145" si="81">L142/L143</f>
        <v>1.3937608318890815</v>
      </c>
      <c r="M145" s="536"/>
    </row>
    <row r="146" spans="1:15">
      <c r="A146" s="24"/>
      <c r="B146" s="28"/>
      <c r="C146" s="28"/>
      <c r="D146" s="187"/>
      <c r="E146" s="187"/>
      <c r="F146" s="187"/>
      <c r="G146" s="187"/>
      <c r="H146" s="187"/>
      <c r="I146" s="187"/>
      <c r="J146" s="187"/>
      <c r="K146" s="187"/>
      <c r="L146" s="187"/>
    </row>
    <row r="147" spans="1:15" ht="25.5">
      <c r="A147" s="22" t="s">
        <v>0</v>
      </c>
      <c r="B147" s="22" t="s">
        <v>1</v>
      </c>
      <c r="C147" s="22" t="s">
        <v>33</v>
      </c>
      <c r="D147" s="23" t="s">
        <v>34</v>
      </c>
      <c r="E147" s="23" t="s">
        <v>35</v>
      </c>
      <c r="F147" s="23"/>
      <c r="G147" s="23" t="s">
        <v>45</v>
      </c>
      <c r="H147" s="23" t="s">
        <v>37</v>
      </c>
      <c r="I147" s="23" t="s">
        <v>38</v>
      </c>
      <c r="J147" s="23" t="s">
        <v>39</v>
      </c>
      <c r="K147" s="23" t="s">
        <v>46</v>
      </c>
      <c r="L147" s="23" t="s">
        <v>40</v>
      </c>
      <c r="M147" s="248" t="s">
        <v>47</v>
      </c>
    </row>
    <row r="148" spans="1:15">
      <c r="A148" s="25">
        <v>11</v>
      </c>
      <c r="B148" s="25" t="s">
        <v>11</v>
      </c>
      <c r="C148" s="25" t="s">
        <v>52</v>
      </c>
      <c r="D148" s="246">
        <f>SUM('EstArea 11 2023'!M6:M13)</f>
        <v>193</v>
      </c>
      <c r="E148" s="246">
        <f>SUM('EstArea 11 2023'!N6:N13)</f>
        <v>90</v>
      </c>
      <c r="F148" s="246"/>
      <c r="G148" s="246">
        <f>SUM(D148:E148)</f>
        <v>283</v>
      </c>
      <c r="H148" s="246">
        <f>SUM('EstArea 11 2023'!O6:O13)</f>
        <v>25</v>
      </c>
      <c r="I148" s="246">
        <f>SUM('EstArea 11 2023'!P6:P13)</f>
        <v>12</v>
      </c>
      <c r="J148" s="246">
        <f>SUM('EstArea 11 2023'!Q6:Q13)</f>
        <v>40</v>
      </c>
      <c r="K148" s="246"/>
      <c r="L148" s="246">
        <f>SUM(D148:E148,H148:K148)</f>
        <v>360</v>
      </c>
      <c r="M148" s="247"/>
    </row>
    <row r="149" spans="1:15">
      <c r="A149" s="26">
        <v>11</v>
      </c>
      <c r="B149" s="26" t="s">
        <v>13</v>
      </c>
      <c r="C149" s="26" t="s">
        <v>52</v>
      </c>
      <c r="D149" s="539">
        <v>4</v>
      </c>
      <c r="E149" s="539">
        <v>3</v>
      </c>
      <c r="F149" s="539"/>
      <c r="G149" s="539">
        <v>7</v>
      </c>
      <c r="H149" s="539"/>
      <c r="I149" s="539"/>
      <c r="J149" s="539"/>
      <c r="K149" s="539">
        <v>0</v>
      </c>
      <c r="L149" s="539">
        <f>G149+K149</f>
        <v>7</v>
      </c>
      <c r="M149" s="28"/>
      <c r="O149">
        <f>63/0.05</f>
        <v>1260</v>
      </c>
    </row>
    <row r="150" spans="1:15" ht="14.25">
      <c r="A150" s="25"/>
      <c r="B150" s="25" t="s">
        <v>15</v>
      </c>
      <c r="C150" s="25"/>
      <c r="D150" s="27">
        <f t="shared" ref="D150:E150" si="82">D149-D148</f>
        <v>-189</v>
      </c>
      <c r="E150" s="27">
        <f t="shared" si="82"/>
        <v>-87</v>
      </c>
      <c r="F150" s="27"/>
      <c r="G150" s="27">
        <f t="shared" ref="G150" si="83">G149-G148</f>
        <v>-276</v>
      </c>
      <c r="H150" s="25"/>
      <c r="I150" s="27"/>
      <c r="J150" s="27"/>
      <c r="K150" s="27"/>
      <c r="L150" s="27">
        <f t="shared" ref="L150" si="84">L149-L148</f>
        <v>-353</v>
      </c>
      <c r="M150" s="24"/>
    </row>
    <row r="151" spans="1:15">
      <c r="A151" s="24"/>
      <c r="B151" s="28" t="s">
        <v>17</v>
      </c>
      <c r="C151" s="28"/>
      <c r="D151" s="187">
        <f>D148/D149</f>
        <v>48.25</v>
      </c>
      <c r="E151" s="187">
        <f>E148/E149</f>
        <v>30</v>
      </c>
      <c r="F151" s="187"/>
      <c r="G151" s="187">
        <f t="shared" ref="G151" si="85">G148/G149</f>
        <v>40.428571428571431</v>
      </c>
      <c r="H151" s="187"/>
      <c r="I151" s="187"/>
      <c r="J151" s="187"/>
      <c r="K151" s="187"/>
      <c r="L151" s="187">
        <f t="shared" ref="L151" si="86">L148/L149</f>
        <v>51.428571428571431</v>
      </c>
      <c r="M151" s="28"/>
    </row>
    <row r="153" spans="1:15" ht="25.5">
      <c r="A153" s="22" t="s">
        <v>0</v>
      </c>
      <c r="B153" s="22" t="s">
        <v>1</v>
      </c>
      <c r="C153" s="22" t="s">
        <v>33</v>
      </c>
      <c r="D153" s="23" t="s">
        <v>34</v>
      </c>
      <c r="E153" s="23" t="s">
        <v>35</v>
      </c>
      <c r="F153" s="23"/>
      <c r="G153" s="23" t="s">
        <v>45</v>
      </c>
      <c r="H153" s="23" t="s">
        <v>37</v>
      </c>
      <c r="I153" s="23" t="s">
        <v>38</v>
      </c>
      <c r="J153" s="23" t="s">
        <v>39</v>
      </c>
      <c r="K153" s="23" t="s">
        <v>46</v>
      </c>
      <c r="L153" s="23" t="s">
        <v>40</v>
      </c>
      <c r="M153" s="248" t="s">
        <v>47</v>
      </c>
    </row>
    <row r="154" spans="1:15">
      <c r="A154" s="25">
        <v>11</v>
      </c>
      <c r="B154" s="25" t="s">
        <v>11</v>
      </c>
      <c r="C154" s="25" t="s">
        <v>42</v>
      </c>
      <c r="D154" s="246">
        <f>SUM('EstArea 11 2023'!M19:M26)</f>
        <v>402</v>
      </c>
      <c r="E154" s="246">
        <f>SUM('EstArea 11 2023'!N19:N26)</f>
        <v>153</v>
      </c>
      <c r="F154" s="246"/>
      <c r="G154" s="246">
        <f>SUM(D154:E154)</f>
        <v>555</v>
      </c>
      <c r="H154" s="246">
        <f>SUM('EstArea 11 2023'!O19:O26)</f>
        <v>52</v>
      </c>
      <c r="I154" s="246">
        <f>SUM('EstArea 11 2023'!P19:P26)</f>
        <v>10</v>
      </c>
      <c r="J154" s="246">
        <f>SUM('EstArea 11 2023'!Q19:Q26)</f>
        <v>63</v>
      </c>
      <c r="K154" s="246"/>
      <c r="L154" s="246">
        <f>SUM(D154:E154,H154:K154)</f>
        <v>680</v>
      </c>
      <c r="M154" s="247"/>
    </row>
    <row r="155" spans="1:15">
      <c r="A155" s="26">
        <v>11</v>
      </c>
      <c r="B155" s="26" t="s">
        <v>13</v>
      </c>
      <c r="C155" s="26" t="s">
        <v>42</v>
      </c>
      <c r="D155" s="539">
        <v>152</v>
      </c>
      <c r="E155" s="539">
        <v>171</v>
      </c>
      <c r="F155" s="539"/>
      <c r="G155" s="539">
        <v>323</v>
      </c>
      <c r="H155" s="539"/>
      <c r="I155" s="539"/>
      <c r="J155" s="539"/>
      <c r="K155" s="539">
        <f>16/0.05</f>
        <v>320</v>
      </c>
      <c r="L155" s="539">
        <f>G155+K155</f>
        <v>643</v>
      </c>
      <c r="M155" s="28"/>
    </row>
    <row r="156" spans="1:15" ht="14.25">
      <c r="A156" s="25"/>
      <c r="B156" s="25" t="s">
        <v>15</v>
      </c>
      <c r="C156" s="25"/>
      <c r="D156" s="27">
        <f t="shared" ref="D156:G156" si="87">D155-D154</f>
        <v>-250</v>
      </c>
      <c r="E156" s="27">
        <f t="shared" si="87"/>
        <v>18</v>
      </c>
      <c r="F156" s="27"/>
      <c r="G156" s="27">
        <f t="shared" si="87"/>
        <v>-232</v>
      </c>
      <c r="H156" s="25"/>
      <c r="I156" s="27"/>
      <c r="J156" s="27"/>
      <c r="K156" s="27"/>
      <c r="L156" s="27">
        <f t="shared" ref="L156" si="88">L155-L154</f>
        <v>-37</v>
      </c>
      <c r="M156" s="24"/>
    </row>
    <row r="157" spans="1:15">
      <c r="A157" s="24"/>
      <c r="B157" s="28" t="s">
        <v>17</v>
      </c>
      <c r="C157" s="28"/>
      <c r="D157" s="187">
        <f>D154/D155</f>
        <v>2.6447368421052633</v>
      </c>
      <c r="E157" s="187">
        <f>E154/E155</f>
        <v>0.89473684210526316</v>
      </c>
      <c r="F157" s="187"/>
      <c r="G157" s="187">
        <f>G154/G155</f>
        <v>1.7182662538699691</v>
      </c>
      <c r="H157" s="187"/>
      <c r="I157" s="187"/>
      <c r="J157" s="187"/>
      <c r="K157" s="187"/>
      <c r="L157" s="187">
        <f t="shared" ref="L157" si="89">L154/L155</f>
        <v>1.0575427682737168</v>
      </c>
      <c r="M157" s="28"/>
    </row>
    <row r="159" spans="1:15" ht="25.5">
      <c r="A159" s="22" t="s">
        <v>0</v>
      </c>
      <c r="B159" s="22" t="s">
        <v>1</v>
      </c>
      <c r="C159" s="22" t="s">
        <v>33</v>
      </c>
      <c r="D159" s="23" t="s">
        <v>34</v>
      </c>
      <c r="E159" s="23" t="s">
        <v>35</v>
      </c>
      <c r="F159" s="23"/>
      <c r="G159" s="23" t="s">
        <v>45</v>
      </c>
      <c r="H159" s="23" t="s">
        <v>37</v>
      </c>
      <c r="I159" s="23" t="s">
        <v>38</v>
      </c>
      <c r="J159" s="23" t="s">
        <v>39</v>
      </c>
      <c r="K159" s="23" t="s">
        <v>46</v>
      </c>
      <c r="L159" s="23" t="s">
        <v>40</v>
      </c>
      <c r="M159" s="248" t="s">
        <v>47</v>
      </c>
    </row>
    <row r="160" spans="1:15">
      <c r="A160" s="25">
        <v>11</v>
      </c>
      <c r="B160" s="25" t="s">
        <v>11</v>
      </c>
      <c r="C160" s="25" t="s">
        <v>43</v>
      </c>
      <c r="D160" s="246"/>
      <c r="E160" s="246"/>
      <c r="F160" s="246"/>
      <c r="G160" s="246">
        <f>SUM(D160:E160)</f>
        <v>0</v>
      </c>
      <c r="H160" s="246"/>
      <c r="I160" s="246"/>
      <c r="J160" s="246"/>
      <c r="K160" s="246"/>
      <c r="L160" s="246">
        <f>SUM(D160:E160,H160:K160)</f>
        <v>0</v>
      </c>
      <c r="M160" s="247"/>
    </row>
    <row r="161" spans="1:13">
      <c r="A161" s="26">
        <v>11</v>
      </c>
      <c r="B161" s="26" t="s">
        <v>13</v>
      </c>
      <c r="C161" s="26" t="s">
        <v>43</v>
      </c>
      <c r="D161" s="539">
        <v>513</v>
      </c>
      <c r="E161" s="539">
        <v>628</v>
      </c>
      <c r="F161" s="539"/>
      <c r="G161" s="539">
        <v>1141</v>
      </c>
      <c r="H161" s="539"/>
      <c r="I161" s="539"/>
      <c r="J161" s="539"/>
      <c r="K161" s="539">
        <f>57/0.05</f>
        <v>1140</v>
      </c>
      <c r="L161" s="539">
        <f>G161+K161</f>
        <v>2281</v>
      </c>
      <c r="M161" s="28"/>
    </row>
    <row r="162" spans="1:13" ht="14.25">
      <c r="A162" s="25"/>
      <c r="B162" s="25" t="s">
        <v>15</v>
      </c>
      <c r="C162" s="25"/>
      <c r="D162" s="27">
        <f t="shared" ref="D162" si="90">D161-D160</f>
        <v>513</v>
      </c>
      <c r="E162" s="27">
        <f t="shared" ref="E162" si="91">E161-E160</f>
        <v>628</v>
      </c>
      <c r="F162" s="27"/>
      <c r="G162" s="27">
        <f t="shared" ref="G162" si="92">G161-G160</f>
        <v>1141</v>
      </c>
      <c r="H162" s="25"/>
      <c r="I162" s="27"/>
      <c r="J162" s="27"/>
      <c r="K162" s="27"/>
      <c r="L162" s="27">
        <f t="shared" ref="L162" si="93">L161-L160</f>
        <v>2281</v>
      </c>
      <c r="M162" s="24"/>
    </row>
    <row r="163" spans="1:13">
      <c r="A163" s="24"/>
      <c r="B163" s="28" t="s">
        <v>17</v>
      </c>
      <c r="C163" s="28"/>
      <c r="D163" s="187">
        <f>D160/D161</f>
        <v>0</v>
      </c>
      <c r="E163" s="187">
        <f>E160/E161</f>
        <v>0</v>
      </c>
      <c r="F163" s="187"/>
      <c r="G163" s="187">
        <f>G160/G161</f>
        <v>0</v>
      </c>
      <c r="H163" s="187"/>
      <c r="I163" s="187"/>
      <c r="J163" s="187"/>
      <c r="K163" s="187"/>
      <c r="L163" s="187">
        <f t="shared" ref="L163" si="94">L160/L161</f>
        <v>0</v>
      </c>
      <c r="M163" s="28"/>
    </row>
    <row r="165" spans="1:13" ht="25.5">
      <c r="A165" s="22" t="s">
        <v>0</v>
      </c>
      <c r="B165" s="22" t="s">
        <v>1</v>
      </c>
      <c r="C165" s="22" t="s">
        <v>33</v>
      </c>
      <c r="D165" s="23" t="s">
        <v>34</v>
      </c>
      <c r="E165" s="23" t="s">
        <v>35</v>
      </c>
      <c r="F165" s="23"/>
      <c r="G165" s="23" t="s">
        <v>45</v>
      </c>
      <c r="H165" s="23" t="s">
        <v>37</v>
      </c>
      <c r="I165" s="23" t="s">
        <v>38</v>
      </c>
      <c r="J165" s="23" t="s">
        <v>39</v>
      </c>
      <c r="K165" s="23" t="s">
        <v>46</v>
      </c>
      <c r="L165" s="23" t="s">
        <v>40</v>
      </c>
      <c r="M165" s="248" t="s">
        <v>47</v>
      </c>
    </row>
    <row r="166" spans="1:13">
      <c r="A166" s="25">
        <v>11</v>
      </c>
      <c r="B166" s="25" t="s">
        <v>11</v>
      </c>
      <c r="C166" s="25" t="s">
        <v>53</v>
      </c>
      <c r="D166" s="246">
        <f>SUM('EstArea 11 2023'!M27:M44)</f>
        <v>3978</v>
      </c>
      <c r="E166" s="246">
        <f>SUM('EstArea 11 2023'!N27:N44)</f>
        <v>1518</v>
      </c>
      <c r="F166" s="246"/>
      <c r="G166" s="246">
        <f>SUM(D166:E166)</f>
        <v>5496</v>
      </c>
      <c r="H166" s="246">
        <f>SUM('EstArea 11 2023'!O27:O44)</f>
        <v>323</v>
      </c>
      <c r="I166" s="246">
        <f>SUM('EstArea 11 2023'!P27:P44)</f>
        <v>99</v>
      </c>
      <c r="J166" s="246">
        <f>SUM('EstArea 11 2023'!Q27:Q44)</f>
        <v>731</v>
      </c>
      <c r="K166" s="246"/>
      <c r="L166" s="246">
        <f>SUM(D166:E166,H166:K166)</f>
        <v>6649</v>
      </c>
      <c r="M166" s="247"/>
    </row>
    <row r="167" spans="1:13">
      <c r="A167" s="26">
        <v>11</v>
      </c>
      <c r="B167" s="26" t="s">
        <v>13</v>
      </c>
      <c r="C167" s="26" t="s">
        <v>53</v>
      </c>
      <c r="D167" s="539">
        <v>1181</v>
      </c>
      <c r="E167" s="539">
        <v>919</v>
      </c>
      <c r="F167" s="539"/>
      <c r="G167" s="539">
        <v>2100</v>
      </c>
      <c r="H167" s="539"/>
      <c r="I167" s="539"/>
      <c r="J167" s="539"/>
      <c r="K167" s="539">
        <f>105/0.05</f>
        <v>2100</v>
      </c>
      <c r="L167" s="539">
        <f>G167+K167</f>
        <v>4200</v>
      </c>
      <c r="M167" s="28"/>
    </row>
    <row r="168" spans="1:13" ht="14.25">
      <c r="A168" s="25"/>
      <c r="B168" s="25" t="s">
        <v>15</v>
      </c>
      <c r="C168" s="25"/>
      <c r="D168" s="27">
        <f t="shared" ref="D168:E168" si="95">D167-D166</f>
        <v>-2797</v>
      </c>
      <c r="E168" s="27">
        <f t="shared" si="95"/>
        <v>-599</v>
      </c>
      <c r="F168" s="27"/>
      <c r="G168" s="27">
        <f t="shared" ref="G168" si="96">G167-G166</f>
        <v>-3396</v>
      </c>
      <c r="H168" s="25"/>
      <c r="I168" s="27"/>
      <c r="J168" s="27"/>
      <c r="K168" s="27"/>
      <c r="L168" s="27">
        <f t="shared" ref="L168" si="97">L167-L166</f>
        <v>-2449</v>
      </c>
      <c r="M168" s="24"/>
    </row>
    <row r="169" spans="1:13">
      <c r="A169" s="24"/>
      <c r="B169" s="28" t="s">
        <v>17</v>
      </c>
      <c r="C169" s="28"/>
      <c r="D169" s="187">
        <f>D166/D167</f>
        <v>3.3683319220999155</v>
      </c>
      <c r="E169" s="187">
        <f>E166/E167</f>
        <v>1.6517954298150164</v>
      </c>
      <c r="F169" s="187"/>
      <c r="G169" s="187">
        <f>G166/G167</f>
        <v>2.617142857142857</v>
      </c>
      <c r="H169" s="187"/>
      <c r="I169" s="187"/>
      <c r="J169" s="187"/>
      <c r="K169" s="187"/>
      <c r="L169" s="187">
        <f t="shared" ref="L169" si="98">L166/L167</f>
        <v>1.5830952380952381</v>
      </c>
      <c r="M169" s="28"/>
    </row>
    <row r="171" spans="1:13" ht="25.5">
      <c r="A171" s="22" t="s">
        <v>0</v>
      </c>
      <c r="B171" s="22" t="s">
        <v>1</v>
      </c>
      <c r="C171" s="22" t="s">
        <v>33</v>
      </c>
      <c r="D171" s="23" t="s">
        <v>34</v>
      </c>
      <c r="E171" s="23" t="s">
        <v>35</v>
      </c>
      <c r="F171" s="23"/>
      <c r="G171" s="23" t="s">
        <v>45</v>
      </c>
      <c r="H171" s="23" t="s">
        <v>37</v>
      </c>
      <c r="I171" s="23" t="s">
        <v>38</v>
      </c>
      <c r="J171" s="23" t="s">
        <v>39</v>
      </c>
      <c r="K171" s="23" t="s">
        <v>46</v>
      </c>
      <c r="L171" s="23" t="s">
        <v>40</v>
      </c>
      <c r="M171" s="248" t="s">
        <v>47</v>
      </c>
    </row>
    <row r="172" spans="1:13">
      <c r="A172" s="25">
        <v>11</v>
      </c>
      <c r="B172" s="25" t="s">
        <v>11</v>
      </c>
      <c r="C172" s="25" t="s">
        <v>48</v>
      </c>
      <c r="D172" s="530">
        <f>SUM('EstArea 11 2023'!M45:M62)</f>
        <v>293</v>
      </c>
      <c r="E172" s="530">
        <f>SUM('EstArea 11 2023'!N45:N62)</f>
        <v>348</v>
      </c>
      <c r="F172" s="530"/>
      <c r="G172" s="530">
        <f>SUM(D172:E172)</f>
        <v>641</v>
      </c>
      <c r="H172" s="530">
        <f>SUM('EstArea 11 2023'!O45:O62)</f>
        <v>108</v>
      </c>
      <c r="I172" s="530">
        <f>SUM('EstArea 11 2023'!P45:P62)</f>
        <v>49</v>
      </c>
      <c r="J172" s="530">
        <f>SUM('EstArea 11 2023'!Q45:Q62)</f>
        <v>419</v>
      </c>
      <c r="K172" s="530"/>
      <c r="L172" s="530">
        <f>SUM(D172:E172,H172:K172)</f>
        <v>1217</v>
      </c>
      <c r="M172" s="247"/>
    </row>
    <row r="173" spans="1:13">
      <c r="A173" s="26">
        <v>11</v>
      </c>
      <c r="B173" s="26" t="s">
        <v>13</v>
      </c>
      <c r="C173" s="26" t="s">
        <v>48</v>
      </c>
      <c r="D173" s="539">
        <v>113</v>
      </c>
      <c r="E173" s="539">
        <v>99</v>
      </c>
      <c r="F173" s="539"/>
      <c r="G173" s="539">
        <v>212</v>
      </c>
      <c r="H173" s="539"/>
      <c r="I173" s="539"/>
      <c r="J173" s="539"/>
      <c r="K173" s="539">
        <f>11/0.05</f>
        <v>220</v>
      </c>
      <c r="L173" s="539">
        <f>G173+K173</f>
        <v>432</v>
      </c>
      <c r="M173" s="28"/>
    </row>
    <row r="174" spans="1:13" ht="14.25">
      <c r="A174" s="25"/>
      <c r="B174" s="25" t="s">
        <v>15</v>
      </c>
      <c r="C174" s="25"/>
      <c r="D174" s="27">
        <f t="shared" ref="D174:G174" si="99">D173-D172</f>
        <v>-180</v>
      </c>
      <c r="E174" s="27">
        <f t="shared" si="99"/>
        <v>-249</v>
      </c>
      <c r="F174" s="27"/>
      <c r="G174" s="27">
        <f t="shared" si="99"/>
        <v>-429</v>
      </c>
      <c r="H174" s="25"/>
      <c r="I174" s="27"/>
      <c r="J174" s="27"/>
      <c r="K174" s="27"/>
      <c r="L174" s="27">
        <f t="shared" ref="L174" si="100">L173-L172</f>
        <v>-785</v>
      </c>
      <c r="M174" s="24"/>
    </row>
    <row r="175" spans="1:13">
      <c r="A175" s="533"/>
      <c r="B175" s="534" t="s">
        <v>17</v>
      </c>
      <c r="C175" s="534"/>
      <c r="D175" s="535">
        <f>D172/D173</f>
        <v>2.5929203539823007</v>
      </c>
      <c r="E175" s="535">
        <f>E172/E173</f>
        <v>3.5151515151515151</v>
      </c>
      <c r="F175" s="535"/>
      <c r="G175" s="535">
        <f>G172/G173</f>
        <v>3.0235849056603774</v>
      </c>
      <c r="H175" s="535"/>
      <c r="I175" s="535"/>
      <c r="J175" s="535"/>
      <c r="K175" s="535"/>
      <c r="L175" s="535">
        <f t="shared" ref="L175" si="101">L172/L173</f>
        <v>2.8171296296296298</v>
      </c>
      <c r="M175" s="534"/>
    </row>
  </sheetData>
  <pageMargins left="0.7" right="0.7" top="0.75" bottom="0.75" header="0.3" footer="0.3"/>
  <pageSetup scale="53" orientation="portrait" r:id="rId1"/>
  <rowBreaks count="3" manualBreakCount="3">
    <brk id="44" max="13" man="1"/>
    <brk id="90" max="13" man="1"/>
    <brk id="126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9"/>
  <sheetViews>
    <sheetView topLeftCell="A62" zoomScale="86" zoomScaleNormal="100" workbookViewId="0">
      <selection activeCell="A86" sqref="A86:A101"/>
    </sheetView>
  </sheetViews>
  <sheetFormatPr defaultColWidth="8.83203125" defaultRowHeight="12.75"/>
  <cols>
    <col min="1" max="1" width="13.33203125" style="33" customWidth="1"/>
    <col min="2" max="2" width="16.5" style="33" customWidth="1"/>
    <col min="3" max="3" width="12.83203125" style="33" customWidth="1"/>
    <col min="4" max="4" width="13.1640625" style="33" customWidth="1"/>
    <col min="5" max="5" width="18.6640625" style="33" customWidth="1"/>
    <col min="6" max="6" width="17.33203125" style="33" customWidth="1"/>
    <col min="7" max="7" width="16.33203125" style="33" customWidth="1"/>
    <col min="8" max="8" width="11.5" style="33" customWidth="1"/>
    <col min="9" max="9" width="16.1640625" style="33" customWidth="1"/>
    <col min="10" max="10" width="16" style="33" customWidth="1"/>
    <col min="11" max="11" width="17.33203125" style="33" customWidth="1"/>
    <col min="12" max="12" width="16" style="33" customWidth="1"/>
    <col min="13" max="13" width="16.83203125" style="33" bestFit="1" customWidth="1"/>
    <col min="14" max="14" width="16.1640625" style="33" bestFit="1" customWidth="1"/>
    <col min="15" max="15" width="15.5" style="33" bestFit="1" customWidth="1"/>
    <col min="16" max="16" width="14.1640625" style="33" customWidth="1"/>
    <col min="17" max="17" width="17.5" style="33" customWidth="1"/>
    <col min="18" max="18" width="23.1640625" style="217" customWidth="1"/>
    <col min="19" max="20" width="14.1640625" style="33" customWidth="1"/>
    <col min="21" max="21" width="18.33203125" style="33" bestFit="1" customWidth="1"/>
    <col min="22" max="22" width="14.1640625" style="33" customWidth="1"/>
    <col min="23" max="23" width="12.83203125" style="33" customWidth="1"/>
    <col min="24" max="27" width="14.1640625" style="33" customWidth="1"/>
    <col min="28" max="28" width="14.1640625" style="33" bestFit="1" customWidth="1"/>
    <col min="29" max="29" width="13.1640625" style="33" bestFit="1" customWidth="1"/>
    <col min="30" max="16384" width="8.83203125" style="33"/>
  </cols>
  <sheetData>
    <row r="1" spans="1:18" ht="15" customHeight="1">
      <c r="A1" s="902" t="s">
        <v>54</v>
      </c>
      <c r="B1" s="902"/>
      <c r="C1" s="902"/>
      <c r="D1" s="902"/>
      <c r="E1" s="902"/>
      <c r="F1" s="902"/>
      <c r="G1" s="902"/>
      <c r="H1" s="902"/>
      <c r="I1" s="902"/>
      <c r="J1" s="902"/>
      <c r="K1" s="902"/>
      <c r="L1" s="522"/>
      <c r="M1" s="522"/>
      <c r="N1" s="522"/>
      <c r="O1" s="522"/>
      <c r="P1" s="522"/>
      <c r="Q1" s="522"/>
    </row>
    <row r="2" spans="1:18" ht="15.75">
      <c r="A2" s="902" t="s">
        <v>55</v>
      </c>
      <c r="B2" s="902"/>
      <c r="C2" s="902"/>
      <c r="D2" s="902"/>
      <c r="E2" s="902"/>
      <c r="F2" s="902"/>
      <c r="G2" s="902"/>
      <c r="H2" s="902"/>
      <c r="I2" s="902"/>
      <c r="J2" s="902"/>
      <c r="K2" s="902"/>
      <c r="L2" s="522"/>
      <c r="M2" s="522"/>
      <c r="N2" s="522"/>
      <c r="O2" s="522"/>
      <c r="P2" s="522"/>
      <c r="Q2" s="522"/>
    </row>
    <row r="3" spans="1:18" ht="12.6" customHeight="1">
      <c r="A3" s="874"/>
      <c r="B3" s="874"/>
      <c r="C3" s="874"/>
      <c r="D3" s="874"/>
      <c r="E3" s="874"/>
      <c r="F3" s="874"/>
      <c r="G3" s="874"/>
      <c r="H3" s="874"/>
      <c r="I3" s="874"/>
      <c r="J3" s="874"/>
    </row>
    <row r="4" spans="1:18" ht="19.149999999999999" customHeight="1" thickBot="1">
      <c r="A4" s="42"/>
      <c r="B4" s="43"/>
      <c r="C4" s="43"/>
      <c r="D4" s="43"/>
      <c r="E4" s="43"/>
      <c r="F4" s="43"/>
      <c r="G4" s="903" t="s">
        <v>56</v>
      </c>
      <c r="H4" s="904"/>
      <c r="I4" s="904"/>
      <c r="J4" s="904"/>
      <c r="K4" s="905"/>
      <c r="R4" s="33"/>
    </row>
    <row r="5" spans="1:18" ht="19.149999999999999" customHeight="1">
      <c r="A5" s="906" t="s">
        <v>57</v>
      </c>
      <c r="B5" s="906" t="s">
        <v>58</v>
      </c>
      <c r="C5" s="906" t="s">
        <v>59</v>
      </c>
      <c r="D5" s="908" t="s">
        <v>60</v>
      </c>
      <c r="E5" s="910" t="s">
        <v>61</v>
      </c>
      <c r="F5" s="911"/>
      <c r="G5" s="910" t="s">
        <v>62</v>
      </c>
      <c r="H5" s="911"/>
      <c r="I5" s="910" t="s">
        <v>63</v>
      </c>
      <c r="J5" s="911"/>
      <c r="K5" s="912" t="s">
        <v>64</v>
      </c>
      <c r="R5" s="33"/>
    </row>
    <row r="6" spans="1:18" ht="18.75" customHeight="1" thickBot="1">
      <c r="A6" s="907"/>
      <c r="B6" s="907"/>
      <c r="C6" s="907"/>
      <c r="D6" s="909"/>
      <c r="E6" s="44" t="s">
        <v>65</v>
      </c>
      <c r="F6" s="45" t="s">
        <v>66</v>
      </c>
      <c r="G6" s="44" t="s">
        <v>67</v>
      </c>
      <c r="H6" s="45" t="s">
        <v>68</v>
      </c>
      <c r="I6" s="46" t="s">
        <v>67</v>
      </c>
      <c r="J6" s="47" t="s">
        <v>68</v>
      </c>
      <c r="K6" s="913"/>
      <c r="M6" s="49"/>
      <c r="N6" s="48"/>
      <c r="O6" s="48"/>
      <c r="R6" s="33"/>
    </row>
    <row r="7" spans="1:18" ht="15">
      <c r="A7" s="925" t="s">
        <v>69</v>
      </c>
      <c r="B7" s="922">
        <v>27</v>
      </c>
      <c r="C7" s="377">
        <v>45108</v>
      </c>
      <c r="D7" s="378">
        <v>45108</v>
      </c>
      <c r="E7" s="618">
        <v>199</v>
      </c>
      <c r="F7" s="600">
        <v>498</v>
      </c>
      <c r="G7" s="96">
        <v>218</v>
      </c>
      <c r="H7" s="76">
        <v>4</v>
      </c>
      <c r="I7" s="80">
        <v>752</v>
      </c>
      <c r="J7" s="600">
        <v>401</v>
      </c>
      <c r="K7" s="138">
        <v>1375</v>
      </c>
      <c r="M7" s="49"/>
      <c r="N7" s="48"/>
      <c r="O7" s="48"/>
      <c r="R7" s="33"/>
    </row>
    <row r="8" spans="1:18" ht="15">
      <c r="A8" s="926"/>
      <c r="B8" s="920"/>
      <c r="C8" s="379">
        <v>45109</v>
      </c>
      <c r="D8" s="380">
        <v>45109</v>
      </c>
      <c r="E8" s="619">
        <v>241</v>
      </c>
      <c r="F8" s="597">
        <v>617</v>
      </c>
      <c r="G8" s="133">
        <v>250</v>
      </c>
      <c r="H8" s="79">
        <v>3</v>
      </c>
      <c r="I8" s="78">
        <v>862</v>
      </c>
      <c r="J8" s="597">
        <v>462</v>
      </c>
      <c r="K8" s="95">
        <v>1576</v>
      </c>
      <c r="M8" s="49"/>
      <c r="N8" s="48"/>
      <c r="O8" s="48"/>
      <c r="R8" s="33"/>
    </row>
    <row r="9" spans="1:18" ht="15">
      <c r="A9" s="926"/>
      <c r="B9" s="918">
        <v>28</v>
      </c>
      <c r="C9" s="379">
        <v>45110</v>
      </c>
      <c r="D9" s="380">
        <v>45113</v>
      </c>
      <c r="E9" s="619">
        <v>697</v>
      </c>
      <c r="F9" s="597">
        <v>1497</v>
      </c>
      <c r="G9" s="133">
        <v>242</v>
      </c>
      <c r="H9" s="79">
        <v>13</v>
      </c>
      <c r="I9" s="78">
        <v>835</v>
      </c>
      <c r="J9" s="597">
        <v>436</v>
      </c>
      <c r="K9" s="95">
        <v>1527</v>
      </c>
      <c r="M9" s="49"/>
      <c r="N9" s="48"/>
      <c r="O9" s="48"/>
      <c r="R9" s="33"/>
    </row>
    <row r="10" spans="1:18" ht="15">
      <c r="A10" s="926"/>
      <c r="B10" s="919"/>
      <c r="C10" s="379">
        <v>45114</v>
      </c>
      <c r="D10" s="380">
        <v>45114</v>
      </c>
      <c r="E10" s="619">
        <v>221</v>
      </c>
      <c r="F10" s="597">
        <v>466</v>
      </c>
      <c r="G10" s="133">
        <v>114</v>
      </c>
      <c r="H10" s="79">
        <v>0</v>
      </c>
      <c r="I10" s="78">
        <v>392</v>
      </c>
      <c r="J10" s="597">
        <v>211</v>
      </c>
      <c r="K10" s="95">
        <v>716</v>
      </c>
      <c r="R10" s="33"/>
    </row>
    <row r="11" spans="1:18" ht="15">
      <c r="A11" s="926"/>
      <c r="B11" s="919"/>
      <c r="C11" s="379">
        <v>45115</v>
      </c>
      <c r="D11" s="380">
        <v>45115</v>
      </c>
      <c r="E11" s="421">
        <v>144</v>
      </c>
      <c r="F11" s="613">
        <v>361</v>
      </c>
      <c r="G11" s="421">
        <v>93</v>
      </c>
      <c r="H11" s="77">
        <v>0</v>
      </c>
      <c r="I11" s="114">
        <v>321</v>
      </c>
      <c r="J11" s="77">
        <v>173</v>
      </c>
      <c r="K11" s="95">
        <v>586</v>
      </c>
      <c r="R11" s="33"/>
    </row>
    <row r="12" spans="1:18" ht="15">
      <c r="A12" s="926"/>
      <c r="B12" s="920"/>
      <c r="C12" s="379">
        <v>45116</v>
      </c>
      <c r="D12" s="380">
        <v>45116</v>
      </c>
      <c r="E12" s="421">
        <v>49</v>
      </c>
      <c r="F12" s="613">
        <v>130</v>
      </c>
      <c r="G12" s="421">
        <v>32</v>
      </c>
      <c r="H12" s="77">
        <v>0</v>
      </c>
      <c r="I12" s="114">
        <v>110</v>
      </c>
      <c r="J12" s="77">
        <v>59</v>
      </c>
      <c r="K12" s="95">
        <v>202</v>
      </c>
      <c r="R12" s="33"/>
    </row>
    <row r="13" spans="1:18" ht="15">
      <c r="A13" s="926"/>
      <c r="B13" s="919">
        <v>29</v>
      </c>
      <c r="C13" s="379">
        <v>45117</v>
      </c>
      <c r="D13" s="380">
        <v>45120</v>
      </c>
      <c r="E13" s="421">
        <v>598</v>
      </c>
      <c r="F13" s="613">
        <v>1280</v>
      </c>
      <c r="G13" s="421">
        <v>293</v>
      </c>
      <c r="H13" s="77">
        <v>18</v>
      </c>
      <c r="I13" s="114">
        <v>1011</v>
      </c>
      <c r="J13" s="77">
        <v>526</v>
      </c>
      <c r="K13" s="95">
        <v>1849</v>
      </c>
      <c r="R13" s="33"/>
    </row>
    <row r="14" spans="1:18" ht="15">
      <c r="A14" s="926"/>
      <c r="B14" s="919"/>
      <c r="C14" s="379">
        <v>45121</v>
      </c>
      <c r="D14" s="380">
        <v>45121</v>
      </c>
      <c r="E14" s="421">
        <v>103</v>
      </c>
      <c r="F14" s="613">
        <v>231</v>
      </c>
      <c r="G14" s="421">
        <v>58</v>
      </c>
      <c r="H14" s="77">
        <v>0</v>
      </c>
      <c r="I14" s="114">
        <v>201</v>
      </c>
      <c r="J14" s="77">
        <v>108</v>
      </c>
      <c r="K14" s="95">
        <v>368</v>
      </c>
      <c r="R14" s="33"/>
    </row>
    <row r="15" spans="1:18" ht="15">
      <c r="A15" s="926"/>
      <c r="B15" s="919"/>
      <c r="C15" s="379">
        <v>45122</v>
      </c>
      <c r="D15" s="380">
        <v>45122</v>
      </c>
      <c r="E15" s="421">
        <v>128</v>
      </c>
      <c r="F15" s="613">
        <v>292</v>
      </c>
      <c r="G15" s="421">
        <v>60</v>
      </c>
      <c r="H15" s="77">
        <v>0</v>
      </c>
      <c r="I15" s="114">
        <v>206</v>
      </c>
      <c r="J15" s="77">
        <v>111</v>
      </c>
      <c r="K15" s="95">
        <v>377</v>
      </c>
      <c r="R15" s="33"/>
    </row>
    <row r="16" spans="1:18" ht="15">
      <c r="A16" s="926"/>
      <c r="B16" s="920"/>
      <c r="C16" s="379">
        <v>45123</v>
      </c>
      <c r="D16" s="380">
        <v>45123</v>
      </c>
      <c r="E16" s="421">
        <v>135</v>
      </c>
      <c r="F16" s="613">
        <v>318</v>
      </c>
      <c r="G16" s="421">
        <v>95</v>
      </c>
      <c r="H16" s="77">
        <v>0</v>
      </c>
      <c r="I16" s="114">
        <v>328</v>
      </c>
      <c r="J16" s="77">
        <v>176</v>
      </c>
      <c r="K16" s="95">
        <v>599</v>
      </c>
      <c r="R16" s="33"/>
    </row>
    <row r="17" spans="1:18" ht="15">
      <c r="A17" s="926"/>
      <c r="B17" s="918">
        <v>30</v>
      </c>
      <c r="C17" s="379">
        <v>45124</v>
      </c>
      <c r="D17" s="380">
        <v>45127</v>
      </c>
      <c r="E17" s="421">
        <v>425</v>
      </c>
      <c r="F17" s="613">
        <v>893</v>
      </c>
      <c r="G17" s="421">
        <v>190</v>
      </c>
      <c r="H17" s="77">
        <v>0</v>
      </c>
      <c r="I17" s="114">
        <v>654</v>
      </c>
      <c r="J17" s="77">
        <v>352</v>
      </c>
      <c r="K17" s="95">
        <v>1196</v>
      </c>
      <c r="R17" s="33"/>
    </row>
    <row r="18" spans="1:18" ht="15">
      <c r="A18" s="926"/>
      <c r="B18" s="919"/>
      <c r="C18" s="379">
        <v>45128</v>
      </c>
      <c r="D18" s="380">
        <v>45128</v>
      </c>
      <c r="E18" s="421">
        <v>64</v>
      </c>
      <c r="F18" s="613">
        <v>161</v>
      </c>
      <c r="G18" s="421">
        <v>36</v>
      </c>
      <c r="H18" s="77">
        <v>0</v>
      </c>
      <c r="I18" s="114">
        <v>124</v>
      </c>
      <c r="J18" s="77">
        <v>67</v>
      </c>
      <c r="K18" s="95">
        <v>226</v>
      </c>
      <c r="R18" s="33"/>
    </row>
    <row r="19" spans="1:18" ht="15">
      <c r="A19" s="926"/>
      <c r="B19" s="919"/>
      <c r="C19" s="379">
        <v>45129</v>
      </c>
      <c r="D19" s="380">
        <v>45129</v>
      </c>
      <c r="E19" s="421">
        <v>80</v>
      </c>
      <c r="F19" s="613">
        <v>199</v>
      </c>
      <c r="G19" s="421">
        <v>25</v>
      </c>
      <c r="H19" s="77">
        <v>0</v>
      </c>
      <c r="I19" s="114">
        <v>85</v>
      </c>
      <c r="J19" s="77">
        <v>46</v>
      </c>
      <c r="K19" s="95">
        <v>155</v>
      </c>
      <c r="R19" s="33"/>
    </row>
    <row r="20" spans="1:18" ht="15">
      <c r="A20" s="926"/>
      <c r="B20" s="920"/>
      <c r="C20" s="379">
        <v>45130</v>
      </c>
      <c r="D20" s="380">
        <v>45130</v>
      </c>
      <c r="E20" s="421">
        <v>57</v>
      </c>
      <c r="F20" s="613">
        <v>139</v>
      </c>
      <c r="G20" s="421">
        <v>24</v>
      </c>
      <c r="H20" s="77">
        <v>0</v>
      </c>
      <c r="I20" s="114">
        <v>83</v>
      </c>
      <c r="J20" s="77">
        <v>44</v>
      </c>
      <c r="K20" s="95">
        <v>151</v>
      </c>
      <c r="R20" s="33"/>
    </row>
    <row r="21" spans="1:18" ht="15">
      <c r="A21" s="926"/>
      <c r="B21" s="918">
        <v>31</v>
      </c>
      <c r="C21" s="379">
        <v>45131</v>
      </c>
      <c r="D21" s="380">
        <v>45134</v>
      </c>
      <c r="E21" s="421">
        <v>383</v>
      </c>
      <c r="F21" s="613">
        <v>879</v>
      </c>
      <c r="G21" s="421">
        <v>162</v>
      </c>
      <c r="H21" s="77">
        <v>0</v>
      </c>
      <c r="I21" s="114">
        <v>560</v>
      </c>
      <c r="J21" s="77">
        <v>301</v>
      </c>
      <c r="K21" s="95">
        <v>1024</v>
      </c>
      <c r="R21" s="33"/>
    </row>
    <row r="22" spans="1:18" ht="15">
      <c r="A22" s="926"/>
      <c r="B22" s="919"/>
      <c r="C22" s="379">
        <v>45135</v>
      </c>
      <c r="D22" s="380">
        <v>45135</v>
      </c>
      <c r="E22" s="421">
        <v>105</v>
      </c>
      <c r="F22" s="613">
        <v>240</v>
      </c>
      <c r="G22" s="421">
        <v>41</v>
      </c>
      <c r="H22" s="77">
        <v>4</v>
      </c>
      <c r="I22" s="114">
        <v>142</v>
      </c>
      <c r="J22" s="77">
        <v>73</v>
      </c>
      <c r="K22" s="95">
        <v>260</v>
      </c>
      <c r="R22" s="33"/>
    </row>
    <row r="23" spans="1:18" ht="15">
      <c r="A23" s="926"/>
      <c r="B23" s="919"/>
      <c r="C23" s="379">
        <v>45136</v>
      </c>
      <c r="D23" s="380">
        <v>45136</v>
      </c>
      <c r="E23" s="421">
        <v>174</v>
      </c>
      <c r="F23" s="613">
        <v>434</v>
      </c>
      <c r="G23" s="421">
        <v>164</v>
      </c>
      <c r="H23" s="77">
        <v>0</v>
      </c>
      <c r="I23" s="114">
        <v>567</v>
      </c>
      <c r="J23" s="77">
        <v>305</v>
      </c>
      <c r="K23" s="95">
        <v>1037</v>
      </c>
      <c r="R23" s="33"/>
    </row>
    <row r="24" spans="1:18" ht="15.75" thickBot="1">
      <c r="A24" s="927"/>
      <c r="B24" s="921"/>
      <c r="C24" s="383">
        <v>45137</v>
      </c>
      <c r="D24" s="384">
        <v>45137</v>
      </c>
      <c r="E24" s="73">
        <v>153</v>
      </c>
      <c r="F24" s="615">
        <v>370</v>
      </c>
      <c r="G24" s="73">
        <v>150</v>
      </c>
      <c r="H24" s="658">
        <v>4</v>
      </c>
      <c r="I24" s="644">
        <v>516</v>
      </c>
      <c r="J24" s="658">
        <v>274</v>
      </c>
      <c r="K24" s="523">
        <v>943</v>
      </c>
      <c r="R24" s="33"/>
    </row>
    <row r="25" spans="1:18" ht="15">
      <c r="A25" s="925" t="s">
        <v>70</v>
      </c>
      <c r="B25" s="922">
        <v>32</v>
      </c>
      <c r="C25" s="377">
        <v>45138</v>
      </c>
      <c r="D25" s="378">
        <v>45141</v>
      </c>
      <c r="E25" s="410">
        <v>331</v>
      </c>
      <c r="F25" s="600">
        <v>952</v>
      </c>
      <c r="G25" s="410">
        <v>283</v>
      </c>
      <c r="H25" s="76">
        <v>5</v>
      </c>
      <c r="I25" s="80">
        <v>977</v>
      </c>
      <c r="J25" s="76">
        <v>521</v>
      </c>
      <c r="K25" s="706">
        <v>1787</v>
      </c>
      <c r="R25" s="33"/>
    </row>
    <row r="26" spans="1:18" ht="15">
      <c r="A26" s="926"/>
      <c r="B26" s="919"/>
      <c r="C26" s="667">
        <v>45142</v>
      </c>
      <c r="D26" s="668">
        <v>45142</v>
      </c>
      <c r="E26" s="421">
        <v>83</v>
      </c>
      <c r="F26" s="613">
        <v>198</v>
      </c>
      <c r="G26" s="421">
        <v>43</v>
      </c>
      <c r="H26" s="77">
        <v>0</v>
      </c>
      <c r="I26" s="114">
        <v>150</v>
      </c>
      <c r="J26" s="77">
        <v>81</v>
      </c>
      <c r="K26" s="95">
        <v>274</v>
      </c>
      <c r="R26" s="33"/>
    </row>
    <row r="27" spans="1:18" ht="15">
      <c r="A27" s="926"/>
      <c r="B27" s="919"/>
      <c r="C27" s="667">
        <v>45143</v>
      </c>
      <c r="D27" s="668">
        <v>45143</v>
      </c>
      <c r="E27" s="421">
        <v>158</v>
      </c>
      <c r="F27" s="613">
        <v>448</v>
      </c>
      <c r="G27" s="421">
        <v>69</v>
      </c>
      <c r="H27" s="77">
        <v>0</v>
      </c>
      <c r="I27" s="114">
        <v>237</v>
      </c>
      <c r="J27" s="77">
        <v>127</v>
      </c>
      <c r="K27" s="95">
        <v>433</v>
      </c>
      <c r="R27" s="33"/>
    </row>
    <row r="28" spans="1:18" ht="15">
      <c r="A28" s="926"/>
      <c r="B28" s="920"/>
      <c r="C28" s="667">
        <v>45144</v>
      </c>
      <c r="D28" s="668">
        <v>45144</v>
      </c>
      <c r="E28" s="612">
        <v>141</v>
      </c>
      <c r="F28" s="613">
        <v>335</v>
      </c>
      <c r="G28" s="612">
        <v>69</v>
      </c>
      <c r="H28" s="613">
        <v>0</v>
      </c>
      <c r="I28" s="614">
        <v>238</v>
      </c>
      <c r="J28" s="613">
        <v>128</v>
      </c>
      <c r="K28" s="95">
        <v>435</v>
      </c>
      <c r="R28" s="33"/>
    </row>
    <row r="29" spans="1:18" ht="15">
      <c r="A29" s="926"/>
      <c r="B29" s="918">
        <v>33</v>
      </c>
      <c r="C29" s="667">
        <v>45145</v>
      </c>
      <c r="D29" s="668">
        <v>45148</v>
      </c>
      <c r="E29" s="612">
        <v>456</v>
      </c>
      <c r="F29" s="613">
        <v>935</v>
      </c>
      <c r="G29" s="612">
        <v>237</v>
      </c>
      <c r="H29" s="613">
        <v>0</v>
      </c>
      <c r="I29" s="614">
        <v>818</v>
      </c>
      <c r="J29" s="613">
        <v>440</v>
      </c>
      <c r="K29" s="95">
        <v>1495</v>
      </c>
      <c r="R29" s="33"/>
    </row>
    <row r="30" spans="1:18" ht="15">
      <c r="A30" s="926"/>
      <c r="B30" s="919"/>
      <c r="C30" s="667">
        <v>45149</v>
      </c>
      <c r="D30" s="668">
        <v>45149</v>
      </c>
      <c r="E30" s="612">
        <v>146</v>
      </c>
      <c r="F30" s="613">
        <v>331</v>
      </c>
      <c r="G30" s="612">
        <v>107</v>
      </c>
      <c r="H30" s="613">
        <v>0</v>
      </c>
      <c r="I30" s="614">
        <v>367</v>
      </c>
      <c r="J30" s="613">
        <v>198</v>
      </c>
      <c r="K30" s="95">
        <v>672</v>
      </c>
      <c r="R30" s="33"/>
    </row>
    <row r="31" spans="1:18" ht="15">
      <c r="A31" s="926"/>
      <c r="B31" s="919"/>
      <c r="C31" s="667">
        <v>45150</v>
      </c>
      <c r="D31" s="668">
        <v>45150</v>
      </c>
      <c r="E31" s="612">
        <v>229</v>
      </c>
      <c r="F31" s="613">
        <v>623</v>
      </c>
      <c r="G31" s="612">
        <v>136</v>
      </c>
      <c r="H31" s="613">
        <v>0</v>
      </c>
      <c r="I31" s="614">
        <v>469</v>
      </c>
      <c r="J31" s="613">
        <v>252</v>
      </c>
      <c r="K31" s="95">
        <v>857</v>
      </c>
      <c r="R31" s="33"/>
    </row>
    <row r="32" spans="1:18" ht="15">
      <c r="A32" s="926"/>
      <c r="B32" s="920"/>
      <c r="C32" s="381">
        <v>45151</v>
      </c>
      <c r="D32" s="382">
        <v>45151</v>
      </c>
      <c r="E32" s="612">
        <v>187</v>
      </c>
      <c r="F32" s="613">
        <v>445</v>
      </c>
      <c r="G32" s="612">
        <v>115</v>
      </c>
      <c r="H32" s="613">
        <v>0</v>
      </c>
      <c r="I32" s="614">
        <v>397</v>
      </c>
      <c r="J32" s="613">
        <v>214</v>
      </c>
      <c r="K32" s="95">
        <v>725</v>
      </c>
      <c r="R32" s="33"/>
    </row>
    <row r="33" spans="1:18" ht="15.75" thickBot="1">
      <c r="A33" s="927"/>
      <c r="B33" s="404">
        <v>34</v>
      </c>
      <c r="C33" s="383">
        <v>45152</v>
      </c>
      <c r="D33" s="595">
        <v>45153</v>
      </c>
      <c r="E33" s="617">
        <v>364</v>
      </c>
      <c r="F33" s="615">
        <v>946</v>
      </c>
      <c r="G33" s="279">
        <v>188</v>
      </c>
      <c r="H33" s="615">
        <v>0</v>
      </c>
      <c r="I33" s="616">
        <v>650</v>
      </c>
      <c r="J33" s="615">
        <v>350</v>
      </c>
      <c r="K33" s="104">
        <v>1189</v>
      </c>
      <c r="R33" s="33"/>
    </row>
    <row r="34" spans="1:18" ht="15.75" thickBot="1">
      <c r="A34" s="923" t="s">
        <v>71</v>
      </c>
      <c r="B34" s="924"/>
      <c r="C34" s="924"/>
      <c r="D34" s="924"/>
      <c r="E34" s="64">
        <f t="shared" ref="E34:K34" si="0">SUM(E7:E33)</f>
        <v>6051</v>
      </c>
      <c r="F34" s="65">
        <f t="shared" si="0"/>
        <v>14218</v>
      </c>
      <c r="G34" s="64">
        <f t="shared" si="0"/>
        <v>3494</v>
      </c>
      <c r="H34" s="65">
        <f t="shared" si="0"/>
        <v>51</v>
      </c>
      <c r="I34" s="64">
        <f t="shared" si="0"/>
        <v>12052</v>
      </c>
      <c r="J34" s="66">
        <f t="shared" si="0"/>
        <v>6436</v>
      </c>
      <c r="K34" s="67">
        <f t="shared" si="0"/>
        <v>22034</v>
      </c>
      <c r="R34" s="33"/>
    </row>
    <row r="35" spans="1:18" ht="15">
      <c r="A35" s="914" t="s">
        <v>72</v>
      </c>
      <c r="B35" s="915"/>
      <c r="C35" s="915"/>
      <c r="D35" s="915"/>
      <c r="E35" s="647">
        <v>104474</v>
      </c>
      <c r="F35" s="648">
        <v>742165</v>
      </c>
      <c r="G35" s="647">
        <v>64359</v>
      </c>
      <c r="H35" s="81">
        <v>135</v>
      </c>
      <c r="I35" s="647">
        <v>4876127</v>
      </c>
      <c r="J35" s="633">
        <v>1114326</v>
      </c>
      <c r="K35" s="70">
        <v>12787796</v>
      </c>
      <c r="R35" s="33"/>
    </row>
    <row r="36" spans="1:18" ht="15">
      <c r="A36" s="916" t="s">
        <v>73</v>
      </c>
      <c r="B36" s="917"/>
      <c r="C36" s="917"/>
      <c r="D36" s="917"/>
      <c r="E36" s="650">
        <v>323</v>
      </c>
      <c r="F36" s="653">
        <v>861</v>
      </c>
      <c r="G36" s="106">
        <v>254</v>
      </c>
      <c r="H36" s="82">
        <v>12</v>
      </c>
      <c r="I36" s="636">
        <v>2208</v>
      </c>
      <c r="J36" s="134">
        <v>1056</v>
      </c>
      <c r="K36" s="116">
        <v>3576</v>
      </c>
      <c r="R36" s="33"/>
    </row>
    <row r="37" spans="1:18" ht="15">
      <c r="A37" s="916" t="s">
        <v>74</v>
      </c>
      <c r="B37" s="917"/>
      <c r="C37" s="917"/>
      <c r="D37" s="917"/>
      <c r="E37" s="656">
        <v>0.05</v>
      </c>
      <c r="F37" s="657">
        <v>0.06</v>
      </c>
      <c r="G37" s="634">
        <v>7.0000000000000007E-2</v>
      </c>
      <c r="H37" s="93">
        <v>0.24</v>
      </c>
      <c r="I37" s="634">
        <v>0.18</v>
      </c>
      <c r="J37" s="94">
        <v>0.16</v>
      </c>
      <c r="K37" s="635">
        <v>0.16</v>
      </c>
      <c r="R37" s="33"/>
    </row>
    <row r="38" spans="1:18" ht="15.75" thickBot="1">
      <c r="A38" s="928" t="s">
        <v>75</v>
      </c>
      <c r="B38" s="929"/>
      <c r="C38" s="929"/>
      <c r="D38" s="929"/>
      <c r="E38" s="654" t="s">
        <v>76</v>
      </c>
      <c r="F38" s="655" t="s">
        <v>77</v>
      </c>
      <c r="G38" s="649" t="s">
        <v>78</v>
      </c>
      <c r="H38" s="72" t="s">
        <v>79</v>
      </c>
      <c r="I38" s="73" t="s">
        <v>80</v>
      </c>
      <c r="J38" s="74" t="s">
        <v>81</v>
      </c>
      <c r="K38" s="75" t="s">
        <v>82</v>
      </c>
      <c r="R38" s="33"/>
    </row>
    <row r="39" spans="1:18" ht="14.25">
      <c r="A39" s="930" t="s">
        <v>83</v>
      </c>
      <c r="B39" s="931"/>
      <c r="C39" s="931"/>
      <c r="D39" s="931"/>
      <c r="E39" s="931"/>
      <c r="F39" s="931"/>
      <c r="G39" s="931"/>
      <c r="H39" s="931"/>
      <c r="I39" s="931"/>
      <c r="J39" s="931"/>
      <c r="K39" s="932"/>
      <c r="R39" s="33"/>
    </row>
    <row r="40" spans="1:18" ht="15" thickBot="1">
      <c r="A40" s="933" t="s">
        <v>84</v>
      </c>
      <c r="B40" s="934"/>
      <c r="C40" s="934"/>
      <c r="D40" s="934"/>
      <c r="E40" s="934"/>
      <c r="F40" s="934"/>
      <c r="G40" s="934"/>
      <c r="H40" s="934"/>
      <c r="I40" s="934"/>
      <c r="J40" s="934"/>
      <c r="K40" s="935"/>
      <c r="M40" s="102"/>
      <c r="R40" s="33"/>
    </row>
    <row r="41" spans="1:18">
      <c r="J41" s="33" t="s">
        <v>85</v>
      </c>
      <c r="K41" t="e">
        <f>G34/'Area 5 Test Fishing'!C36/0.87</f>
        <v>#DIV/0!</v>
      </c>
      <c r="R41" s="33"/>
    </row>
    <row r="42" spans="1:18">
      <c r="J42" s="33" t="s">
        <v>14</v>
      </c>
      <c r="K42">
        <f>G34/'Area 5 Test Fishing'!C24/0.87</f>
        <v>22037.017388741526</v>
      </c>
      <c r="R42" s="33"/>
    </row>
    <row r="43" spans="1:18">
      <c r="R43" s="33"/>
    </row>
    <row r="44" spans="1:18" ht="15.75" thickBot="1">
      <c r="G44" s="903" t="s">
        <v>86</v>
      </c>
      <c r="H44" s="904"/>
      <c r="I44" s="904"/>
      <c r="J44" s="904"/>
      <c r="K44" s="904"/>
      <c r="L44" s="904"/>
      <c r="M44" s="905"/>
      <c r="N44" s="938" t="s">
        <v>87</v>
      </c>
      <c r="O44" s="939"/>
      <c r="P44" s="939"/>
      <c r="Q44" s="939"/>
      <c r="R44" s="939"/>
    </row>
    <row r="45" spans="1:18" ht="14.25" customHeight="1">
      <c r="A45" s="906" t="s">
        <v>57</v>
      </c>
      <c r="B45" s="906" t="s">
        <v>58</v>
      </c>
      <c r="C45" s="906" t="s">
        <v>59</v>
      </c>
      <c r="D45" s="908" t="s">
        <v>60</v>
      </c>
      <c r="E45" s="910" t="s">
        <v>61</v>
      </c>
      <c r="F45" s="911"/>
      <c r="G45" s="910" t="s">
        <v>88</v>
      </c>
      <c r="H45" s="936"/>
      <c r="I45" s="911"/>
      <c r="J45" s="936" t="s">
        <v>89</v>
      </c>
      <c r="K45" s="936"/>
      <c r="L45" s="911"/>
      <c r="M45" s="912" t="s">
        <v>90</v>
      </c>
      <c r="N45" s="906" t="s">
        <v>91</v>
      </c>
      <c r="O45" s="940" t="s">
        <v>92</v>
      </c>
      <c r="P45" s="906" t="s">
        <v>93</v>
      </c>
      <c r="Q45" s="942" t="s">
        <v>94</v>
      </c>
      <c r="R45" s="912" t="s">
        <v>95</v>
      </c>
    </row>
    <row r="46" spans="1:18">
      <c r="A46" s="907"/>
      <c r="B46" s="907"/>
      <c r="C46" s="907"/>
      <c r="D46" s="909"/>
      <c r="E46" s="44" t="s">
        <v>65</v>
      </c>
      <c r="F46" s="45" t="s">
        <v>66</v>
      </c>
      <c r="G46" s="44" t="s">
        <v>67</v>
      </c>
      <c r="H46" s="158" t="s">
        <v>68</v>
      </c>
      <c r="I46" s="876" t="s">
        <v>96</v>
      </c>
      <c r="J46" s="887" t="s">
        <v>67</v>
      </c>
      <c r="K46" s="875" t="s">
        <v>68</v>
      </c>
      <c r="L46" s="876" t="s">
        <v>96</v>
      </c>
      <c r="M46" s="937"/>
      <c r="N46" s="907"/>
      <c r="O46" s="941"/>
      <c r="P46" s="907"/>
      <c r="Q46" s="913"/>
      <c r="R46" s="937"/>
    </row>
    <row r="47" spans="1:18" ht="15">
      <c r="A47" s="925" t="s">
        <v>69</v>
      </c>
      <c r="B47" s="922">
        <v>27</v>
      </c>
      <c r="C47" s="377">
        <v>45108</v>
      </c>
      <c r="D47" s="378">
        <v>45108</v>
      </c>
      <c r="E47" s="618">
        <v>199</v>
      </c>
      <c r="F47" s="600">
        <v>498</v>
      </c>
      <c r="G47" s="618">
        <v>25</v>
      </c>
      <c r="H47" s="606">
        <v>4</v>
      </c>
      <c r="I47" s="622">
        <v>0</v>
      </c>
      <c r="J47" s="627">
        <v>8</v>
      </c>
      <c r="K47" s="606">
        <v>13</v>
      </c>
      <c r="L47" s="859">
        <v>6</v>
      </c>
      <c r="M47" s="284">
        <v>56</v>
      </c>
      <c r="N47" s="618">
        <v>0</v>
      </c>
      <c r="O47" s="622">
        <v>2</v>
      </c>
      <c r="P47" s="627">
        <v>0</v>
      </c>
      <c r="Q47" s="622">
        <v>0</v>
      </c>
      <c r="R47" s="284">
        <f t="shared" ref="R47:R75" si="1">SUM(N47:Q47)</f>
        <v>2</v>
      </c>
    </row>
    <row r="48" spans="1:18" ht="15">
      <c r="A48" s="926"/>
      <c r="B48" s="920"/>
      <c r="C48" s="379">
        <v>45109</v>
      </c>
      <c r="D48" s="380">
        <v>45109</v>
      </c>
      <c r="E48" s="619">
        <v>241</v>
      </c>
      <c r="F48" s="597">
        <v>617</v>
      </c>
      <c r="G48" s="619">
        <v>41</v>
      </c>
      <c r="H48" s="608">
        <v>0</v>
      </c>
      <c r="I48" s="623">
        <v>0</v>
      </c>
      <c r="J48" s="629">
        <v>4</v>
      </c>
      <c r="K48" s="608">
        <v>3</v>
      </c>
      <c r="L48" s="860">
        <v>3</v>
      </c>
      <c r="M48" s="402">
        <v>51</v>
      </c>
      <c r="N48" s="619">
        <v>0</v>
      </c>
      <c r="O48" s="623">
        <v>3</v>
      </c>
      <c r="P48" s="629">
        <v>0</v>
      </c>
      <c r="Q48" s="623">
        <v>0</v>
      </c>
      <c r="R48" s="402">
        <f t="shared" si="1"/>
        <v>3</v>
      </c>
    </row>
    <row r="49" spans="1:18" ht="15">
      <c r="A49" s="926"/>
      <c r="B49" s="918">
        <v>28</v>
      </c>
      <c r="C49" s="379">
        <v>45110</v>
      </c>
      <c r="D49" s="380">
        <v>45113</v>
      </c>
      <c r="E49" s="619">
        <v>697</v>
      </c>
      <c r="F49" s="597">
        <v>1497</v>
      </c>
      <c r="G49" s="619">
        <v>31</v>
      </c>
      <c r="H49" s="608">
        <v>0</v>
      </c>
      <c r="I49" s="623">
        <v>0</v>
      </c>
      <c r="J49" s="629">
        <v>0</v>
      </c>
      <c r="K49" s="608">
        <v>56</v>
      </c>
      <c r="L49" s="860">
        <v>13</v>
      </c>
      <c r="M49" s="402">
        <v>100</v>
      </c>
      <c r="N49" s="619">
        <v>0</v>
      </c>
      <c r="O49" s="623">
        <v>0</v>
      </c>
      <c r="P49" s="629">
        <v>0</v>
      </c>
      <c r="Q49" s="623">
        <v>0</v>
      </c>
      <c r="R49" s="402">
        <f t="shared" si="1"/>
        <v>0</v>
      </c>
    </row>
    <row r="50" spans="1:18" ht="15">
      <c r="A50" s="926"/>
      <c r="B50" s="919"/>
      <c r="C50" s="379">
        <v>45114</v>
      </c>
      <c r="D50" s="380">
        <v>45114</v>
      </c>
      <c r="E50" s="619">
        <v>221</v>
      </c>
      <c r="F50" s="597">
        <v>466</v>
      </c>
      <c r="G50" s="619">
        <v>9</v>
      </c>
      <c r="H50" s="608">
        <v>0</v>
      </c>
      <c r="I50" s="623">
        <v>0</v>
      </c>
      <c r="J50" s="629">
        <v>2</v>
      </c>
      <c r="K50" s="608">
        <v>0</v>
      </c>
      <c r="L50" s="860">
        <v>7</v>
      </c>
      <c r="M50" s="402">
        <v>18</v>
      </c>
      <c r="N50" s="619">
        <v>9</v>
      </c>
      <c r="O50" s="623">
        <v>2</v>
      </c>
      <c r="P50" s="629">
        <v>0</v>
      </c>
      <c r="Q50" s="623">
        <v>0</v>
      </c>
      <c r="R50" s="402">
        <f t="shared" si="1"/>
        <v>11</v>
      </c>
    </row>
    <row r="51" spans="1:18" ht="15">
      <c r="A51" s="926"/>
      <c r="B51" s="919"/>
      <c r="C51" s="379">
        <v>45115</v>
      </c>
      <c r="D51" s="380">
        <v>45115</v>
      </c>
      <c r="E51" s="421">
        <v>144</v>
      </c>
      <c r="F51" s="613">
        <v>361</v>
      </c>
      <c r="G51" s="625">
        <v>27</v>
      </c>
      <c r="H51" s="607">
        <v>2</v>
      </c>
      <c r="I51" s="623">
        <v>0</v>
      </c>
      <c r="J51" s="628">
        <v>4</v>
      </c>
      <c r="K51" s="607">
        <v>6</v>
      </c>
      <c r="L51" s="861">
        <v>4</v>
      </c>
      <c r="M51" s="651">
        <v>43</v>
      </c>
      <c r="N51" s="625">
        <v>2</v>
      </c>
      <c r="O51" s="626">
        <v>0</v>
      </c>
      <c r="P51" s="628">
        <v>0</v>
      </c>
      <c r="Q51" s="626">
        <v>0</v>
      </c>
      <c r="R51" s="651">
        <f t="shared" si="1"/>
        <v>2</v>
      </c>
    </row>
    <row r="52" spans="1:18" ht="15">
      <c r="A52" s="926"/>
      <c r="B52" s="920"/>
      <c r="C52" s="379">
        <v>45116</v>
      </c>
      <c r="D52" s="380">
        <v>45116</v>
      </c>
      <c r="E52" s="421">
        <v>49</v>
      </c>
      <c r="F52" s="613">
        <v>130</v>
      </c>
      <c r="G52" s="625">
        <v>7</v>
      </c>
      <c r="H52" s="607">
        <v>0</v>
      </c>
      <c r="I52" s="623">
        <v>0</v>
      </c>
      <c r="J52" s="628">
        <v>12</v>
      </c>
      <c r="K52" s="607">
        <v>0</v>
      </c>
      <c r="L52" s="861">
        <v>0</v>
      </c>
      <c r="M52" s="651">
        <v>19</v>
      </c>
      <c r="N52" s="625">
        <v>0</v>
      </c>
      <c r="O52" s="626">
        <v>2</v>
      </c>
      <c r="P52" s="628">
        <v>0</v>
      </c>
      <c r="Q52" s="626">
        <v>0</v>
      </c>
      <c r="R52" s="651">
        <f t="shared" si="1"/>
        <v>2</v>
      </c>
    </row>
    <row r="53" spans="1:18" ht="15">
      <c r="A53" s="926"/>
      <c r="B53" s="919">
        <v>29</v>
      </c>
      <c r="C53" s="379">
        <v>45117</v>
      </c>
      <c r="D53" s="380">
        <v>45120</v>
      </c>
      <c r="E53" s="421">
        <v>598</v>
      </c>
      <c r="F53" s="613">
        <v>1280</v>
      </c>
      <c r="G53" s="625">
        <v>88</v>
      </c>
      <c r="H53" s="607">
        <v>0</v>
      </c>
      <c r="I53" s="623">
        <v>0</v>
      </c>
      <c r="J53" s="628">
        <v>31</v>
      </c>
      <c r="K53" s="607">
        <v>59</v>
      </c>
      <c r="L53" s="861">
        <v>39</v>
      </c>
      <c r="M53" s="651">
        <v>217</v>
      </c>
      <c r="N53" s="625">
        <v>0</v>
      </c>
      <c r="O53" s="626">
        <v>0</v>
      </c>
      <c r="P53" s="628">
        <v>0</v>
      </c>
      <c r="Q53" s="626">
        <v>0</v>
      </c>
      <c r="R53" s="651">
        <f t="shared" si="1"/>
        <v>0</v>
      </c>
    </row>
    <row r="54" spans="1:18" ht="15">
      <c r="A54" s="926"/>
      <c r="B54" s="919"/>
      <c r="C54" s="379">
        <v>45121</v>
      </c>
      <c r="D54" s="380">
        <v>45121</v>
      </c>
      <c r="E54" s="421">
        <v>103</v>
      </c>
      <c r="F54" s="613">
        <v>231</v>
      </c>
      <c r="G54" s="625">
        <v>6</v>
      </c>
      <c r="H54" s="607">
        <v>0</v>
      </c>
      <c r="I54" s="626">
        <v>0</v>
      </c>
      <c r="J54" s="628">
        <v>2</v>
      </c>
      <c r="K54" s="607">
        <v>6</v>
      </c>
      <c r="L54" s="861">
        <v>0</v>
      </c>
      <c r="M54" s="651">
        <v>14</v>
      </c>
      <c r="N54" s="625">
        <v>2</v>
      </c>
      <c r="O54" s="626">
        <v>0</v>
      </c>
      <c r="P54" s="628">
        <v>0</v>
      </c>
      <c r="Q54" s="626">
        <v>0</v>
      </c>
      <c r="R54" s="651">
        <f t="shared" si="1"/>
        <v>2</v>
      </c>
    </row>
    <row r="55" spans="1:18" ht="15">
      <c r="A55" s="926"/>
      <c r="B55" s="919"/>
      <c r="C55" s="379">
        <v>45122</v>
      </c>
      <c r="D55" s="380">
        <v>45122</v>
      </c>
      <c r="E55" s="421">
        <v>128</v>
      </c>
      <c r="F55" s="613">
        <v>292</v>
      </c>
      <c r="G55" s="625">
        <v>14</v>
      </c>
      <c r="H55" s="607">
        <v>0</v>
      </c>
      <c r="I55" s="626">
        <v>0</v>
      </c>
      <c r="J55" s="628">
        <v>3</v>
      </c>
      <c r="K55" s="607">
        <v>9</v>
      </c>
      <c r="L55" s="861">
        <v>0</v>
      </c>
      <c r="M55" s="651">
        <v>26</v>
      </c>
      <c r="N55" s="625">
        <v>3</v>
      </c>
      <c r="O55" s="626">
        <v>0</v>
      </c>
      <c r="P55" s="628">
        <v>0</v>
      </c>
      <c r="Q55" s="626">
        <v>0</v>
      </c>
      <c r="R55" s="651">
        <f t="shared" si="1"/>
        <v>3</v>
      </c>
    </row>
    <row r="56" spans="1:18" ht="15">
      <c r="A56" s="926"/>
      <c r="B56" s="920"/>
      <c r="C56" s="379">
        <v>45123</v>
      </c>
      <c r="D56" s="380">
        <v>45123</v>
      </c>
      <c r="E56" s="612">
        <v>135</v>
      </c>
      <c r="F56" s="613">
        <v>318</v>
      </c>
      <c r="G56" s="612">
        <v>4</v>
      </c>
      <c r="H56" s="603">
        <v>4</v>
      </c>
      <c r="I56" s="613">
        <v>0</v>
      </c>
      <c r="J56" s="614">
        <v>0</v>
      </c>
      <c r="K56" s="603">
        <v>0</v>
      </c>
      <c r="L56" s="862">
        <v>16</v>
      </c>
      <c r="M56" s="651">
        <v>24</v>
      </c>
      <c r="N56" s="612">
        <v>0</v>
      </c>
      <c r="O56" s="613">
        <v>0</v>
      </c>
      <c r="P56" s="614">
        <v>0</v>
      </c>
      <c r="Q56" s="613">
        <v>0</v>
      </c>
      <c r="R56" s="651">
        <f t="shared" si="1"/>
        <v>0</v>
      </c>
    </row>
    <row r="57" spans="1:18" ht="16.149999999999999" customHeight="1">
      <c r="A57" s="926"/>
      <c r="B57" s="918">
        <v>30</v>
      </c>
      <c r="C57" s="379">
        <v>45124</v>
      </c>
      <c r="D57" s="380">
        <v>45127</v>
      </c>
      <c r="E57" s="612">
        <v>425</v>
      </c>
      <c r="F57" s="613">
        <v>893</v>
      </c>
      <c r="G57" s="612">
        <v>64</v>
      </c>
      <c r="H57" s="603">
        <v>0</v>
      </c>
      <c r="I57" s="613">
        <v>0</v>
      </c>
      <c r="J57" s="614">
        <v>7</v>
      </c>
      <c r="K57" s="603">
        <v>44</v>
      </c>
      <c r="L57" s="862">
        <v>53</v>
      </c>
      <c r="M57" s="651">
        <v>168</v>
      </c>
      <c r="N57" s="612">
        <v>4</v>
      </c>
      <c r="O57" s="613">
        <v>37</v>
      </c>
      <c r="P57" s="614">
        <v>4</v>
      </c>
      <c r="Q57" s="613">
        <v>0</v>
      </c>
      <c r="R57" s="651">
        <f t="shared" si="1"/>
        <v>45</v>
      </c>
    </row>
    <row r="58" spans="1:18" ht="15">
      <c r="A58" s="926"/>
      <c r="B58" s="919"/>
      <c r="C58" s="379">
        <v>45128</v>
      </c>
      <c r="D58" s="380">
        <v>45128</v>
      </c>
      <c r="E58" s="612">
        <v>64</v>
      </c>
      <c r="F58" s="613">
        <v>161</v>
      </c>
      <c r="G58" s="612">
        <v>23</v>
      </c>
      <c r="H58" s="603">
        <v>0</v>
      </c>
      <c r="I58" s="613">
        <v>0</v>
      </c>
      <c r="J58" s="614">
        <v>3</v>
      </c>
      <c r="K58" s="603">
        <v>18</v>
      </c>
      <c r="L58" s="862">
        <v>3</v>
      </c>
      <c r="M58" s="651">
        <v>47</v>
      </c>
      <c r="N58" s="612">
        <v>18</v>
      </c>
      <c r="O58" s="613">
        <v>13</v>
      </c>
      <c r="P58" s="614">
        <v>0</v>
      </c>
      <c r="Q58" s="613">
        <v>0</v>
      </c>
      <c r="R58" s="651">
        <f t="shared" si="1"/>
        <v>31</v>
      </c>
    </row>
    <row r="59" spans="1:18" ht="15">
      <c r="A59" s="926"/>
      <c r="B59" s="919"/>
      <c r="C59" s="379">
        <v>45129</v>
      </c>
      <c r="D59" s="380">
        <v>45129</v>
      </c>
      <c r="E59" s="612">
        <v>80</v>
      </c>
      <c r="F59" s="613">
        <v>199</v>
      </c>
      <c r="G59" s="612">
        <v>22</v>
      </c>
      <c r="H59" s="603">
        <v>2</v>
      </c>
      <c r="I59" s="613">
        <v>0</v>
      </c>
      <c r="J59" s="614">
        <v>9</v>
      </c>
      <c r="K59" s="603">
        <v>40</v>
      </c>
      <c r="L59" s="862">
        <v>25</v>
      </c>
      <c r="M59" s="651">
        <v>98</v>
      </c>
      <c r="N59" s="612">
        <v>67</v>
      </c>
      <c r="O59" s="613">
        <v>29</v>
      </c>
      <c r="P59" s="614">
        <v>0</v>
      </c>
      <c r="Q59" s="613">
        <v>0</v>
      </c>
      <c r="R59" s="651">
        <f t="shared" si="1"/>
        <v>96</v>
      </c>
    </row>
    <row r="60" spans="1:18" ht="15">
      <c r="A60" s="926"/>
      <c r="B60" s="920"/>
      <c r="C60" s="379">
        <v>45130</v>
      </c>
      <c r="D60" s="380">
        <v>45130</v>
      </c>
      <c r="E60" s="612">
        <v>57</v>
      </c>
      <c r="F60" s="613">
        <v>139</v>
      </c>
      <c r="G60" s="612">
        <v>15</v>
      </c>
      <c r="H60" s="603">
        <v>0</v>
      </c>
      <c r="I60" s="613">
        <v>0</v>
      </c>
      <c r="J60" s="614">
        <v>2</v>
      </c>
      <c r="K60" s="603">
        <v>28</v>
      </c>
      <c r="L60" s="862">
        <v>7</v>
      </c>
      <c r="M60" s="651">
        <v>52</v>
      </c>
      <c r="N60" s="612">
        <v>28</v>
      </c>
      <c r="O60" s="613">
        <v>0</v>
      </c>
      <c r="P60" s="614">
        <v>0</v>
      </c>
      <c r="Q60" s="613">
        <v>0</v>
      </c>
      <c r="R60" s="651">
        <f t="shared" si="1"/>
        <v>28</v>
      </c>
    </row>
    <row r="61" spans="1:18" ht="15">
      <c r="A61" s="926"/>
      <c r="B61" s="918">
        <v>31</v>
      </c>
      <c r="C61" s="379">
        <v>45131</v>
      </c>
      <c r="D61" s="380">
        <v>45134</v>
      </c>
      <c r="E61" s="624">
        <v>383</v>
      </c>
      <c r="F61" s="630">
        <v>879</v>
      </c>
      <c r="G61" s="624">
        <v>146</v>
      </c>
      <c r="H61" s="609">
        <v>0</v>
      </c>
      <c r="I61" s="613">
        <v>4</v>
      </c>
      <c r="J61" s="631">
        <v>25</v>
      </c>
      <c r="K61" s="609">
        <v>213</v>
      </c>
      <c r="L61" s="863">
        <v>78</v>
      </c>
      <c r="M61" s="403">
        <v>466</v>
      </c>
      <c r="N61" s="624">
        <v>131</v>
      </c>
      <c r="O61" s="630">
        <v>100</v>
      </c>
      <c r="P61" s="631">
        <v>0</v>
      </c>
      <c r="Q61" s="630">
        <v>0</v>
      </c>
      <c r="R61" s="651">
        <f t="shared" si="1"/>
        <v>231</v>
      </c>
    </row>
    <row r="62" spans="1:18" ht="15">
      <c r="A62" s="926"/>
      <c r="B62" s="919"/>
      <c r="C62" s="379">
        <v>45135</v>
      </c>
      <c r="D62" s="380">
        <v>45135</v>
      </c>
      <c r="E62" s="612">
        <v>105</v>
      </c>
      <c r="F62" s="613">
        <v>240</v>
      </c>
      <c r="G62" s="612">
        <v>20</v>
      </c>
      <c r="H62" s="603">
        <v>2</v>
      </c>
      <c r="I62" s="613">
        <v>0</v>
      </c>
      <c r="J62" s="614">
        <v>2</v>
      </c>
      <c r="K62" s="603">
        <v>27</v>
      </c>
      <c r="L62" s="862">
        <v>29</v>
      </c>
      <c r="M62" s="651">
        <v>80</v>
      </c>
      <c r="N62" s="612">
        <v>84</v>
      </c>
      <c r="O62" s="613">
        <v>80</v>
      </c>
      <c r="P62" s="614">
        <v>0</v>
      </c>
      <c r="Q62" s="613">
        <v>0</v>
      </c>
      <c r="R62" s="651">
        <f t="shared" si="1"/>
        <v>164</v>
      </c>
    </row>
    <row r="63" spans="1:18" ht="15">
      <c r="A63" s="926"/>
      <c r="B63" s="919"/>
      <c r="C63" s="379">
        <v>45136</v>
      </c>
      <c r="D63" s="380">
        <v>45136</v>
      </c>
      <c r="E63" s="620">
        <v>174</v>
      </c>
      <c r="F63" s="621">
        <v>434</v>
      </c>
      <c r="G63" s="620">
        <v>45</v>
      </c>
      <c r="H63" s="610">
        <v>0</v>
      </c>
      <c r="I63" s="621">
        <v>0</v>
      </c>
      <c r="J63" s="632">
        <v>15</v>
      </c>
      <c r="K63" s="610">
        <v>61</v>
      </c>
      <c r="L63" s="864">
        <v>4</v>
      </c>
      <c r="M63" s="256">
        <v>125</v>
      </c>
      <c r="N63" s="620">
        <v>94</v>
      </c>
      <c r="O63" s="621">
        <v>111</v>
      </c>
      <c r="P63" s="632">
        <v>0</v>
      </c>
      <c r="Q63" s="621">
        <v>0</v>
      </c>
      <c r="R63" s="651">
        <f t="shared" si="1"/>
        <v>205</v>
      </c>
    </row>
    <row r="64" spans="1:18" ht="15">
      <c r="A64" s="927"/>
      <c r="B64" s="921"/>
      <c r="C64" s="383">
        <v>45137</v>
      </c>
      <c r="D64" s="384">
        <v>45137</v>
      </c>
      <c r="E64" s="617">
        <v>153</v>
      </c>
      <c r="F64" s="615">
        <v>370</v>
      </c>
      <c r="G64" s="617">
        <v>28</v>
      </c>
      <c r="H64" s="604">
        <v>0</v>
      </c>
      <c r="I64" s="615">
        <v>0</v>
      </c>
      <c r="J64" s="616">
        <v>12</v>
      </c>
      <c r="K64" s="604">
        <v>43</v>
      </c>
      <c r="L64" s="865">
        <v>52</v>
      </c>
      <c r="M64" s="139">
        <v>135</v>
      </c>
      <c r="N64" s="617">
        <v>127</v>
      </c>
      <c r="O64" s="615">
        <v>86</v>
      </c>
      <c r="P64" s="616">
        <v>0</v>
      </c>
      <c r="Q64" s="615">
        <v>0</v>
      </c>
      <c r="R64" s="139">
        <f t="shared" si="1"/>
        <v>213</v>
      </c>
    </row>
    <row r="65" spans="1:20" ht="15">
      <c r="A65" s="925" t="s">
        <v>70</v>
      </c>
      <c r="B65" s="922">
        <v>32</v>
      </c>
      <c r="C65" s="379">
        <v>45138</v>
      </c>
      <c r="D65" s="380">
        <v>45141</v>
      </c>
      <c r="E65" s="620">
        <v>317</v>
      </c>
      <c r="F65" s="621">
        <v>896</v>
      </c>
      <c r="G65" s="620">
        <v>16</v>
      </c>
      <c r="H65" s="610">
        <v>13</v>
      </c>
      <c r="I65" s="621">
        <v>0</v>
      </c>
      <c r="J65" s="632">
        <v>18</v>
      </c>
      <c r="K65" s="610">
        <v>75</v>
      </c>
      <c r="L65" s="864">
        <v>46</v>
      </c>
      <c r="M65" s="256">
        <v>168</v>
      </c>
      <c r="N65" s="620">
        <v>208</v>
      </c>
      <c r="O65" s="621">
        <v>306</v>
      </c>
      <c r="P65" s="632">
        <v>0</v>
      </c>
      <c r="Q65" s="621">
        <v>14</v>
      </c>
      <c r="R65" s="402">
        <f t="shared" si="1"/>
        <v>528</v>
      </c>
    </row>
    <row r="66" spans="1:20" ht="15">
      <c r="A66" s="926"/>
      <c r="B66" s="919"/>
      <c r="C66" s="667">
        <v>45142</v>
      </c>
      <c r="D66" s="668">
        <v>45142</v>
      </c>
      <c r="E66" s="624">
        <v>87</v>
      </c>
      <c r="F66" s="630">
        <v>208</v>
      </c>
      <c r="G66" s="624">
        <v>9</v>
      </c>
      <c r="H66" s="609">
        <v>2</v>
      </c>
      <c r="I66" s="630">
        <v>0</v>
      </c>
      <c r="J66" s="631">
        <v>0</v>
      </c>
      <c r="K66" s="609">
        <v>11</v>
      </c>
      <c r="L66" s="863">
        <v>5</v>
      </c>
      <c r="M66" s="403">
        <v>27</v>
      </c>
      <c r="N66" s="624">
        <v>87</v>
      </c>
      <c r="O66" s="630">
        <v>112</v>
      </c>
      <c r="P66" s="631">
        <v>0</v>
      </c>
      <c r="Q66" s="630">
        <v>0</v>
      </c>
      <c r="R66" s="651">
        <f t="shared" si="1"/>
        <v>199</v>
      </c>
    </row>
    <row r="67" spans="1:20" ht="15">
      <c r="A67" s="926"/>
      <c r="B67" s="919"/>
      <c r="C67" s="667">
        <v>45143</v>
      </c>
      <c r="D67" s="668">
        <v>45143</v>
      </c>
      <c r="E67" s="624">
        <v>163</v>
      </c>
      <c r="F67" s="630">
        <v>464</v>
      </c>
      <c r="G67" s="624">
        <v>68</v>
      </c>
      <c r="H67" s="609">
        <v>0</v>
      </c>
      <c r="I67" s="630">
        <v>0</v>
      </c>
      <c r="J67" s="631">
        <v>5</v>
      </c>
      <c r="K67" s="609">
        <v>53</v>
      </c>
      <c r="L67" s="863">
        <v>0</v>
      </c>
      <c r="M67" s="403">
        <v>126</v>
      </c>
      <c r="N67" s="624">
        <v>252</v>
      </c>
      <c r="O67" s="630">
        <v>301</v>
      </c>
      <c r="P67" s="631">
        <v>0</v>
      </c>
      <c r="Q67" s="630">
        <v>0</v>
      </c>
      <c r="R67" s="651">
        <f t="shared" si="1"/>
        <v>553</v>
      </c>
    </row>
    <row r="68" spans="1:20" ht="15">
      <c r="A68" s="926"/>
      <c r="B68" s="920"/>
      <c r="C68" s="667">
        <v>45144</v>
      </c>
      <c r="D68" s="668">
        <v>45144</v>
      </c>
      <c r="E68" s="624">
        <v>140</v>
      </c>
      <c r="F68" s="630">
        <v>334</v>
      </c>
      <c r="G68" s="624">
        <v>25</v>
      </c>
      <c r="H68" s="609">
        <v>3</v>
      </c>
      <c r="I68" s="630">
        <v>0</v>
      </c>
      <c r="J68" s="631">
        <v>0</v>
      </c>
      <c r="K68" s="609">
        <v>125</v>
      </c>
      <c r="L68" s="863">
        <v>0</v>
      </c>
      <c r="M68" s="403">
        <v>153</v>
      </c>
      <c r="N68" s="624">
        <v>166</v>
      </c>
      <c r="O68" s="630">
        <v>179</v>
      </c>
      <c r="P68" s="631">
        <v>0</v>
      </c>
      <c r="Q68" s="630">
        <v>0</v>
      </c>
      <c r="R68" s="651">
        <f t="shared" si="1"/>
        <v>345</v>
      </c>
    </row>
    <row r="69" spans="1:20" ht="15">
      <c r="A69" s="926"/>
      <c r="B69" s="918">
        <v>33</v>
      </c>
      <c r="C69" s="667">
        <v>45145</v>
      </c>
      <c r="D69" s="668">
        <v>45148</v>
      </c>
      <c r="E69" s="624">
        <v>441</v>
      </c>
      <c r="F69" s="630">
        <v>904</v>
      </c>
      <c r="G69" s="624">
        <v>151</v>
      </c>
      <c r="H69" s="609">
        <v>22</v>
      </c>
      <c r="I69" s="630">
        <v>0</v>
      </c>
      <c r="J69" s="631">
        <v>0</v>
      </c>
      <c r="K69" s="609">
        <v>71</v>
      </c>
      <c r="L69" s="863">
        <v>33</v>
      </c>
      <c r="M69" s="403">
        <v>277</v>
      </c>
      <c r="N69" s="624">
        <v>319</v>
      </c>
      <c r="O69" s="630">
        <v>376</v>
      </c>
      <c r="P69" s="631">
        <v>0</v>
      </c>
      <c r="Q69" s="630">
        <v>0</v>
      </c>
      <c r="R69" s="651">
        <f t="shared" si="1"/>
        <v>695</v>
      </c>
    </row>
    <row r="70" spans="1:20" ht="15">
      <c r="A70" s="926"/>
      <c r="B70" s="919"/>
      <c r="C70" s="667">
        <v>45149</v>
      </c>
      <c r="D70" s="668">
        <v>45149</v>
      </c>
      <c r="E70" s="624">
        <v>152</v>
      </c>
      <c r="F70" s="630">
        <v>343</v>
      </c>
      <c r="G70" s="624">
        <v>105</v>
      </c>
      <c r="H70" s="609">
        <v>0</v>
      </c>
      <c r="I70" s="630">
        <v>0</v>
      </c>
      <c r="J70" s="631">
        <v>5</v>
      </c>
      <c r="K70" s="609">
        <v>47</v>
      </c>
      <c r="L70" s="863">
        <v>12</v>
      </c>
      <c r="M70" s="403">
        <v>169</v>
      </c>
      <c r="N70" s="624">
        <v>97</v>
      </c>
      <c r="O70" s="630">
        <v>245</v>
      </c>
      <c r="P70" s="631">
        <v>0</v>
      </c>
      <c r="Q70" s="630">
        <v>0</v>
      </c>
      <c r="R70" s="651">
        <f t="shared" si="1"/>
        <v>342</v>
      </c>
    </row>
    <row r="71" spans="1:20" ht="15">
      <c r="A71" s="926"/>
      <c r="B71" s="919"/>
      <c r="C71" s="667">
        <v>45150</v>
      </c>
      <c r="D71" s="668">
        <v>45150</v>
      </c>
      <c r="E71" s="624">
        <v>239</v>
      </c>
      <c r="F71" s="630">
        <v>652</v>
      </c>
      <c r="G71" s="624">
        <v>189</v>
      </c>
      <c r="H71" s="609">
        <v>0</v>
      </c>
      <c r="I71" s="630">
        <v>0</v>
      </c>
      <c r="J71" s="631">
        <v>3</v>
      </c>
      <c r="K71" s="609">
        <v>151</v>
      </c>
      <c r="L71" s="863">
        <v>3</v>
      </c>
      <c r="M71" s="403">
        <v>346</v>
      </c>
      <c r="N71" s="624">
        <v>260</v>
      </c>
      <c r="O71" s="630">
        <v>151</v>
      </c>
      <c r="P71" s="631">
        <v>0</v>
      </c>
      <c r="Q71" s="630">
        <v>0</v>
      </c>
      <c r="R71" s="651">
        <f t="shared" si="1"/>
        <v>411</v>
      </c>
    </row>
    <row r="72" spans="1:20" ht="15">
      <c r="A72" s="926"/>
      <c r="B72" s="920"/>
      <c r="C72" s="381">
        <v>45151</v>
      </c>
      <c r="D72" s="382">
        <v>45151</v>
      </c>
      <c r="E72" s="624">
        <v>186</v>
      </c>
      <c r="F72" s="630">
        <v>444</v>
      </c>
      <c r="G72" s="624">
        <v>85</v>
      </c>
      <c r="H72" s="609">
        <v>5</v>
      </c>
      <c r="I72" s="630">
        <v>0</v>
      </c>
      <c r="J72" s="631">
        <v>31</v>
      </c>
      <c r="K72" s="609">
        <v>179</v>
      </c>
      <c r="L72" s="863">
        <v>3</v>
      </c>
      <c r="M72" s="403">
        <v>303</v>
      </c>
      <c r="N72" s="624">
        <v>199</v>
      </c>
      <c r="O72" s="630">
        <v>413</v>
      </c>
      <c r="P72" s="631">
        <v>0</v>
      </c>
      <c r="Q72" s="630">
        <v>0</v>
      </c>
      <c r="R72" s="651">
        <f t="shared" si="1"/>
        <v>612</v>
      </c>
    </row>
    <row r="73" spans="1:20" ht="15">
      <c r="A73" s="926"/>
      <c r="B73" s="918">
        <v>34</v>
      </c>
      <c r="C73" s="667">
        <v>45152</v>
      </c>
      <c r="D73" s="668">
        <v>45153</v>
      </c>
      <c r="E73" s="624">
        <v>287</v>
      </c>
      <c r="F73" s="630">
        <v>730</v>
      </c>
      <c r="G73" s="624">
        <v>106</v>
      </c>
      <c r="H73" s="609">
        <v>0</v>
      </c>
      <c r="I73" s="630">
        <v>0</v>
      </c>
      <c r="J73" s="631">
        <v>6</v>
      </c>
      <c r="K73" s="609">
        <v>248</v>
      </c>
      <c r="L73" s="863">
        <v>5</v>
      </c>
      <c r="M73" s="403">
        <v>365</v>
      </c>
      <c r="N73" s="624">
        <v>270</v>
      </c>
      <c r="O73" s="630">
        <v>518</v>
      </c>
      <c r="P73" s="631">
        <v>0</v>
      </c>
      <c r="Q73" s="630">
        <v>0</v>
      </c>
      <c r="R73" s="651">
        <f t="shared" si="1"/>
        <v>788</v>
      </c>
    </row>
    <row r="74" spans="1:20" ht="15">
      <c r="A74" s="926"/>
      <c r="B74" s="919"/>
      <c r="C74" s="667">
        <v>45154</v>
      </c>
      <c r="D74" s="668">
        <v>45155</v>
      </c>
      <c r="E74" s="624">
        <v>85</v>
      </c>
      <c r="F74" s="630">
        <v>238</v>
      </c>
      <c r="G74" s="624">
        <v>23</v>
      </c>
      <c r="H74" s="609">
        <v>0</v>
      </c>
      <c r="I74" s="630">
        <v>0</v>
      </c>
      <c r="J74" s="631">
        <v>0</v>
      </c>
      <c r="K74" s="609">
        <v>84</v>
      </c>
      <c r="L74" s="863">
        <v>0</v>
      </c>
      <c r="M74" s="403">
        <v>107</v>
      </c>
      <c r="N74" s="624">
        <v>260</v>
      </c>
      <c r="O74" s="630">
        <v>195</v>
      </c>
      <c r="P74" s="631">
        <v>0</v>
      </c>
      <c r="Q74" s="630">
        <v>0</v>
      </c>
      <c r="R74" s="651">
        <f t="shared" si="1"/>
        <v>455</v>
      </c>
    </row>
    <row r="75" spans="1:20" ht="15">
      <c r="A75" s="926"/>
      <c r="B75" s="919"/>
      <c r="C75" s="379">
        <v>45156</v>
      </c>
      <c r="D75" s="380">
        <v>45156</v>
      </c>
      <c r="E75" s="624">
        <v>135</v>
      </c>
      <c r="F75" s="630">
        <v>355</v>
      </c>
      <c r="G75" s="624">
        <v>46</v>
      </c>
      <c r="H75" s="609">
        <v>0</v>
      </c>
      <c r="I75" s="630">
        <v>0</v>
      </c>
      <c r="J75" s="631">
        <v>10</v>
      </c>
      <c r="K75" s="609">
        <v>47</v>
      </c>
      <c r="L75" s="863">
        <v>3</v>
      </c>
      <c r="M75" s="403">
        <v>106</v>
      </c>
      <c r="N75" s="624">
        <v>141</v>
      </c>
      <c r="O75" s="630">
        <v>87</v>
      </c>
      <c r="P75" s="631">
        <v>0</v>
      </c>
      <c r="Q75" s="630">
        <v>0</v>
      </c>
      <c r="R75" s="651">
        <f t="shared" si="1"/>
        <v>228</v>
      </c>
    </row>
    <row r="76" spans="1:20" ht="15">
      <c r="A76" s="926"/>
      <c r="B76" s="919"/>
      <c r="C76" s="379">
        <v>45157</v>
      </c>
      <c r="D76" s="380">
        <v>45157</v>
      </c>
      <c r="E76" s="624">
        <v>203</v>
      </c>
      <c r="F76" s="630">
        <v>542</v>
      </c>
      <c r="G76" s="624">
        <v>179</v>
      </c>
      <c r="H76" s="609">
        <v>2</v>
      </c>
      <c r="I76" s="630">
        <v>0</v>
      </c>
      <c r="J76" s="631">
        <v>9</v>
      </c>
      <c r="K76" s="609">
        <v>195</v>
      </c>
      <c r="L76" s="863">
        <v>5</v>
      </c>
      <c r="M76" s="403">
        <v>390</v>
      </c>
      <c r="N76" s="624">
        <v>300</v>
      </c>
      <c r="O76" s="630">
        <v>146</v>
      </c>
      <c r="P76" s="631">
        <v>0</v>
      </c>
      <c r="Q76" s="630">
        <v>0</v>
      </c>
      <c r="R76" s="651">
        <f>SUM(N76:Q76)</f>
        <v>446</v>
      </c>
    </row>
    <row r="77" spans="1:20" ht="15">
      <c r="A77" s="926"/>
      <c r="B77" s="920"/>
      <c r="C77" s="667">
        <v>45158</v>
      </c>
      <c r="D77" s="668">
        <v>45158</v>
      </c>
      <c r="E77" s="624">
        <v>151</v>
      </c>
      <c r="F77" s="630">
        <v>400</v>
      </c>
      <c r="G77" s="624">
        <v>194</v>
      </c>
      <c r="H77" s="609">
        <v>0</v>
      </c>
      <c r="I77" s="630">
        <v>0</v>
      </c>
      <c r="J77" s="631">
        <v>0</v>
      </c>
      <c r="K77" s="609">
        <v>269</v>
      </c>
      <c r="L77" s="863">
        <v>0</v>
      </c>
      <c r="M77" s="403">
        <v>463</v>
      </c>
      <c r="N77" s="624">
        <v>314</v>
      </c>
      <c r="O77" s="630">
        <v>165</v>
      </c>
      <c r="P77" s="631">
        <v>0</v>
      </c>
      <c r="Q77" s="630">
        <v>0</v>
      </c>
      <c r="R77" s="651">
        <f>SUM(N77:Q77)</f>
        <v>479</v>
      </c>
    </row>
    <row r="78" spans="1:20" ht="15">
      <c r="A78" s="926"/>
      <c r="B78" s="918">
        <v>35</v>
      </c>
      <c r="C78" s="667">
        <v>45159</v>
      </c>
      <c r="D78" s="668">
        <v>45162</v>
      </c>
      <c r="E78" s="624">
        <v>361</v>
      </c>
      <c r="F78" s="630">
        <v>692</v>
      </c>
      <c r="G78" s="624">
        <v>253</v>
      </c>
      <c r="H78" s="609">
        <v>10</v>
      </c>
      <c r="I78" s="630">
        <v>0</v>
      </c>
      <c r="J78" s="631">
        <v>0</v>
      </c>
      <c r="K78" s="609">
        <v>352</v>
      </c>
      <c r="L78" s="863">
        <v>0</v>
      </c>
      <c r="M78" s="403">
        <v>615</v>
      </c>
      <c r="N78" s="624">
        <v>377</v>
      </c>
      <c r="O78" s="630">
        <v>378</v>
      </c>
      <c r="P78" s="728">
        <v>0</v>
      </c>
      <c r="Q78" s="729">
        <v>0</v>
      </c>
      <c r="R78" s="651">
        <f t="shared" ref="R78:R89" si="2">SUM(N78:Q78)</f>
        <v>755</v>
      </c>
    </row>
    <row r="79" spans="1:20" ht="15">
      <c r="A79" s="926"/>
      <c r="B79" s="919"/>
      <c r="C79" s="667">
        <v>45163</v>
      </c>
      <c r="D79" s="668">
        <v>45163</v>
      </c>
      <c r="E79" s="624">
        <v>150</v>
      </c>
      <c r="F79" s="630">
        <v>418</v>
      </c>
      <c r="G79" s="624">
        <v>486</v>
      </c>
      <c r="H79" s="609">
        <v>0</v>
      </c>
      <c r="I79" s="630">
        <v>0</v>
      </c>
      <c r="J79" s="631">
        <v>10</v>
      </c>
      <c r="K79" s="609">
        <v>312</v>
      </c>
      <c r="L79" s="863">
        <v>0</v>
      </c>
      <c r="M79" s="403">
        <v>808</v>
      </c>
      <c r="N79" s="624">
        <v>176</v>
      </c>
      <c r="O79" s="630">
        <v>108</v>
      </c>
      <c r="P79" s="728">
        <v>0</v>
      </c>
      <c r="Q79" s="729">
        <v>0</v>
      </c>
      <c r="R79" s="651">
        <f t="shared" si="2"/>
        <v>284</v>
      </c>
    </row>
    <row r="80" spans="1:20" ht="15">
      <c r="A80" s="926"/>
      <c r="B80" s="919"/>
      <c r="C80" s="667">
        <v>45164</v>
      </c>
      <c r="D80" s="668">
        <v>45164</v>
      </c>
      <c r="E80" s="624">
        <v>177</v>
      </c>
      <c r="F80" s="630">
        <v>465</v>
      </c>
      <c r="G80" s="624">
        <v>601</v>
      </c>
      <c r="H80" s="609">
        <v>8</v>
      </c>
      <c r="I80" s="630">
        <v>0</v>
      </c>
      <c r="J80" s="631">
        <v>5</v>
      </c>
      <c r="K80" s="609">
        <v>829</v>
      </c>
      <c r="L80" s="863">
        <v>0</v>
      </c>
      <c r="M80" s="403">
        <v>1443</v>
      </c>
      <c r="N80" s="624">
        <v>356</v>
      </c>
      <c r="O80" s="630">
        <v>468</v>
      </c>
      <c r="P80" s="728">
        <v>0</v>
      </c>
      <c r="Q80" s="729">
        <v>0</v>
      </c>
      <c r="R80" s="651">
        <f t="shared" si="2"/>
        <v>824</v>
      </c>
      <c r="T80" s="219"/>
    </row>
    <row r="81" spans="1:20" ht="15">
      <c r="A81" s="926"/>
      <c r="B81" s="920"/>
      <c r="C81" s="667">
        <v>45165</v>
      </c>
      <c r="D81" s="668">
        <v>45165</v>
      </c>
      <c r="E81" s="624">
        <v>167</v>
      </c>
      <c r="F81" s="630">
        <v>427</v>
      </c>
      <c r="G81" s="624">
        <v>402</v>
      </c>
      <c r="H81" s="609">
        <v>3</v>
      </c>
      <c r="I81" s="630">
        <v>38</v>
      </c>
      <c r="J81" s="631">
        <v>0</v>
      </c>
      <c r="K81" s="609">
        <v>548</v>
      </c>
      <c r="L81" s="863">
        <v>0</v>
      </c>
      <c r="M81" s="403">
        <v>991</v>
      </c>
      <c r="N81" s="624">
        <v>115</v>
      </c>
      <c r="O81" s="630">
        <v>72</v>
      </c>
      <c r="P81" s="728">
        <v>0</v>
      </c>
      <c r="Q81" s="729">
        <v>0</v>
      </c>
      <c r="R81" s="651">
        <f t="shared" si="2"/>
        <v>187</v>
      </c>
    </row>
    <row r="82" spans="1:20" ht="15">
      <c r="A82" s="926"/>
      <c r="B82" s="918">
        <v>36</v>
      </c>
      <c r="C82" s="379">
        <v>45166</v>
      </c>
      <c r="D82" s="380">
        <v>45169</v>
      </c>
      <c r="E82" s="624">
        <v>637</v>
      </c>
      <c r="F82" s="630">
        <v>1605</v>
      </c>
      <c r="G82" s="624">
        <v>1640</v>
      </c>
      <c r="H82" s="609">
        <v>32</v>
      </c>
      <c r="I82" s="630">
        <v>0</v>
      </c>
      <c r="J82" s="631">
        <v>71</v>
      </c>
      <c r="K82" s="609">
        <v>2542</v>
      </c>
      <c r="L82" s="863">
        <v>0</v>
      </c>
      <c r="M82" s="403">
        <v>4285</v>
      </c>
      <c r="N82" s="624">
        <v>53</v>
      </c>
      <c r="O82" s="630">
        <v>45</v>
      </c>
      <c r="P82" s="631">
        <v>0</v>
      </c>
      <c r="Q82" s="630">
        <v>0</v>
      </c>
      <c r="R82" s="403">
        <f t="shared" si="2"/>
        <v>98</v>
      </c>
      <c r="S82" s="217"/>
      <c r="T82" s="236"/>
    </row>
    <row r="83" spans="1:20" ht="15">
      <c r="A83" s="926"/>
      <c r="B83" s="919"/>
      <c r="C83" s="667">
        <v>45170</v>
      </c>
      <c r="D83" s="668">
        <v>45170</v>
      </c>
      <c r="E83" s="612">
        <v>135</v>
      </c>
      <c r="F83" s="613">
        <v>322</v>
      </c>
      <c r="G83" s="612">
        <v>426</v>
      </c>
      <c r="H83" s="603">
        <v>6</v>
      </c>
      <c r="I83" s="613">
        <v>0</v>
      </c>
      <c r="J83" s="614">
        <v>0</v>
      </c>
      <c r="K83" s="603">
        <v>667</v>
      </c>
      <c r="L83" s="862">
        <v>18</v>
      </c>
      <c r="M83" s="651">
        <v>1117</v>
      </c>
      <c r="N83" s="612">
        <v>28</v>
      </c>
      <c r="O83" s="613">
        <v>10</v>
      </c>
      <c r="P83" s="614">
        <v>0</v>
      </c>
      <c r="Q83" s="613">
        <v>0</v>
      </c>
      <c r="R83" s="651">
        <f t="shared" si="2"/>
        <v>38</v>
      </c>
    </row>
    <row r="84" spans="1:20" ht="15">
      <c r="A84" s="926"/>
      <c r="B84" s="919"/>
      <c r="C84" s="379">
        <v>45171</v>
      </c>
      <c r="D84" s="380">
        <v>45171</v>
      </c>
      <c r="E84" s="620">
        <v>327</v>
      </c>
      <c r="F84" s="621">
        <v>823</v>
      </c>
      <c r="G84" s="133">
        <v>871</v>
      </c>
      <c r="H84" s="529">
        <v>26</v>
      </c>
      <c r="I84" s="597">
        <v>0</v>
      </c>
      <c r="J84" s="412">
        <v>31</v>
      </c>
      <c r="K84" s="529">
        <v>1386</v>
      </c>
      <c r="L84" s="866">
        <v>10</v>
      </c>
      <c r="M84" s="402">
        <v>2324</v>
      </c>
      <c r="N84" s="133">
        <v>3</v>
      </c>
      <c r="O84" s="597">
        <v>8</v>
      </c>
      <c r="P84" s="412">
        <v>0</v>
      </c>
      <c r="Q84" s="597">
        <v>0</v>
      </c>
      <c r="R84" s="402">
        <f t="shared" si="2"/>
        <v>11</v>
      </c>
    </row>
    <row r="85" spans="1:20" ht="15">
      <c r="A85" s="927"/>
      <c r="B85" s="921"/>
      <c r="C85" s="383">
        <v>45172</v>
      </c>
      <c r="D85" s="384">
        <v>45173</v>
      </c>
      <c r="E85" s="617">
        <v>486</v>
      </c>
      <c r="F85" s="615">
        <v>1313</v>
      </c>
      <c r="G85" s="524">
        <v>1434</v>
      </c>
      <c r="H85" s="525">
        <v>21</v>
      </c>
      <c r="I85" s="526">
        <v>0</v>
      </c>
      <c r="J85" s="527">
        <v>11</v>
      </c>
      <c r="K85" s="525">
        <v>1633</v>
      </c>
      <c r="L85" s="867">
        <v>30</v>
      </c>
      <c r="M85" s="528">
        <v>3129</v>
      </c>
      <c r="N85" s="524">
        <v>20</v>
      </c>
      <c r="O85" s="526">
        <v>5</v>
      </c>
      <c r="P85" s="527">
        <v>0</v>
      </c>
      <c r="Q85" s="526">
        <v>0</v>
      </c>
      <c r="R85" s="528">
        <f t="shared" si="2"/>
        <v>25</v>
      </c>
    </row>
    <row r="86" spans="1:20" ht="15">
      <c r="A86" s="925" t="s">
        <v>97</v>
      </c>
      <c r="B86" s="922">
        <v>37</v>
      </c>
      <c r="C86" s="379">
        <v>45174</v>
      </c>
      <c r="D86" s="380">
        <v>45176</v>
      </c>
      <c r="E86" s="620">
        <v>501</v>
      </c>
      <c r="F86" s="621">
        <v>1185</v>
      </c>
      <c r="G86" s="620">
        <v>1499</v>
      </c>
      <c r="H86" s="610">
        <v>0</v>
      </c>
      <c r="I86" s="621">
        <v>14</v>
      </c>
      <c r="J86" s="632">
        <v>28</v>
      </c>
      <c r="K86" s="610">
        <v>2087</v>
      </c>
      <c r="L86" s="864">
        <v>255</v>
      </c>
      <c r="M86" s="256">
        <v>3883</v>
      </c>
      <c r="N86" s="620">
        <v>106</v>
      </c>
      <c r="O86" s="621">
        <v>14</v>
      </c>
      <c r="P86" s="632">
        <v>0</v>
      </c>
      <c r="Q86" s="621">
        <v>0</v>
      </c>
      <c r="R86" s="256">
        <f t="shared" si="2"/>
        <v>120</v>
      </c>
    </row>
    <row r="87" spans="1:20" ht="15">
      <c r="A87" s="926"/>
      <c r="B87" s="919"/>
      <c r="C87" s="667">
        <v>45177</v>
      </c>
      <c r="D87" s="668">
        <v>45177</v>
      </c>
      <c r="E87" s="624">
        <v>159</v>
      </c>
      <c r="F87" s="630">
        <v>366</v>
      </c>
      <c r="G87" s="624">
        <v>286</v>
      </c>
      <c r="H87" s="609">
        <v>0</v>
      </c>
      <c r="I87" s="630">
        <v>0</v>
      </c>
      <c r="J87" s="631">
        <v>12</v>
      </c>
      <c r="K87" s="609">
        <v>626</v>
      </c>
      <c r="L87" s="863">
        <v>29</v>
      </c>
      <c r="M87" s="403">
        <v>953</v>
      </c>
      <c r="N87" s="624">
        <v>41</v>
      </c>
      <c r="O87" s="630">
        <v>6</v>
      </c>
      <c r="P87" s="631">
        <v>0</v>
      </c>
      <c r="Q87" s="630">
        <v>0</v>
      </c>
      <c r="R87" s="403">
        <f t="shared" si="2"/>
        <v>47</v>
      </c>
    </row>
    <row r="88" spans="1:20" ht="15">
      <c r="A88" s="926"/>
      <c r="B88" s="919"/>
      <c r="C88" s="667">
        <v>45178</v>
      </c>
      <c r="D88" s="668">
        <v>45178</v>
      </c>
      <c r="E88" s="624">
        <v>189</v>
      </c>
      <c r="F88" s="630">
        <v>493</v>
      </c>
      <c r="G88" s="624">
        <v>491</v>
      </c>
      <c r="H88" s="609">
        <v>30</v>
      </c>
      <c r="I88" s="630">
        <v>0</v>
      </c>
      <c r="J88" s="631">
        <v>94</v>
      </c>
      <c r="K88" s="609">
        <v>776</v>
      </c>
      <c r="L88" s="863">
        <v>73</v>
      </c>
      <c r="M88" s="403">
        <v>1464</v>
      </c>
      <c r="N88" s="624">
        <v>11</v>
      </c>
      <c r="O88" s="630">
        <v>40</v>
      </c>
      <c r="P88" s="631">
        <v>0</v>
      </c>
      <c r="Q88" s="630">
        <v>0</v>
      </c>
      <c r="R88" s="403">
        <f t="shared" si="2"/>
        <v>51</v>
      </c>
    </row>
    <row r="89" spans="1:20" ht="15">
      <c r="A89" s="926"/>
      <c r="B89" s="920"/>
      <c r="C89" s="667">
        <v>45179</v>
      </c>
      <c r="D89" s="668">
        <v>45179</v>
      </c>
      <c r="E89" s="624">
        <v>245</v>
      </c>
      <c r="F89" s="630">
        <v>608</v>
      </c>
      <c r="G89" s="624">
        <v>426</v>
      </c>
      <c r="H89" s="609">
        <v>0</v>
      </c>
      <c r="I89" s="630">
        <v>0</v>
      </c>
      <c r="J89" s="631">
        <v>67</v>
      </c>
      <c r="K89" s="609">
        <v>658</v>
      </c>
      <c r="L89" s="863">
        <v>20</v>
      </c>
      <c r="M89" s="403">
        <v>1171</v>
      </c>
      <c r="N89" s="624">
        <v>6</v>
      </c>
      <c r="O89" s="630">
        <v>6</v>
      </c>
      <c r="P89" s="631">
        <v>0</v>
      </c>
      <c r="Q89" s="630">
        <v>0</v>
      </c>
      <c r="R89" s="403">
        <f t="shared" si="2"/>
        <v>12</v>
      </c>
    </row>
    <row r="90" spans="1:20" ht="15">
      <c r="A90" s="926"/>
      <c r="B90" s="918">
        <v>38</v>
      </c>
      <c r="C90" s="667">
        <v>45180</v>
      </c>
      <c r="D90" s="668">
        <v>45183</v>
      </c>
      <c r="E90" s="624">
        <v>547</v>
      </c>
      <c r="F90" s="630">
        <v>1336</v>
      </c>
      <c r="G90" s="624">
        <v>1417</v>
      </c>
      <c r="H90" s="609">
        <v>9</v>
      </c>
      <c r="I90" s="630">
        <v>0</v>
      </c>
      <c r="J90" s="631">
        <v>88</v>
      </c>
      <c r="K90" s="609">
        <v>2286</v>
      </c>
      <c r="L90" s="863">
        <v>65</v>
      </c>
      <c r="M90" s="403">
        <v>3865</v>
      </c>
      <c r="N90" s="624">
        <v>9</v>
      </c>
      <c r="O90" s="630">
        <v>14</v>
      </c>
      <c r="P90" s="631">
        <v>0</v>
      </c>
      <c r="Q90" s="630">
        <v>0</v>
      </c>
      <c r="R90" s="403">
        <f t="shared" ref="R90:R97" si="3">SUM(N90:Q90)</f>
        <v>23</v>
      </c>
    </row>
    <row r="91" spans="1:20" ht="15">
      <c r="A91" s="926"/>
      <c r="B91" s="919"/>
      <c r="C91" s="667">
        <v>45184</v>
      </c>
      <c r="D91" s="668">
        <v>45184</v>
      </c>
      <c r="E91" s="624">
        <v>246</v>
      </c>
      <c r="F91" s="630">
        <v>616</v>
      </c>
      <c r="G91" s="624">
        <v>406</v>
      </c>
      <c r="H91" s="609">
        <v>3</v>
      </c>
      <c r="I91" s="630">
        <v>0</v>
      </c>
      <c r="J91" s="631">
        <v>28</v>
      </c>
      <c r="K91" s="609">
        <v>789</v>
      </c>
      <c r="L91" s="863">
        <v>277</v>
      </c>
      <c r="M91" s="403">
        <v>1503</v>
      </c>
      <c r="N91" s="624">
        <v>0</v>
      </c>
      <c r="O91" s="630">
        <v>0</v>
      </c>
      <c r="P91" s="631">
        <v>0</v>
      </c>
      <c r="Q91" s="630">
        <v>0</v>
      </c>
      <c r="R91" s="403">
        <f t="shared" si="3"/>
        <v>0</v>
      </c>
    </row>
    <row r="92" spans="1:20" ht="15">
      <c r="A92" s="926"/>
      <c r="B92" s="919"/>
      <c r="C92" s="667">
        <v>45185</v>
      </c>
      <c r="D92" s="668">
        <v>45185</v>
      </c>
      <c r="E92" s="624">
        <v>269</v>
      </c>
      <c r="F92" s="630">
        <v>813</v>
      </c>
      <c r="G92" s="624">
        <v>370</v>
      </c>
      <c r="H92" s="609">
        <v>0</v>
      </c>
      <c r="I92" s="630">
        <v>0</v>
      </c>
      <c r="J92" s="631">
        <v>53</v>
      </c>
      <c r="K92" s="609">
        <v>626</v>
      </c>
      <c r="L92" s="863">
        <v>43</v>
      </c>
      <c r="M92" s="403">
        <v>1092</v>
      </c>
      <c r="N92" s="624">
        <v>0</v>
      </c>
      <c r="O92" s="630">
        <v>0</v>
      </c>
      <c r="P92" s="631">
        <v>0</v>
      </c>
      <c r="Q92" s="630">
        <v>0</v>
      </c>
      <c r="R92" s="403">
        <f t="shared" si="3"/>
        <v>0</v>
      </c>
    </row>
    <row r="93" spans="1:20" ht="15">
      <c r="A93" s="926"/>
      <c r="B93" s="920"/>
      <c r="C93" s="667">
        <v>45186</v>
      </c>
      <c r="D93" s="668">
        <v>45186</v>
      </c>
      <c r="E93" s="624">
        <v>167</v>
      </c>
      <c r="F93" s="630">
        <v>438</v>
      </c>
      <c r="G93" s="624">
        <v>352</v>
      </c>
      <c r="H93" s="609">
        <v>0</v>
      </c>
      <c r="I93" s="630">
        <v>0</v>
      </c>
      <c r="J93" s="631">
        <v>6</v>
      </c>
      <c r="K93" s="609">
        <v>410</v>
      </c>
      <c r="L93" s="863">
        <v>147</v>
      </c>
      <c r="M93" s="403">
        <v>915</v>
      </c>
      <c r="N93" s="624">
        <v>0</v>
      </c>
      <c r="O93" s="630">
        <v>0</v>
      </c>
      <c r="P93" s="631">
        <v>0</v>
      </c>
      <c r="Q93" s="630">
        <v>0</v>
      </c>
      <c r="R93" s="403">
        <f t="shared" si="3"/>
        <v>0</v>
      </c>
    </row>
    <row r="94" spans="1:20" ht="15">
      <c r="A94" s="926"/>
      <c r="B94" s="918">
        <v>39</v>
      </c>
      <c r="C94" s="381">
        <v>45187</v>
      </c>
      <c r="D94" s="382">
        <v>45190</v>
      </c>
      <c r="E94" s="624">
        <v>436</v>
      </c>
      <c r="F94" s="630">
        <v>1041</v>
      </c>
      <c r="G94" s="624">
        <v>901</v>
      </c>
      <c r="H94" s="609">
        <v>0</v>
      </c>
      <c r="I94" s="630">
        <v>0</v>
      </c>
      <c r="J94" s="631">
        <v>109</v>
      </c>
      <c r="K94" s="609">
        <v>986</v>
      </c>
      <c r="L94" s="863">
        <v>102</v>
      </c>
      <c r="M94" s="403">
        <v>2098</v>
      </c>
      <c r="N94" s="624">
        <v>0</v>
      </c>
      <c r="O94" s="630">
        <v>0</v>
      </c>
      <c r="P94" s="631">
        <v>0</v>
      </c>
      <c r="Q94" s="630">
        <v>0</v>
      </c>
      <c r="R94" s="403">
        <f t="shared" si="3"/>
        <v>0</v>
      </c>
    </row>
    <row r="95" spans="1:20" ht="15">
      <c r="A95" s="926"/>
      <c r="B95" s="919"/>
      <c r="C95" s="381">
        <v>45191</v>
      </c>
      <c r="D95" s="382">
        <v>45191</v>
      </c>
      <c r="E95" s="624">
        <v>138</v>
      </c>
      <c r="F95" s="630">
        <v>343</v>
      </c>
      <c r="G95" s="624">
        <v>232</v>
      </c>
      <c r="H95" s="609">
        <v>0</v>
      </c>
      <c r="I95" s="630">
        <v>0</v>
      </c>
      <c r="J95" s="631">
        <v>25</v>
      </c>
      <c r="K95" s="609">
        <v>698</v>
      </c>
      <c r="L95" s="863">
        <v>60</v>
      </c>
      <c r="M95" s="403">
        <v>1015</v>
      </c>
      <c r="N95" s="624">
        <v>0</v>
      </c>
      <c r="O95" s="630">
        <v>0</v>
      </c>
      <c r="P95" s="631">
        <v>0</v>
      </c>
      <c r="Q95" s="630">
        <v>0</v>
      </c>
      <c r="R95" s="403">
        <f t="shared" si="3"/>
        <v>0</v>
      </c>
    </row>
    <row r="96" spans="1:20" ht="15">
      <c r="A96" s="926"/>
      <c r="B96" s="919"/>
      <c r="C96" s="381">
        <v>45192</v>
      </c>
      <c r="D96" s="382">
        <v>45192</v>
      </c>
      <c r="E96" s="624">
        <v>161</v>
      </c>
      <c r="F96" s="630">
        <v>476</v>
      </c>
      <c r="G96" s="624">
        <v>246</v>
      </c>
      <c r="H96" s="609">
        <v>0</v>
      </c>
      <c r="I96" s="630">
        <v>0</v>
      </c>
      <c r="J96" s="631">
        <v>2</v>
      </c>
      <c r="K96" s="609">
        <v>534</v>
      </c>
      <c r="L96" s="863">
        <v>36</v>
      </c>
      <c r="M96" s="403">
        <v>818</v>
      </c>
      <c r="N96" s="624">
        <v>0</v>
      </c>
      <c r="O96" s="630">
        <v>0</v>
      </c>
      <c r="P96" s="631">
        <v>0</v>
      </c>
      <c r="Q96" s="630">
        <v>0</v>
      </c>
      <c r="R96" s="403">
        <f t="shared" si="3"/>
        <v>0</v>
      </c>
    </row>
    <row r="97" spans="1:18" ht="15">
      <c r="A97" s="926"/>
      <c r="B97" s="920"/>
      <c r="C97" s="381">
        <v>45193</v>
      </c>
      <c r="D97" s="382">
        <v>45193</v>
      </c>
      <c r="E97" s="624">
        <v>44</v>
      </c>
      <c r="F97" s="630">
        <v>143</v>
      </c>
      <c r="G97" s="624">
        <v>68</v>
      </c>
      <c r="H97" s="609">
        <v>0</v>
      </c>
      <c r="I97" s="630">
        <v>0</v>
      </c>
      <c r="J97" s="631">
        <v>0</v>
      </c>
      <c r="K97" s="609">
        <v>78</v>
      </c>
      <c r="L97" s="863">
        <v>9</v>
      </c>
      <c r="M97" s="403">
        <v>155</v>
      </c>
      <c r="N97" s="624">
        <v>0</v>
      </c>
      <c r="O97" s="630">
        <v>0</v>
      </c>
      <c r="P97" s="631">
        <v>0</v>
      </c>
      <c r="Q97" s="630">
        <v>0</v>
      </c>
      <c r="R97" s="403">
        <f t="shared" si="3"/>
        <v>0</v>
      </c>
    </row>
    <row r="98" spans="1:18" ht="15">
      <c r="A98" s="926"/>
      <c r="B98" s="918">
        <v>40</v>
      </c>
      <c r="C98" s="381">
        <v>45194</v>
      </c>
      <c r="D98" s="382">
        <v>45197</v>
      </c>
      <c r="E98" s="624">
        <v>167</v>
      </c>
      <c r="F98" s="630">
        <v>352</v>
      </c>
      <c r="G98" s="624">
        <v>128</v>
      </c>
      <c r="H98" s="609">
        <v>0</v>
      </c>
      <c r="I98" s="630">
        <v>18</v>
      </c>
      <c r="J98" s="631">
        <v>0</v>
      </c>
      <c r="K98" s="609">
        <v>413</v>
      </c>
      <c r="L98" s="863">
        <v>5</v>
      </c>
      <c r="M98" s="403">
        <v>564</v>
      </c>
      <c r="N98" s="624">
        <v>0</v>
      </c>
      <c r="O98" s="630">
        <v>0</v>
      </c>
      <c r="P98" s="631">
        <v>0</v>
      </c>
      <c r="Q98" s="630">
        <v>0</v>
      </c>
      <c r="R98" s="403">
        <f t="shared" ref="R98:R102" si="4">SUM(N98:Q98)</f>
        <v>0</v>
      </c>
    </row>
    <row r="99" spans="1:18" ht="15">
      <c r="A99" s="926"/>
      <c r="B99" s="919"/>
      <c r="C99" s="381">
        <v>45198</v>
      </c>
      <c r="D99" s="382">
        <v>45198</v>
      </c>
      <c r="E99" s="624">
        <v>81</v>
      </c>
      <c r="F99" s="630">
        <v>190</v>
      </c>
      <c r="G99" s="624">
        <v>27</v>
      </c>
      <c r="H99" s="609">
        <v>0</v>
      </c>
      <c r="I99" s="630">
        <v>0</v>
      </c>
      <c r="J99" s="631">
        <v>45</v>
      </c>
      <c r="K99" s="609">
        <v>159</v>
      </c>
      <c r="L99" s="863">
        <v>60</v>
      </c>
      <c r="M99" s="403">
        <v>291</v>
      </c>
      <c r="N99" s="624">
        <v>0</v>
      </c>
      <c r="O99" s="630">
        <v>0</v>
      </c>
      <c r="P99" s="631">
        <v>0</v>
      </c>
      <c r="Q99" s="630">
        <v>0</v>
      </c>
      <c r="R99" s="403">
        <f t="shared" si="4"/>
        <v>0</v>
      </c>
    </row>
    <row r="100" spans="1:18" ht="15">
      <c r="A100" s="926"/>
      <c r="B100" s="919"/>
      <c r="C100" s="381">
        <v>45199</v>
      </c>
      <c r="D100" s="382">
        <v>45199</v>
      </c>
      <c r="E100" s="624">
        <v>103</v>
      </c>
      <c r="F100" s="630">
        <v>243</v>
      </c>
      <c r="G100" s="624">
        <v>34</v>
      </c>
      <c r="H100" s="609">
        <v>0</v>
      </c>
      <c r="I100" s="630">
        <v>0</v>
      </c>
      <c r="J100" s="631">
        <v>11</v>
      </c>
      <c r="K100" s="609">
        <v>87</v>
      </c>
      <c r="L100" s="863">
        <v>84</v>
      </c>
      <c r="M100" s="403">
        <v>216</v>
      </c>
      <c r="N100" s="624">
        <v>0</v>
      </c>
      <c r="O100" s="630">
        <v>0</v>
      </c>
      <c r="P100" s="631">
        <v>0</v>
      </c>
      <c r="Q100" s="630">
        <v>0</v>
      </c>
      <c r="R100" s="403">
        <f t="shared" si="4"/>
        <v>0</v>
      </c>
    </row>
    <row r="101" spans="1:18" ht="15.75" thickBot="1">
      <c r="A101" s="927"/>
      <c r="B101" s="921"/>
      <c r="C101" s="383">
        <v>45200</v>
      </c>
      <c r="D101" s="384">
        <v>45200</v>
      </c>
      <c r="E101" s="617">
        <v>337</v>
      </c>
      <c r="F101" s="615">
        <v>810</v>
      </c>
      <c r="G101" s="617">
        <v>77</v>
      </c>
      <c r="H101" s="604">
        <v>557</v>
      </c>
      <c r="I101" s="615">
        <v>0</v>
      </c>
      <c r="J101" s="616">
        <v>9</v>
      </c>
      <c r="K101" s="604">
        <v>15</v>
      </c>
      <c r="L101" s="865">
        <v>81</v>
      </c>
      <c r="M101" s="139">
        <f>SUM(G101:L101)</f>
        <v>739</v>
      </c>
      <c r="N101" s="617">
        <v>0</v>
      </c>
      <c r="O101" s="615">
        <v>0</v>
      </c>
      <c r="P101" s="616">
        <v>0</v>
      </c>
      <c r="Q101" s="615">
        <v>0</v>
      </c>
      <c r="R101" s="139">
        <f t="shared" si="4"/>
        <v>0</v>
      </c>
    </row>
    <row r="102" spans="1:18" ht="15">
      <c r="A102" s="925" t="s">
        <v>98</v>
      </c>
      <c r="B102" s="881">
        <v>41</v>
      </c>
      <c r="C102" s="440">
        <v>45201</v>
      </c>
      <c r="D102" s="441">
        <v>45207</v>
      </c>
      <c r="E102" s="620">
        <v>511</v>
      </c>
      <c r="F102" s="621">
        <v>1237</v>
      </c>
      <c r="G102" s="620">
        <v>216</v>
      </c>
      <c r="H102" s="610">
        <v>1204</v>
      </c>
      <c r="I102" s="621">
        <v>0</v>
      </c>
      <c r="J102" s="632">
        <v>146</v>
      </c>
      <c r="K102" s="610">
        <v>103</v>
      </c>
      <c r="L102" s="864">
        <v>521</v>
      </c>
      <c r="M102" s="256">
        <f>SUM(G102:L102)</f>
        <v>2190</v>
      </c>
      <c r="N102" s="620">
        <v>0</v>
      </c>
      <c r="O102" s="621">
        <v>0</v>
      </c>
      <c r="P102" s="632">
        <v>0</v>
      </c>
      <c r="Q102" s="621">
        <v>0</v>
      </c>
      <c r="R102" s="256">
        <f t="shared" si="4"/>
        <v>0</v>
      </c>
    </row>
    <row r="103" spans="1:18" ht="15.75" thickBot="1">
      <c r="A103" s="927"/>
      <c r="B103" s="882">
        <v>42</v>
      </c>
      <c r="C103" s="383">
        <v>45208</v>
      </c>
      <c r="D103" s="384">
        <v>45214</v>
      </c>
      <c r="E103" s="617">
        <v>256</v>
      </c>
      <c r="F103" s="615">
        <v>560</v>
      </c>
      <c r="G103" s="617">
        <v>88</v>
      </c>
      <c r="H103" s="604">
        <v>350</v>
      </c>
      <c r="I103" s="615">
        <v>0</v>
      </c>
      <c r="J103" s="616">
        <v>58</v>
      </c>
      <c r="K103" s="604">
        <v>72</v>
      </c>
      <c r="L103" s="865">
        <v>260</v>
      </c>
      <c r="M103" s="139">
        <f>SUM(G103:L103)</f>
        <v>828</v>
      </c>
      <c r="N103" s="617">
        <v>0</v>
      </c>
      <c r="O103" s="615">
        <v>0</v>
      </c>
      <c r="P103" s="616">
        <v>0</v>
      </c>
      <c r="Q103" s="615">
        <v>0</v>
      </c>
      <c r="R103" s="139">
        <v>0</v>
      </c>
    </row>
    <row r="104" spans="1:18" ht="15">
      <c r="A104" s="883" t="s">
        <v>71</v>
      </c>
      <c r="B104" s="884"/>
      <c r="C104" s="884"/>
      <c r="D104" s="884"/>
      <c r="E104" s="64">
        <f t="shared" ref="E104:Q104" si="5">SUM(E47:E103)</f>
        <v>13539</v>
      </c>
      <c r="F104" s="65">
        <f t="shared" si="5"/>
        <v>32830</v>
      </c>
      <c r="G104" s="64">
        <f t="shared" si="5"/>
        <v>15188</v>
      </c>
      <c r="H104" s="154">
        <f t="shared" si="5"/>
        <v>2320</v>
      </c>
      <c r="I104" s="66">
        <f t="shared" si="5"/>
        <v>74</v>
      </c>
      <c r="J104" s="65">
        <f t="shared" si="5"/>
        <v>1137</v>
      </c>
      <c r="K104" s="154">
        <f t="shared" si="5"/>
        <v>21853</v>
      </c>
      <c r="L104" s="868">
        <f t="shared" si="5"/>
        <v>2639</v>
      </c>
      <c r="M104" s="140">
        <f t="shared" si="5"/>
        <v>43211</v>
      </c>
      <c r="N104" s="64">
        <f t="shared" si="5"/>
        <v>4743</v>
      </c>
      <c r="O104" s="140">
        <f t="shared" si="5"/>
        <v>4833</v>
      </c>
      <c r="P104" s="65">
        <f t="shared" si="5"/>
        <v>4</v>
      </c>
      <c r="Q104" s="64">
        <f t="shared" si="5"/>
        <v>14</v>
      </c>
      <c r="R104" s="140">
        <f>SUM(R47:R103)</f>
        <v>9594</v>
      </c>
    </row>
    <row r="105" spans="1:18" ht="15">
      <c r="A105" s="877" t="s">
        <v>72</v>
      </c>
      <c r="B105" s="878"/>
      <c r="C105" s="878"/>
      <c r="D105" s="878"/>
      <c r="E105" s="647">
        <v>56772</v>
      </c>
      <c r="F105" s="648">
        <v>335930</v>
      </c>
      <c r="G105" s="647">
        <v>16231</v>
      </c>
      <c r="H105" s="648">
        <v>379059</v>
      </c>
      <c r="I105" s="633">
        <v>1071</v>
      </c>
      <c r="J105" s="641">
        <v>3801</v>
      </c>
      <c r="K105" s="648">
        <v>4480</v>
      </c>
      <c r="L105" s="869">
        <v>24444</v>
      </c>
      <c r="M105" s="637">
        <f>SUM(G105:L105)</f>
        <v>429086</v>
      </c>
      <c r="N105" s="647">
        <v>125618</v>
      </c>
      <c r="O105" s="633">
        <v>136545</v>
      </c>
      <c r="P105" s="641">
        <v>13</v>
      </c>
      <c r="Q105" s="633">
        <v>150</v>
      </c>
      <c r="R105" s="637">
        <f>SUM(N105:Q105)</f>
        <v>262326</v>
      </c>
    </row>
    <row r="106" spans="1:18" ht="15">
      <c r="A106" s="879" t="s">
        <v>73</v>
      </c>
      <c r="B106" s="880"/>
      <c r="C106" s="880"/>
      <c r="D106" s="880"/>
      <c r="E106" s="650">
        <v>238</v>
      </c>
      <c r="F106" s="653">
        <v>580</v>
      </c>
      <c r="G106" s="636">
        <v>127</v>
      </c>
      <c r="H106" s="330">
        <v>616</v>
      </c>
      <c r="I106" s="331">
        <f t="shared" ref="I106:Q106" si="6">SQRT(I105)</f>
        <v>32.726136343907143</v>
      </c>
      <c r="J106" s="642">
        <v>62</v>
      </c>
      <c r="K106" s="330">
        <v>67</v>
      </c>
      <c r="L106" s="870">
        <v>156</v>
      </c>
      <c r="M106" s="643">
        <f t="shared" si="6"/>
        <v>655.04656323043173</v>
      </c>
      <c r="N106" s="636">
        <f t="shared" si="6"/>
        <v>354.42629699275983</v>
      </c>
      <c r="O106" s="645">
        <f t="shared" si="6"/>
        <v>369.51995886555301</v>
      </c>
      <c r="P106" s="642">
        <f t="shared" si="6"/>
        <v>3.6055512754639891</v>
      </c>
      <c r="Q106" s="642">
        <f t="shared" si="6"/>
        <v>12.24744871391589</v>
      </c>
      <c r="R106" s="643">
        <f>SQRT(R105)</f>
        <v>512.17770353657534</v>
      </c>
    </row>
    <row r="107" spans="1:18" ht="15">
      <c r="A107" s="879" t="s">
        <v>74</v>
      </c>
      <c r="B107" s="880"/>
      <c r="C107" s="880"/>
      <c r="D107" s="880"/>
      <c r="E107" s="656">
        <v>0.216</v>
      </c>
      <c r="F107" s="657">
        <v>0.222</v>
      </c>
      <c r="G107" s="634">
        <v>1</v>
      </c>
      <c r="H107" s="156">
        <v>0.87</v>
      </c>
      <c r="I107" s="94">
        <f t="shared" ref="I107:Q107" si="7">I106/I104</f>
        <v>0.44224508572847493</v>
      </c>
      <c r="J107" s="640">
        <v>0.87</v>
      </c>
      <c r="K107" s="156">
        <v>1.06</v>
      </c>
      <c r="L107" s="871">
        <v>0.54</v>
      </c>
      <c r="M107" s="638">
        <f t="shared" si="7"/>
        <v>1.5159254894134172E-2</v>
      </c>
      <c r="N107" s="634">
        <f t="shared" si="7"/>
        <v>7.472618532421671E-2</v>
      </c>
      <c r="O107" s="635">
        <f t="shared" si="7"/>
        <v>7.6457678225854128E-2</v>
      </c>
      <c r="P107" s="640">
        <f t="shared" si="7"/>
        <v>0.90138781886599728</v>
      </c>
      <c r="Q107" s="640">
        <f t="shared" si="7"/>
        <v>0.87481776527970645</v>
      </c>
      <c r="R107" s="638">
        <f>R106/R104</f>
        <v>5.3385209874564868E-2</v>
      </c>
    </row>
    <row r="108" spans="1:18" ht="15">
      <c r="A108" s="885" t="s">
        <v>75</v>
      </c>
      <c r="B108" s="886"/>
      <c r="C108" s="886"/>
      <c r="D108" s="886"/>
      <c r="E108" s="654" t="s">
        <v>99</v>
      </c>
      <c r="F108" s="655" t="s">
        <v>100</v>
      </c>
      <c r="G108" s="649" t="s">
        <v>101</v>
      </c>
      <c r="H108" s="652" t="s">
        <v>102</v>
      </c>
      <c r="I108" s="658" t="str">
        <f t="shared" ref="I108:Q108" si="8">CONCATENATE(TEXT(ROUND(I104-1.96*SQRT(I105),0),"#,###"),"-",TEXT(ROUND(I104+1.96*SQRT(I105),0),"#,###"))</f>
        <v>10-138</v>
      </c>
      <c r="J108" s="644" t="s">
        <v>103</v>
      </c>
      <c r="K108" s="652" t="s">
        <v>104</v>
      </c>
      <c r="L108" s="872" t="s">
        <v>105</v>
      </c>
      <c r="M108" s="639" t="str">
        <f t="shared" si="8"/>
        <v>41,927-44,495</v>
      </c>
      <c r="N108" s="649" t="str">
        <f t="shared" si="8"/>
        <v>4,048-5,438</v>
      </c>
      <c r="O108" s="646" t="str">
        <f t="shared" si="8"/>
        <v>4,109-5,557</v>
      </c>
      <c r="P108" s="644" t="str">
        <f t="shared" si="8"/>
        <v>-3-11</v>
      </c>
      <c r="Q108" s="644" t="str">
        <f t="shared" si="8"/>
        <v>-10-38</v>
      </c>
      <c r="R108" s="639" t="str">
        <f>CONCATENATE(TEXT(ROUND(R104-1.96*SQRT(R105),0),"#,###"),"-",TEXT(ROUND(R104+1.96*SQRT(R105),0),"#,###"))</f>
        <v>8,590-10,598</v>
      </c>
    </row>
    <row r="109" spans="1:18" ht="14.25">
      <c r="A109" s="888" t="s">
        <v>83</v>
      </c>
      <c r="B109" s="889"/>
      <c r="C109" s="889"/>
      <c r="D109" s="889"/>
      <c r="E109" s="889"/>
      <c r="F109" s="889"/>
      <c r="G109" s="889"/>
      <c r="H109" s="889"/>
      <c r="I109" s="889"/>
      <c r="J109" s="889"/>
      <c r="K109" s="890"/>
    </row>
  </sheetData>
  <mergeCells count="60">
    <mergeCell ref="R45:R46"/>
    <mergeCell ref="N44:R44"/>
    <mergeCell ref="N45:N46"/>
    <mergeCell ref="O45:O46"/>
    <mergeCell ref="P45:P46"/>
    <mergeCell ref="Q45:Q46"/>
    <mergeCell ref="G45:I45"/>
    <mergeCell ref="J45:L45"/>
    <mergeCell ref="M45:M46"/>
    <mergeCell ref="A102:A103"/>
    <mergeCell ref="B65:B68"/>
    <mergeCell ref="B69:B72"/>
    <mergeCell ref="B73:B77"/>
    <mergeCell ref="B78:B81"/>
    <mergeCell ref="B82:B85"/>
    <mergeCell ref="A65:A85"/>
    <mergeCell ref="A86:A101"/>
    <mergeCell ref="B86:B89"/>
    <mergeCell ref="B90:B93"/>
    <mergeCell ref="B94:B97"/>
    <mergeCell ref="B98:B101"/>
    <mergeCell ref="A38:D38"/>
    <mergeCell ref="A39:K39"/>
    <mergeCell ref="A40:K40"/>
    <mergeCell ref="A1:K1"/>
    <mergeCell ref="A47:A64"/>
    <mergeCell ref="B47:B48"/>
    <mergeCell ref="B49:B52"/>
    <mergeCell ref="B53:B56"/>
    <mergeCell ref="B57:B60"/>
    <mergeCell ref="B61:B64"/>
    <mergeCell ref="G44:M44"/>
    <mergeCell ref="A45:A46"/>
    <mergeCell ref="B45:B46"/>
    <mergeCell ref="C45:C46"/>
    <mergeCell ref="D45:D46"/>
    <mergeCell ref="E45:F45"/>
    <mergeCell ref="A35:D35"/>
    <mergeCell ref="A36:D36"/>
    <mergeCell ref="A37:D37"/>
    <mergeCell ref="B17:B20"/>
    <mergeCell ref="B21:B24"/>
    <mergeCell ref="B25:B28"/>
    <mergeCell ref="B29:B32"/>
    <mergeCell ref="A34:D34"/>
    <mergeCell ref="A25:A33"/>
    <mergeCell ref="A7:A24"/>
    <mergeCell ref="B7:B8"/>
    <mergeCell ref="B9:B12"/>
    <mergeCell ref="B13:B16"/>
    <mergeCell ref="A2:K2"/>
    <mergeCell ref="G4:K4"/>
    <mergeCell ref="A5:A6"/>
    <mergeCell ref="B5:B6"/>
    <mergeCell ref="C5:C6"/>
    <mergeCell ref="D5:D6"/>
    <mergeCell ref="E5:F5"/>
    <mergeCell ref="G5:H5"/>
    <mergeCell ref="I5:J5"/>
    <mergeCell ref="K5:K6"/>
  </mergeCells>
  <pageMargins left="0.75" right="0.75" top="1" bottom="1" header="0.5" footer="0.5"/>
  <pageSetup scale="4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1"/>
  <sheetViews>
    <sheetView workbookViewId="0">
      <selection sqref="A1:I1"/>
    </sheetView>
  </sheetViews>
  <sheetFormatPr defaultColWidth="8.83203125" defaultRowHeight="12.75"/>
  <cols>
    <col min="1" max="1" width="13.83203125" style="33" bestFit="1" customWidth="1"/>
    <col min="2" max="2" width="22.83203125" style="33" customWidth="1"/>
    <col min="3" max="3" width="14.83203125" style="33" customWidth="1"/>
    <col min="4" max="7" width="10.5" style="33" customWidth="1"/>
    <col min="8" max="8" width="12.33203125" style="33" customWidth="1"/>
    <col min="9" max="9" width="11.1640625" style="33" customWidth="1"/>
    <col min="10" max="10" width="14.1640625" style="33" customWidth="1"/>
    <col min="11" max="11" width="26.83203125" style="33" customWidth="1"/>
    <col min="12" max="13" width="8.83203125" style="33"/>
    <col min="14" max="14" width="11.83203125" style="33" customWidth="1"/>
    <col min="15" max="15" width="11.6640625" style="33" customWidth="1"/>
    <col min="16" max="16384" width="8.83203125" style="33"/>
  </cols>
  <sheetData>
    <row r="1" spans="1:9">
      <c r="A1" s="991" t="s">
        <v>106</v>
      </c>
      <c r="B1" s="991"/>
      <c r="C1" s="991"/>
      <c r="D1" s="991"/>
      <c r="E1" s="991"/>
      <c r="F1" s="991"/>
      <c r="G1" s="991"/>
      <c r="H1" s="991"/>
      <c r="I1" s="991"/>
    </row>
    <row r="2" spans="1:9">
      <c r="A2" s="991" t="s">
        <v>107</v>
      </c>
      <c r="B2" s="991"/>
      <c r="C2" s="991"/>
      <c r="D2" s="991"/>
      <c r="E2" s="991"/>
      <c r="F2" s="991"/>
      <c r="G2" s="991"/>
      <c r="H2" s="991"/>
      <c r="I2" s="991"/>
    </row>
    <row r="3" spans="1:9" ht="13.5" thickBot="1">
      <c r="A3" s="24"/>
      <c r="B3" s="24"/>
      <c r="C3" s="24"/>
      <c r="D3" s="24"/>
      <c r="E3" s="24"/>
      <c r="F3" s="24"/>
      <c r="G3" s="24"/>
      <c r="H3" s="24"/>
      <c r="I3" s="24"/>
    </row>
    <row r="4" spans="1:9" ht="12.6" customHeight="1">
      <c r="A4" s="999" t="s">
        <v>108</v>
      </c>
      <c r="B4" s="1000"/>
      <c r="C4" s="1000"/>
      <c r="D4" s="1000"/>
      <c r="E4" s="1000"/>
      <c r="F4" s="1000"/>
      <c r="G4" s="1000"/>
      <c r="H4" s="1000"/>
      <c r="I4" s="1001"/>
    </row>
    <row r="5" spans="1:9" ht="22.9" customHeight="1" thickBot="1">
      <c r="A5" s="1002"/>
      <c r="B5" s="1003"/>
      <c r="C5" s="1003"/>
      <c r="D5" s="1003"/>
      <c r="E5" s="1003"/>
      <c r="F5" s="1003"/>
      <c r="G5" s="1003"/>
      <c r="H5" s="1003"/>
      <c r="I5" s="1004"/>
    </row>
    <row r="6" spans="1:9" ht="15.6" customHeight="1">
      <c r="A6" s="967" t="s">
        <v>109</v>
      </c>
      <c r="B6" s="968"/>
      <c r="C6" s="973" t="s">
        <v>110</v>
      </c>
      <c r="D6" s="973"/>
      <c r="E6" s="973"/>
      <c r="F6" s="973"/>
      <c r="G6" s="974"/>
      <c r="H6" s="975" t="s">
        <v>111</v>
      </c>
      <c r="I6" s="978" t="s">
        <v>112</v>
      </c>
    </row>
    <row r="7" spans="1:9" ht="12.6" customHeight="1">
      <c r="A7" s="969"/>
      <c r="B7" s="970"/>
      <c r="C7" s="981" t="s">
        <v>113</v>
      </c>
      <c r="D7" s="948" t="s">
        <v>114</v>
      </c>
      <c r="E7" s="948" t="s">
        <v>115</v>
      </c>
      <c r="F7" s="950" t="s">
        <v>116</v>
      </c>
      <c r="G7" s="952" t="s">
        <v>117</v>
      </c>
      <c r="H7" s="976"/>
      <c r="I7" s="979"/>
    </row>
    <row r="8" spans="1:9" ht="13.15" customHeight="1" thickBot="1">
      <c r="A8" s="971"/>
      <c r="B8" s="972"/>
      <c r="C8" s="982"/>
      <c r="D8" s="949"/>
      <c r="E8" s="949"/>
      <c r="F8" s="951"/>
      <c r="G8" s="953"/>
      <c r="H8" s="977"/>
      <c r="I8" s="980"/>
    </row>
    <row r="9" spans="1:9" ht="40.9" customHeight="1" thickBot="1">
      <c r="A9" s="954" t="s">
        <v>118</v>
      </c>
      <c r="B9" s="955"/>
      <c r="C9" s="34">
        <v>2</v>
      </c>
      <c r="D9" s="35">
        <v>2</v>
      </c>
      <c r="E9" s="35">
        <v>0</v>
      </c>
      <c r="F9" s="36">
        <v>0</v>
      </c>
      <c r="G9" s="37">
        <f>SUM(C9:F9)</f>
        <v>4</v>
      </c>
      <c r="H9" s="38">
        <f>C9/(SUM(C9:D9))</f>
        <v>0.5</v>
      </c>
      <c r="I9" s="899">
        <f>SUM(C9,E9)/G9</f>
        <v>0.5</v>
      </c>
    </row>
    <row r="10" spans="1:9" ht="30.6" customHeight="1" thickBot="1">
      <c r="A10" s="956" t="s">
        <v>119</v>
      </c>
      <c r="B10" s="957"/>
      <c r="C10" s="39">
        <f>C9/G9</f>
        <v>0.5</v>
      </c>
      <c r="D10" s="40">
        <f>D9/G9</f>
        <v>0.5</v>
      </c>
      <c r="E10" s="40">
        <f>E9/G9</f>
        <v>0</v>
      </c>
      <c r="F10" s="41">
        <f>F9/G9</f>
        <v>0</v>
      </c>
      <c r="G10" s="899">
        <f>G9/G9</f>
        <v>1</v>
      </c>
      <c r="H10" s="983"/>
      <c r="I10" s="984"/>
    </row>
    <row r="11" spans="1:9" ht="12.6" customHeight="1">
      <c r="A11" s="958" t="s">
        <v>120</v>
      </c>
      <c r="B11" s="985"/>
      <c r="C11" s="985"/>
      <c r="D11" s="985"/>
      <c r="E11" s="985"/>
      <c r="F11" s="985"/>
      <c r="G11" s="985"/>
      <c r="H11" s="985"/>
      <c r="I11" s="986"/>
    </row>
    <row r="12" spans="1:9" ht="13.15" customHeight="1" thickBot="1">
      <c r="A12" s="987"/>
      <c r="B12" s="988"/>
      <c r="C12" s="988"/>
      <c r="D12" s="988"/>
      <c r="E12" s="988"/>
      <c r="F12" s="988"/>
      <c r="G12" s="988"/>
      <c r="H12" s="988"/>
      <c r="I12" s="989"/>
    </row>
    <row r="13" spans="1:9" ht="12.75" customHeight="1">
      <c r="A13" s="958" t="s">
        <v>121</v>
      </c>
      <c r="B13" s="985"/>
      <c r="C13" s="985"/>
      <c r="D13" s="985"/>
      <c r="E13" s="985"/>
      <c r="F13" s="985"/>
      <c r="G13" s="985"/>
      <c r="H13" s="985"/>
      <c r="I13" s="986"/>
    </row>
    <row r="14" spans="1:9" ht="12.6" customHeight="1">
      <c r="A14" s="992"/>
      <c r="B14" s="993"/>
      <c r="C14" s="993"/>
      <c r="D14" s="993"/>
      <c r="E14" s="993"/>
      <c r="F14" s="993"/>
      <c r="G14" s="993"/>
      <c r="H14" s="993"/>
      <c r="I14" s="994"/>
    </row>
    <row r="15" spans="1:9" ht="13.15" customHeight="1" thickBot="1">
      <c r="A15" s="995"/>
      <c r="B15" s="996"/>
      <c r="C15" s="996"/>
      <c r="D15" s="996"/>
      <c r="E15" s="996"/>
      <c r="F15" s="996"/>
      <c r="G15" s="996"/>
      <c r="H15" s="996"/>
      <c r="I15" s="997"/>
    </row>
    <row r="17" spans="1:9">
      <c r="A17" s="998" t="s">
        <v>122</v>
      </c>
      <c r="B17" s="998"/>
      <c r="C17" s="998"/>
      <c r="D17" s="998"/>
      <c r="E17" s="998"/>
      <c r="F17" s="998"/>
      <c r="G17" s="998"/>
      <c r="H17" s="998"/>
      <c r="I17" s="998"/>
    </row>
    <row r="18" spans="1:9">
      <c r="A18" s="998"/>
      <c r="B18" s="998"/>
      <c r="C18" s="998"/>
      <c r="D18" s="998"/>
      <c r="E18" s="998"/>
      <c r="F18" s="998"/>
      <c r="G18" s="998"/>
      <c r="H18" s="998"/>
      <c r="I18" s="998"/>
    </row>
    <row r="19" spans="1:9" ht="13.5" thickBot="1">
      <c r="A19" s="3"/>
      <c r="B19" s="3"/>
      <c r="C19" s="3"/>
      <c r="D19" s="3"/>
      <c r="E19" s="3"/>
      <c r="F19" s="3"/>
      <c r="G19" s="3"/>
      <c r="H19" s="3"/>
      <c r="I19" s="50"/>
    </row>
    <row r="20" spans="1:9" ht="14.25">
      <c r="A20" s="967" t="s">
        <v>109</v>
      </c>
      <c r="B20" s="968"/>
      <c r="C20" s="973" t="s">
        <v>110</v>
      </c>
      <c r="D20" s="973"/>
      <c r="E20" s="973"/>
      <c r="F20" s="973"/>
      <c r="G20" s="974"/>
      <c r="H20" s="975" t="s">
        <v>111</v>
      </c>
      <c r="I20" s="978" t="s">
        <v>112</v>
      </c>
    </row>
    <row r="21" spans="1:9">
      <c r="A21" s="969"/>
      <c r="B21" s="970"/>
      <c r="C21" s="981" t="s">
        <v>113</v>
      </c>
      <c r="D21" s="948" t="s">
        <v>114</v>
      </c>
      <c r="E21" s="948" t="s">
        <v>115</v>
      </c>
      <c r="F21" s="950" t="s">
        <v>116</v>
      </c>
      <c r="G21" s="952" t="s">
        <v>117</v>
      </c>
      <c r="H21" s="976"/>
      <c r="I21" s="979"/>
    </row>
    <row r="22" spans="1:9" ht="13.5" thickBot="1">
      <c r="A22" s="971"/>
      <c r="B22" s="972"/>
      <c r="C22" s="982"/>
      <c r="D22" s="949"/>
      <c r="E22" s="949"/>
      <c r="F22" s="951"/>
      <c r="G22" s="953"/>
      <c r="H22" s="977"/>
      <c r="I22" s="980"/>
    </row>
    <row r="23" spans="1:9" ht="31.5" customHeight="1" thickBot="1">
      <c r="A23" s="954" t="s">
        <v>123</v>
      </c>
      <c r="B23" s="955"/>
      <c r="C23" s="34">
        <v>39</v>
      </c>
      <c r="D23" s="35">
        <v>34</v>
      </c>
      <c r="E23" s="35">
        <v>112</v>
      </c>
      <c r="F23" s="36">
        <v>29</v>
      </c>
      <c r="G23" s="51">
        <f>SUM(C23:F23)</f>
        <v>214</v>
      </c>
      <c r="H23" s="38">
        <f>C23/(SUM(C23:D23))</f>
        <v>0.53424657534246578</v>
      </c>
      <c r="I23" s="899">
        <f>SUM(C23,E23)/G23</f>
        <v>0.70560747663551404</v>
      </c>
    </row>
    <row r="24" spans="1:9" ht="34.5" customHeight="1" thickBot="1">
      <c r="A24" s="956" t="s">
        <v>124</v>
      </c>
      <c r="B24" s="957"/>
      <c r="C24" s="39">
        <f>C23/$G$23</f>
        <v>0.1822429906542056</v>
      </c>
      <c r="D24" s="40">
        <f>D23/$G$23</f>
        <v>0.15887850467289719</v>
      </c>
      <c r="E24" s="40">
        <f>E23/$G$23</f>
        <v>0.52336448598130836</v>
      </c>
      <c r="F24" s="41">
        <f>F23/$G$23</f>
        <v>0.13551401869158877</v>
      </c>
      <c r="G24" s="899">
        <f>SUM(C24:F24)</f>
        <v>0.99999999999999989</v>
      </c>
      <c r="H24" s="943"/>
      <c r="I24" s="944"/>
    </row>
    <row r="25" spans="1:9" ht="33.75" customHeight="1" thickBot="1">
      <c r="A25" s="945" t="s">
        <v>120</v>
      </c>
      <c r="B25" s="946"/>
      <c r="C25" s="946"/>
      <c r="D25" s="946"/>
      <c r="E25" s="946"/>
      <c r="F25" s="946"/>
      <c r="G25" s="946"/>
      <c r="H25" s="946"/>
      <c r="I25" s="947"/>
    </row>
    <row r="27" spans="1:9">
      <c r="A27" s="213"/>
    </row>
    <row r="28" spans="1:9">
      <c r="A28" s="990" t="s">
        <v>125</v>
      </c>
      <c r="B28" s="991"/>
      <c r="C28" s="991"/>
      <c r="D28" s="991"/>
      <c r="E28" s="991"/>
      <c r="F28" s="991"/>
      <c r="G28" s="991"/>
      <c r="H28" s="991"/>
      <c r="I28" s="50"/>
    </row>
    <row r="29" spans="1:9" ht="13.5" thickBot="1">
      <c r="A29" s="286" t="s">
        <v>126</v>
      </c>
      <c r="B29" s="286"/>
      <c r="C29" s="286"/>
      <c r="D29" s="286"/>
      <c r="E29" s="286"/>
      <c r="F29" s="286"/>
      <c r="G29" s="286"/>
      <c r="H29" s="286"/>
      <c r="I29" s="286"/>
    </row>
    <row r="30" spans="1:9" ht="23.65" customHeight="1">
      <c r="A30" s="967" t="s">
        <v>109</v>
      </c>
      <c r="B30" s="968"/>
      <c r="C30" s="973" t="s">
        <v>110</v>
      </c>
      <c r="D30" s="973"/>
      <c r="E30" s="973"/>
      <c r="F30" s="973"/>
      <c r="G30" s="974"/>
      <c r="H30" s="975" t="s">
        <v>111</v>
      </c>
      <c r="I30" s="978" t="s">
        <v>112</v>
      </c>
    </row>
    <row r="31" spans="1:9" ht="23.65" customHeight="1">
      <c r="A31" s="969"/>
      <c r="B31" s="970"/>
      <c r="C31" s="981" t="s">
        <v>113</v>
      </c>
      <c r="D31" s="948" t="s">
        <v>114</v>
      </c>
      <c r="E31" s="948" t="s">
        <v>115</v>
      </c>
      <c r="F31" s="950" t="s">
        <v>116</v>
      </c>
      <c r="G31" s="952" t="s">
        <v>117</v>
      </c>
      <c r="H31" s="976"/>
      <c r="I31" s="979"/>
    </row>
    <row r="32" spans="1:9" ht="31.5" customHeight="1" thickBot="1">
      <c r="A32" s="971"/>
      <c r="B32" s="972"/>
      <c r="C32" s="982"/>
      <c r="D32" s="949"/>
      <c r="E32" s="949"/>
      <c r="F32" s="951"/>
      <c r="G32" s="953"/>
      <c r="H32" s="977"/>
      <c r="I32" s="980"/>
    </row>
    <row r="33" spans="1:9" ht="27.75" customHeight="1" thickBot="1">
      <c r="A33" s="954" t="s">
        <v>127</v>
      </c>
      <c r="B33" s="955"/>
      <c r="C33" s="250"/>
      <c r="D33" s="251"/>
      <c r="E33" s="252"/>
      <c r="F33" s="253"/>
      <c r="G33" s="285">
        <f>SUM(C33:F33)</f>
        <v>0</v>
      </c>
      <c r="H33" s="38" t="e">
        <f>C33/(SUM(C33:D33))</f>
        <v>#DIV/0!</v>
      </c>
      <c r="I33" s="38" t="e">
        <f>SUM(C33,E33)/G33</f>
        <v>#DIV/0!</v>
      </c>
    </row>
    <row r="34" spans="1:9" ht="22.5" customHeight="1" thickBot="1">
      <c r="A34" s="954" t="s">
        <v>128</v>
      </c>
      <c r="B34" s="955"/>
      <c r="C34" s="250"/>
      <c r="D34" s="251"/>
      <c r="E34" s="252"/>
      <c r="F34" s="253"/>
      <c r="G34" s="285">
        <f>SUM(C34:F34)</f>
        <v>0</v>
      </c>
      <c r="H34" s="38" t="e">
        <f>C34/(SUM(C34:D34))</f>
        <v>#DIV/0!</v>
      </c>
      <c r="I34" s="38" t="e">
        <f>SUM(C34,E34)/G34</f>
        <v>#DIV/0!</v>
      </c>
    </row>
    <row r="35" spans="1:9" ht="30" customHeight="1" thickBot="1">
      <c r="A35" s="954" t="s">
        <v>117</v>
      </c>
      <c r="B35" s="955"/>
      <c r="C35" s="250">
        <f>SUM(C33:C34)</f>
        <v>0</v>
      </c>
      <c r="D35" s="251">
        <f>SUM(D33:D34)</f>
        <v>0</v>
      </c>
      <c r="E35" s="252">
        <f>SUM(E33:E34)</f>
        <v>0</v>
      </c>
      <c r="F35" s="253">
        <f>SUM(F33:F34)</f>
        <v>0</v>
      </c>
      <c r="G35" s="285">
        <f>SUM(G33:G34)</f>
        <v>0</v>
      </c>
      <c r="H35" s="38" t="e">
        <f>C35/(SUM(C35:D35))</f>
        <v>#DIV/0!</v>
      </c>
      <c r="I35" s="38" t="e">
        <f>SUM(C35,E35)/G35</f>
        <v>#DIV/0!</v>
      </c>
    </row>
    <row r="36" spans="1:9" ht="30.75" customHeight="1" thickBot="1">
      <c r="A36" s="956" t="s">
        <v>129</v>
      </c>
      <c r="B36" s="957"/>
      <c r="C36" s="898" t="e">
        <f>C35/$G$35</f>
        <v>#DIV/0!</v>
      </c>
      <c r="D36" s="40" t="e">
        <f t="shared" ref="D36:F36" si="0">D35/$G$35</f>
        <v>#DIV/0!</v>
      </c>
      <c r="E36" s="40" t="e">
        <f t="shared" si="0"/>
        <v>#DIV/0!</v>
      </c>
      <c r="F36" s="41" t="e">
        <f t="shared" si="0"/>
        <v>#DIV/0!</v>
      </c>
      <c r="G36" s="899" t="e">
        <f>SUM(C36:F36)</f>
        <v>#DIV/0!</v>
      </c>
      <c r="H36" s="943"/>
      <c r="I36" s="944"/>
    </row>
    <row r="37" spans="1:9" ht="28.5" customHeight="1" thickBot="1">
      <c r="A37" s="956" t="s">
        <v>130</v>
      </c>
      <c r="B37" s="957"/>
      <c r="C37" s="280" t="e">
        <f>C36*0.89</f>
        <v>#DIV/0!</v>
      </c>
      <c r="D37" s="280" t="e">
        <f>D36</f>
        <v>#DIV/0!</v>
      </c>
      <c r="E37" s="280" t="e">
        <f>E36</f>
        <v>#DIV/0!</v>
      </c>
      <c r="F37" s="281" t="e">
        <f>F36 + (C36*0.11)</f>
        <v>#DIV/0!</v>
      </c>
      <c r="G37" s="899" t="e">
        <f>SUM(C37:F37)</f>
        <v>#DIV/0!</v>
      </c>
      <c r="H37" s="943"/>
      <c r="I37" s="944"/>
    </row>
    <row r="38" spans="1:9">
      <c r="A38" s="958" t="s">
        <v>120</v>
      </c>
      <c r="B38" s="959"/>
      <c r="C38" s="959"/>
      <c r="D38" s="959"/>
      <c r="E38" s="959"/>
      <c r="F38" s="959"/>
      <c r="G38" s="959"/>
      <c r="H38" s="959"/>
      <c r="I38" s="960"/>
    </row>
    <row r="39" spans="1:9" ht="13.5" thickBot="1">
      <c r="A39" s="961"/>
      <c r="B39" s="962"/>
      <c r="C39" s="962"/>
      <c r="D39" s="962"/>
      <c r="E39" s="962"/>
      <c r="F39" s="962"/>
      <c r="G39" s="962"/>
      <c r="H39" s="962"/>
      <c r="I39" s="963"/>
    </row>
    <row r="40" spans="1:9">
      <c r="A40" s="958" t="s">
        <v>131</v>
      </c>
      <c r="B40" s="959"/>
      <c r="C40" s="959"/>
      <c r="D40" s="959"/>
      <c r="E40" s="959"/>
      <c r="F40" s="959"/>
      <c r="G40" s="959"/>
      <c r="H40" s="959"/>
      <c r="I40" s="960"/>
    </row>
    <row r="41" spans="1:9" ht="13.5" thickBot="1">
      <c r="A41" s="964"/>
      <c r="B41" s="965"/>
      <c r="C41" s="965"/>
      <c r="D41" s="965"/>
      <c r="E41" s="965"/>
      <c r="F41" s="965"/>
      <c r="G41" s="965"/>
      <c r="H41" s="965"/>
      <c r="I41" s="966"/>
    </row>
  </sheetData>
  <mergeCells count="50">
    <mergeCell ref="A1:I1"/>
    <mergeCell ref="A2:I2"/>
    <mergeCell ref="F7:F8"/>
    <mergeCell ref="G7:G8"/>
    <mergeCell ref="A9:B9"/>
    <mergeCell ref="A4:I5"/>
    <mergeCell ref="A6:B8"/>
    <mergeCell ref="C6:G6"/>
    <mergeCell ref="H6:H8"/>
    <mergeCell ref="I6:I8"/>
    <mergeCell ref="C7:C8"/>
    <mergeCell ref="D7:D8"/>
    <mergeCell ref="E7:E8"/>
    <mergeCell ref="A10:B10"/>
    <mergeCell ref="H10:I10"/>
    <mergeCell ref="A11:I12"/>
    <mergeCell ref="A28:H28"/>
    <mergeCell ref="A37:B37"/>
    <mergeCell ref="H37:I37"/>
    <mergeCell ref="E31:E32"/>
    <mergeCell ref="F31:F32"/>
    <mergeCell ref="A13:I15"/>
    <mergeCell ref="A17:I18"/>
    <mergeCell ref="A20:B22"/>
    <mergeCell ref="C20:G20"/>
    <mergeCell ref="H20:H22"/>
    <mergeCell ref="I20:I22"/>
    <mergeCell ref="C21:C22"/>
    <mergeCell ref="D21:D22"/>
    <mergeCell ref="A38:I39"/>
    <mergeCell ref="A40:I41"/>
    <mergeCell ref="G31:G32"/>
    <mergeCell ref="A34:B34"/>
    <mergeCell ref="A35:B35"/>
    <mergeCell ref="A36:B36"/>
    <mergeCell ref="H36:I36"/>
    <mergeCell ref="A33:B33"/>
    <mergeCell ref="A30:B32"/>
    <mergeCell ref="C30:G30"/>
    <mergeCell ref="H30:H32"/>
    <mergeCell ref="I30:I32"/>
    <mergeCell ref="C31:C32"/>
    <mergeCell ref="D31:D32"/>
    <mergeCell ref="H24:I24"/>
    <mergeCell ref="A25:I25"/>
    <mergeCell ref="E21:E22"/>
    <mergeCell ref="F21:F22"/>
    <mergeCell ref="G21:G22"/>
    <mergeCell ref="A23:B23"/>
    <mergeCell ref="A24:B24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6E181-CB00-4F7F-A90B-9EED5417A72F}">
  <dimension ref="A1:X109"/>
  <sheetViews>
    <sheetView topLeftCell="F84" zoomScale="85" zoomScaleNormal="85" workbookViewId="0">
      <selection activeCell="A106" sqref="A106:D106"/>
    </sheetView>
  </sheetViews>
  <sheetFormatPr defaultColWidth="8.83203125" defaultRowHeight="12.75"/>
  <cols>
    <col min="1" max="1" width="13.33203125" style="33" customWidth="1"/>
    <col min="2" max="2" width="16.5" style="33" customWidth="1"/>
    <col min="3" max="3" width="12.83203125" style="33" customWidth="1"/>
    <col min="4" max="4" width="13.1640625" style="33" customWidth="1"/>
    <col min="5" max="5" width="18.5" style="33" customWidth="1"/>
    <col min="6" max="6" width="16.1640625" style="33" customWidth="1"/>
    <col min="7" max="7" width="16.33203125" style="33" customWidth="1"/>
    <col min="8" max="8" width="14.6640625" style="33" customWidth="1"/>
    <col min="9" max="9" width="16.1640625" style="33" customWidth="1"/>
    <col min="10" max="10" width="16" style="33" customWidth="1"/>
    <col min="11" max="11" width="17.33203125" style="33" customWidth="1"/>
    <col min="12" max="12" width="16" style="33" customWidth="1"/>
    <col min="13" max="13" width="16.1640625" style="33" customWidth="1"/>
    <col min="14" max="14" width="16.1640625" style="33" bestFit="1" customWidth="1"/>
    <col min="15" max="15" width="15.5" style="33" bestFit="1" customWidth="1"/>
    <col min="16" max="16" width="16.83203125" style="33" customWidth="1"/>
    <col min="17" max="17" width="14.1640625" style="33" customWidth="1"/>
    <col min="18" max="18" width="17.5" style="33" customWidth="1"/>
    <col min="19" max="19" width="17.33203125" style="33" customWidth="1"/>
    <col min="20" max="20" width="14.1640625" style="217" customWidth="1"/>
    <col min="21" max="24" width="14.1640625" style="33" customWidth="1"/>
    <col min="25" max="25" width="12.83203125" style="33" customWidth="1"/>
    <col min="26" max="29" width="14.1640625" style="33" customWidth="1"/>
    <col min="30" max="30" width="14.1640625" style="33" bestFit="1" customWidth="1"/>
    <col min="31" max="31" width="13.1640625" style="33" bestFit="1" customWidth="1"/>
    <col min="32" max="16384" width="8.83203125" style="33"/>
  </cols>
  <sheetData>
    <row r="1" spans="1:23" ht="15" customHeight="1">
      <c r="A1" s="902" t="s">
        <v>54</v>
      </c>
      <c r="B1" s="902"/>
      <c r="C1" s="902"/>
      <c r="D1" s="902"/>
      <c r="E1" s="902"/>
      <c r="F1" s="902"/>
      <c r="G1" s="902"/>
      <c r="H1" s="902"/>
      <c r="I1" s="902"/>
      <c r="J1" s="902"/>
      <c r="K1" s="902"/>
      <c r="L1" s="522"/>
      <c r="M1" s="522"/>
      <c r="N1" s="522"/>
      <c r="O1" s="522"/>
      <c r="P1" s="522"/>
      <c r="Q1" s="522"/>
      <c r="R1" s="522"/>
    </row>
    <row r="2" spans="1:23" ht="15.75">
      <c r="A2" s="902" t="s">
        <v>132</v>
      </c>
      <c r="B2" s="902"/>
      <c r="C2" s="902"/>
      <c r="D2" s="902"/>
      <c r="E2" s="902"/>
      <c r="F2" s="902"/>
      <c r="G2" s="902"/>
      <c r="H2" s="902"/>
      <c r="I2" s="902"/>
      <c r="J2" s="902"/>
      <c r="K2" s="902"/>
      <c r="L2" s="522"/>
      <c r="M2" s="522"/>
      <c r="N2" s="522"/>
      <c r="O2" s="522"/>
      <c r="P2" s="522"/>
      <c r="Q2" s="522"/>
      <c r="R2" s="522"/>
    </row>
    <row r="3" spans="1:23" ht="12.6" customHeight="1">
      <c r="A3" s="874"/>
      <c r="B3" s="874"/>
      <c r="C3" s="874"/>
      <c r="D3" s="874"/>
      <c r="E3" s="874"/>
      <c r="F3" s="874"/>
      <c r="G3" s="874"/>
      <c r="H3" s="874"/>
      <c r="I3" s="874"/>
      <c r="J3" s="874"/>
    </row>
    <row r="4" spans="1:23" ht="17.649999999999999" customHeight="1" thickBot="1">
      <c r="A4" s="42"/>
      <c r="B4" s="43"/>
      <c r="C4" s="43"/>
      <c r="D4" s="43"/>
      <c r="E4" s="43"/>
      <c r="F4" s="43"/>
      <c r="G4" s="903" t="s">
        <v>56</v>
      </c>
      <c r="H4" s="904"/>
      <c r="I4" s="904"/>
      <c r="J4" s="904"/>
      <c r="K4" s="905"/>
    </row>
    <row r="5" spans="1:23" ht="19.149999999999999" customHeight="1">
      <c r="A5" s="906" t="s">
        <v>57</v>
      </c>
      <c r="B5" s="906" t="s">
        <v>58</v>
      </c>
      <c r="C5" s="906" t="s">
        <v>59</v>
      </c>
      <c r="D5" s="908" t="s">
        <v>60</v>
      </c>
      <c r="E5" s="910" t="s">
        <v>61</v>
      </c>
      <c r="F5" s="911"/>
      <c r="G5" s="910" t="s">
        <v>62</v>
      </c>
      <c r="H5" s="911"/>
      <c r="I5" s="910" t="s">
        <v>63</v>
      </c>
      <c r="J5" s="911"/>
      <c r="K5" s="912" t="s">
        <v>64</v>
      </c>
      <c r="S5"/>
      <c r="T5"/>
      <c r="U5"/>
      <c r="V5"/>
      <c r="W5"/>
    </row>
    <row r="6" spans="1:23" ht="19.149999999999999" customHeight="1" thickBot="1">
      <c r="A6" s="907"/>
      <c r="B6" s="907"/>
      <c r="C6" s="907"/>
      <c r="D6" s="909"/>
      <c r="E6" s="44" t="s">
        <v>65</v>
      </c>
      <c r="F6" s="45" t="s">
        <v>66</v>
      </c>
      <c r="G6" s="44" t="s">
        <v>67</v>
      </c>
      <c r="H6" s="45" t="s">
        <v>68</v>
      </c>
      <c r="I6" s="46" t="s">
        <v>67</v>
      </c>
      <c r="J6" s="47" t="s">
        <v>68</v>
      </c>
      <c r="K6" s="913"/>
      <c r="S6"/>
      <c r="T6"/>
      <c r="U6"/>
      <c r="V6"/>
      <c r="W6"/>
    </row>
    <row r="7" spans="1:23" ht="15">
      <c r="A7" s="925" t="s">
        <v>69</v>
      </c>
      <c r="B7" s="922">
        <v>27</v>
      </c>
      <c r="C7" s="377">
        <v>45108</v>
      </c>
      <c r="D7" s="378">
        <v>45108</v>
      </c>
      <c r="E7" s="618">
        <v>79</v>
      </c>
      <c r="F7" s="600">
        <v>169</v>
      </c>
      <c r="G7" s="96">
        <v>127</v>
      </c>
      <c r="H7" s="76">
        <v>3</v>
      </c>
      <c r="I7" s="80">
        <v>183</v>
      </c>
      <c r="J7" s="600">
        <v>161</v>
      </c>
      <c r="K7" s="138">
        <v>473</v>
      </c>
      <c r="S7"/>
      <c r="T7"/>
      <c r="U7"/>
      <c r="V7"/>
      <c r="W7"/>
    </row>
    <row r="8" spans="1:23" ht="15">
      <c r="A8" s="926"/>
      <c r="B8" s="920"/>
      <c r="C8" s="379">
        <v>45109</v>
      </c>
      <c r="D8" s="380">
        <v>45109</v>
      </c>
      <c r="E8" s="619">
        <v>310</v>
      </c>
      <c r="F8" s="597">
        <v>663</v>
      </c>
      <c r="G8" s="133">
        <v>473</v>
      </c>
      <c r="H8" s="79">
        <v>0</v>
      </c>
      <c r="I8" s="78">
        <v>682</v>
      </c>
      <c r="J8" s="597">
        <v>611</v>
      </c>
      <c r="K8" s="726">
        <v>1766</v>
      </c>
      <c r="S8"/>
      <c r="T8"/>
      <c r="U8"/>
      <c r="V8"/>
      <c r="W8"/>
    </row>
    <row r="9" spans="1:23" ht="15">
      <c r="A9" s="926"/>
      <c r="B9" s="918">
        <v>28</v>
      </c>
      <c r="C9" s="379">
        <v>45110</v>
      </c>
      <c r="D9" s="380">
        <v>45113</v>
      </c>
      <c r="E9" s="619">
        <v>462</v>
      </c>
      <c r="F9" s="597">
        <v>970</v>
      </c>
      <c r="G9" s="133">
        <v>368</v>
      </c>
      <c r="H9" s="79">
        <v>5</v>
      </c>
      <c r="I9" s="78">
        <v>531</v>
      </c>
      <c r="J9" s="597">
        <v>471</v>
      </c>
      <c r="K9" s="726">
        <v>1376</v>
      </c>
      <c r="S9"/>
      <c r="T9"/>
      <c r="U9"/>
      <c r="V9"/>
      <c r="W9"/>
    </row>
    <row r="10" spans="1:23" ht="15">
      <c r="A10" s="926"/>
      <c r="B10" s="919"/>
      <c r="C10" s="379">
        <v>45114</v>
      </c>
      <c r="D10" s="380">
        <v>45114</v>
      </c>
      <c r="E10" s="619">
        <v>77</v>
      </c>
      <c r="F10" s="597">
        <v>157</v>
      </c>
      <c r="G10" s="133">
        <v>117</v>
      </c>
      <c r="H10" s="79">
        <v>3</v>
      </c>
      <c r="I10" s="78">
        <v>168</v>
      </c>
      <c r="J10" s="597">
        <v>148</v>
      </c>
      <c r="K10" s="726">
        <v>436</v>
      </c>
      <c r="S10"/>
      <c r="T10"/>
      <c r="U10"/>
      <c r="V10"/>
      <c r="W10"/>
    </row>
    <row r="11" spans="1:23" ht="15">
      <c r="A11" s="926"/>
      <c r="B11" s="919"/>
      <c r="C11" s="379">
        <v>45115</v>
      </c>
      <c r="D11" s="380">
        <v>45115</v>
      </c>
      <c r="E11" s="421">
        <v>172</v>
      </c>
      <c r="F11" s="613">
        <v>382</v>
      </c>
      <c r="G11" s="421">
        <v>157</v>
      </c>
      <c r="H11" s="77">
        <v>0</v>
      </c>
      <c r="I11" s="114">
        <v>226</v>
      </c>
      <c r="J11" s="77">
        <v>203</v>
      </c>
      <c r="K11" s="726">
        <v>585</v>
      </c>
      <c r="S11"/>
      <c r="T11"/>
      <c r="U11"/>
      <c r="V11"/>
      <c r="W11"/>
    </row>
    <row r="12" spans="1:23" ht="15">
      <c r="A12" s="926"/>
      <c r="B12" s="920"/>
      <c r="C12" s="379">
        <v>45116</v>
      </c>
      <c r="D12" s="380">
        <v>45116</v>
      </c>
      <c r="E12" s="421">
        <v>144</v>
      </c>
      <c r="F12" s="613">
        <v>307</v>
      </c>
      <c r="G12" s="421">
        <v>66</v>
      </c>
      <c r="H12" s="77">
        <v>0</v>
      </c>
      <c r="I12" s="114">
        <v>95</v>
      </c>
      <c r="J12" s="77">
        <v>86</v>
      </c>
      <c r="K12" s="726">
        <v>247</v>
      </c>
      <c r="S12"/>
      <c r="T12"/>
      <c r="U12"/>
      <c r="V12"/>
      <c r="W12"/>
    </row>
    <row r="13" spans="1:23" ht="15">
      <c r="A13" s="926"/>
      <c r="B13" s="919">
        <v>29</v>
      </c>
      <c r="C13" s="379">
        <v>45117</v>
      </c>
      <c r="D13" s="380">
        <v>45120</v>
      </c>
      <c r="E13" s="421">
        <v>428</v>
      </c>
      <c r="F13" s="613">
        <v>827</v>
      </c>
      <c r="G13" s="421">
        <v>288</v>
      </c>
      <c r="H13" s="77">
        <v>0</v>
      </c>
      <c r="I13" s="114">
        <v>416</v>
      </c>
      <c r="J13" s="77">
        <v>373</v>
      </c>
      <c r="K13" s="726">
        <v>1076</v>
      </c>
      <c r="S13"/>
      <c r="T13"/>
      <c r="U13"/>
      <c r="V13"/>
      <c r="W13"/>
    </row>
    <row r="14" spans="1:23" ht="15">
      <c r="A14" s="926"/>
      <c r="B14" s="919"/>
      <c r="C14" s="379">
        <v>45121</v>
      </c>
      <c r="D14" s="380">
        <v>45121</v>
      </c>
      <c r="E14" s="421">
        <v>126</v>
      </c>
      <c r="F14" s="613">
        <v>241</v>
      </c>
      <c r="G14" s="421">
        <v>79</v>
      </c>
      <c r="H14" s="77">
        <v>3</v>
      </c>
      <c r="I14" s="114">
        <v>113</v>
      </c>
      <c r="J14" s="77">
        <v>99</v>
      </c>
      <c r="K14" s="726">
        <v>294</v>
      </c>
      <c r="S14"/>
      <c r="T14"/>
      <c r="U14"/>
      <c r="V14"/>
      <c r="W14"/>
    </row>
    <row r="15" spans="1:23" ht="15">
      <c r="A15" s="926"/>
      <c r="B15" s="919"/>
      <c r="C15" s="379">
        <v>45122</v>
      </c>
      <c r="D15" s="380">
        <v>45122</v>
      </c>
      <c r="E15" s="421">
        <v>157</v>
      </c>
      <c r="F15" s="613">
        <v>336</v>
      </c>
      <c r="G15" s="421">
        <v>117</v>
      </c>
      <c r="H15" s="77">
        <v>0</v>
      </c>
      <c r="I15" s="114">
        <v>169</v>
      </c>
      <c r="J15" s="77">
        <v>152</v>
      </c>
      <c r="K15" s="726">
        <v>438</v>
      </c>
      <c r="S15"/>
      <c r="T15"/>
      <c r="U15"/>
      <c r="V15"/>
      <c r="W15"/>
    </row>
    <row r="16" spans="1:23" ht="15">
      <c r="A16" s="926"/>
      <c r="B16" s="920"/>
      <c r="C16" s="379">
        <v>45123</v>
      </c>
      <c r="D16" s="380">
        <v>45123</v>
      </c>
      <c r="E16" s="421">
        <v>57</v>
      </c>
      <c r="F16" s="613">
        <v>102</v>
      </c>
      <c r="G16" s="421">
        <v>49</v>
      </c>
      <c r="H16" s="77">
        <v>0</v>
      </c>
      <c r="I16" s="114">
        <v>71</v>
      </c>
      <c r="J16" s="77">
        <v>64</v>
      </c>
      <c r="K16" s="726">
        <v>184</v>
      </c>
      <c r="S16"/>
      <c r="T16"/>
      <c r="U16"/>
      <c r="V16"/>
      <c r="W16"/>
    </row>
    <row r="17" spans="1:23" ht="15">
      <c r="A17" s="926"/>
      <c r="B17" s="918">
        <v>30</v>
      </c>
      <c r="C17" s="379">
        <v>45124</v>
      </c>
      <c r="D17" s="380">
        <v>45127</v>
      </c>
      <c r="E17" s="421">
        <v>355</v>
      </c>
      <c r="F17" s="613">
        <v>674</v>
      </c>
      <c r="G17" s="421">
        <v>283</v>
      </c>
      <c r="H17" s="77">
        <v>3</v>
      </c>
      <c r="I17" s="114">
        <v>408</v>
      </c>
      <c r="J17" s="77">
        <v>363</v>
      </c>
      <c r="K17" s="726">
        <v>1056</v>
      </c>
      <c r="S17"/>
      <c r="T17"/>
      <c r="U17"/>
      <c r="V17"/>
      <c r="W17"/>
    </row>
    <row r="18" spans="1:23" ht="15">
      <c r="A18" s="926"/>
      <c r="B18" s="919"/>
      <c r="C18" s="379">
        <v>45128</v>
      </c>
      <c r="D18" s="380">
        <v>45128</v>
      </c>
      <c r="E18" s="421">
        <v>66</v>
      </c>
      <c r="F18" s="613">
        <v>136</v>
      </c>
      <c r="G18" s="421">
        <v>49</v>
      </c>
      <c r="H18" s="77">
        <v>1</v>
      </c>
      <c r="I18" s="114">
        <v>71</v>
      </c>
      <c r="J18" s="77">
        <v>62</v>
      </c>
      <c r="K18" s="726">
        <v>184</v>
      </c>
      <c r="S18"/>
      <c r="T18"/>
      <c r="U18"/>
      <c r="V18"/>
      <c r="W18"/>
    </row>
    <row r="19" spans="1:23" ht="15">
      <c r="A19" s="926"/>
      <c r="B19" s="919"/>
      <c r="C19" s="379">
        <v>45129</v>
      </c>
      <c r="D19" s="380">
        <v>45129</v>
      </c>
      <c r="E19" s="421">
        <v>140</v>
      </c>
      <c r="F19" s="613">
        <v>285</v>
      </c>
      <c r="G19" s="421">
        <v>91</v>
      </c>
      <c r="H19" s="77">
        <v>0</v>
      </c>
      <c r="I19" s="114">
        <v>131</v>
      </c>
      <c r="J19" s="77">
        <v>117</v>
      </c>
      <c r="K19" s="726">
        <v>339</v>
      </c>
      <c r="S19"/>
      <c r="T19"/>
      <c r="U19"/>
      <c r="V19"/>
      <c r="W19"/>
    </row>
    <row r="20" spans="1:23" ht="15">
      <c r="A20" s="926"/>
      <c r="B20" s="920"/>
      <c r="C20" s="379">
        <v>45130</v>
      </c>
      <c r="D20" s="380">
        <v>45130</v>
      </c>
      <c r="E20" s="421">
        <v>119</v>
      </c>
      <c r="F20" s="613">
        <v>254</v>
      </c>
      <c r="G20" s="421">
        <v>88</v>
      </c>
      <c r="H20" s="77">
        <v>1</v>
      </c>
      <c r="I20" s="114">
        <v>127</v>
      </c>
      <c r="J20" s="77">
        <v>113</v>
      </c>
      <c r="K20" s="726">
        <v>329</v>
      </c>
      <c r="S20"/>
      <c r="T20"/>
      <c r="U20"/>
      <c r="V20"/>
      <c r="W20"/>
    </row>
    <row r="21" spans="1:23" ht="15">
      <c r="A21" s="926"/>
      <c r="B21" s="918">
        <v>31</v>
      </c>
      <c r="C21" s="379">
        <v>45131</v>
      </c>
      <c r="D21" s="380">
        <v>45134</v>
      </c>
      <c r="E21" s="421">
        <v>550</v>
      </c>
      <c r="F21" s="613">
        <v>1013</v>
      </c>
      <c r="G21" s="421">
        <v>423</v>
      </c>
      <c r="H21" s="77">
        <v>0</v>
      </c>
      <c r="I21" s="114">
        <v>610</v>
      </c>
      <c r="J21" s="77">
        <v>547</v>
      </c>
      <c r="K21" s="726">
        <v>1579</v>
      </c>
      <c r="S21"/>
      <c r="T21"/>
      <c r="U21"/>
      <c r="V21"/>
      <c r="W21"/>
    </row>
    <row r="22" spans="1:23" ht="15">
      <c r="A22" s="926"/>
      <c r="B22" s="919"/>
      <c r="C22" s="379">
        <v>45135</v>
      </c>
      <c r="D22" s="380">
        <v>45135</v>
      </c>
      <c r="E22" s="421">
        <v>95</v>
      </c>
      <c r="F22" s="613">
        <v>188</v>
      </c>
      <c r="G22" s="421">
        <v>84</v>
      </c>
      <c r="H22" s="77">
        <v>0</v>
      </c>
      <c r="I22" s="114">
        <v>122</v>
      </c>
      <c r="J22" s="77">
        <v>109</v>
      </c>
      <c r="K22" s="726">
        <v>315</v>
      </c>
      <c r="S22"/>
      <c r="T22"/>
      <c r="U22"/>
      <c r="V22"/>
      <c r="W22"/>
    </row>
    <row r="23" spans="1:23" ht="15">
      <c r="A23" s="926"/>
      <c r="B23" s="919"/>
      <c r="C23" s="379">
        <v>45136</v>
      </c>
      <c r="D23" s="380">
        <v>45136</v>
      </c>
      <c r="E23" s="421">
        <v>123</v>
      </c>
      <c r="F23" s="613">
        <v>245</v>
      </c>
      <c r="G23" s="421">
        <v>139</v>
      </c>
      <c r="H23" s="77">
        <v>0</v>
      </c>
      <c r="I23" s="114">
        <v>200</v>
      </c>
      <c r="J23" s="77">
        <v>179</v>
      </c>
      <c r="K23" s="726">
        <v>518</v>
      </c>
      <c r="S23"/>
      <c r="T23"/>
      <c r="U23"/>
      <c r="V23"/>
      <c r="W23"/>
    </row>
    <row r="24" spans="1:23" ht="16.149999999999999" customHeight="1" thickBot="1">
      <c r="A24" s="927"/>
      <c r="B24" s="921"/>
      <c r="C24" s="383">
        <v>45137</v>
      </c>
      <c r="D24" s="384">
        <v>45137</v>
      </c>
      <c r="E24" s="73">
        <v>156</v>
      </c>
      <c r="F24" s="615">
        <v>318</v>
      </c>
      <c r="G24" s="73">
        <v>280</v>
      </c>
      <c r="H24" s="658">
        <v>0</v>
      </c>
      <c r="I24" s="644">
        <v>404</v>
      </c>
      <c r="J24" s="658">
        <v>362</v>
      </c>
      <c r="K24" s="727">
        <v>1046</v>
      </c>
      <c r="S24"/>
      <c r="T24"/>
      <c r="U24"/>
      <c r="V24"/>
      <c r="W24"/>
    </row>
    <row r="25" spans="1:23" ht="16.149999999999999" customHeight="1">
      <c r="A25" s="925" t="s">
        <v>70</v>
      </c>
      <c r="B25" s="922">
        <v>32</v>
      </c>
      <c r="C25" s="379">
        <v>45138</v>
      </c>
      <c r="D25" s="380">
        <v>45141</v>
      </c>
      <c r="E25" s="254">
        <v>446</v>
      </c>
      <c r="F25" s="597">
        <v>816</v>
      </c>
      <c r="G25" s="254">
        <v>591</v>
      </c>
      <c r="H25" s="79">
        <v>0</v>
      </c>
      <c r="I25" s="78">
        <v>853</v>
      </c>
      <c r="J25" s="79">
        <v>765</v>
      </c>
      <c r="K25" s="725">
        <v>2209</v>
      </c>
      <c r="T25" s="33"/>
    </row>
    <row r="26" spans="1:23" ht="15">
      <c r="A26" s="926"/>
      <c r="B26" s="919"/>
      <c r="C26" s="667">
        <v>45142</v>
      </c>
      <c r="D26" s="668">
        <v>45142</v>
      </c>
      <c r="E26" s="421">
        <v>119</v>
      </c>
      <c r="F26" s="613">
        <v>226</v>
      </c>
      <c r="G26" s="421">
        <v>152</v>
      </c>
      <c r="H26" s="77">
        <v>0</v>
      </c>
      <c r="I26" s="114">
        <v>219</v>
      </c>
      <c r="J26" s="77">
        <v>196</v>
      </c>
      <c r="K26" s="726">
        <v>567</v>
      </c>
      <c r="T26" s="33"/>
    </row>
    <row r="27" spans="1:23" ht="15">
      <c r="A27" s="926"/>
      <c r="B27" s="919"/>
      <c r="C27" s="667">
        <v>45143</v>
      </c>
      <c r="D27" s="668">
        <v>45143</v>
      </c>
      <c r="E27" s="421">
        <v>189</v>
      </c>
      <c r="F27" s="613">
        <v>377</v>
      </c>
      <c r="G27" s="421">
        <v>267</v>
      </c>
      <c r="H27" s="77">
        <v>1</v>
      </c>
      <c r="I27" s="114">
        <v>385</v>
      </c>
      <c r="J27" s="77">
        <v>344</v>
      </c>
      <c r="K27" s="726">
        <v>997</v>
      </c>
      <c r="T27" s="33"/>
    </row>
    <row r="28" spans="1:23" ht="15">
      <c r="A28" s="926"/>
      <c r="B28" s="920"/>
      <c r="C28" s="667">
        <v>45144</v>
      </c>
      <c r="D28" s="668">
        <v>45144</v>
      </c>
      <c r="E28" s="612">
        <v>87</v>
      </c>
      <c r="F28" s="613">
        <v>175</v>
      </c>
      <c r="G28" s="612">
        <v>102</v>
      </c>
      <c r="H28" s="613">
        <v>0</v>
      </c>
      <c r="I28" s="614">
        <v>148</v>
      </c>
      <c r="J28" s="613">
        <v>132</v>
      </c>
      <c r="K28" s="726">
        <v>383</v>
      </c>
      <c r="T28" s="33"/>
    </row>
    <row r="29" spans="1:23" ht="15">
      <c r="A29" s="926"/>
      <c r="B29" s="918">
        <v>33</v>
      </c>
      <c r="C29" s="667">
        <v>45145</v>
      </c>
      <c r="D29" s="668">
        <v>45148</v>
      </c>
      <c r="E29" s="612">
        <v>459</v>
      </c>
      <c r="F29" s="613">
        <v>858</v>
      </c>
      <c r="G29" s="612">
        <v>447</v>
      </c>
      <c r="H29" s="613">
        <v>0</v>
      </c>
      <c r="I29" s="614">
        <v>645</v>
      </c>
      <c r="J29" s="613">
        <v>578</v>
      </c>
      <c r="K29" s="726">
        <v>1671</v>
      </c>
    </row>
    <row r="30" spans="1:23" ht="15">
      <c r="A30" s="926"/>
      <c r="B30" s="919"/>
      <c r="C30" s="667">
        <v>45149</v>
      </c>
      <c r="D30" s="668">
        <v>45149</v>
      </c>
      <c r="E30" s="612">
        <v>170</v>
      </c>
      <c r="F30" s="613">
        <v>316</v>
      </c>
      <c r="G30" s="612">
        <v>105</v>
      </c>
      <c r="H30" s="613">
        <v>0</v>
      </c>
      <c r="I30" s="614">
        <v>152</v>
      </c>
      <c r="J30" s="613">
        <v>136</v>
      </c>
      <c r="K30" s="726">
        <v>394</v>
      </c>
    </row>
    <row r="31" spans="1:23" ht="15">
      <c r="A31" s="926"/>
      <c r="B31" s="919"/>
      <c r="C31" s="667">
        <v>45150</v>
      </c>
      <c r="D31" s="668">
        <v>45150</v>
      </c>
      <c r="E31" s="612">
        <v>202</v>
      </c>
      <c r="F31" s="613">
        <v>444</v>
      </c>
      <c r="G31" s="612">
        <v>126</v>
      </c>
      <c r="H31" s="613">
        <v>0</v>
      </c>
      <c r="I31" s="614">
        <v>181</v>
      </c>
      <c r="J31" s="613">
        <v>162</v>
      </c>
      <c r="K31" s="726">
        <v>469</v>
      </c>
    </row>
    <row r="32" spans="1:23" ht="15">
      <c r="A32" s="926"/>
      <c r="B32" s="920"/>
      <c r="C32" s="381">
        <v>45151</v>
      </c>
      <c r="D32" s="382">
        <v>45151</v>
      </c>
      <c r="E32" s="612">
        <v>231</v>
      </c>
      <c r="F32" s="613">
        <v>509</v>
      </c>
      <c r="G32" s="612">
        <v>147</v>
      </c>
      <c r="H32" s="613">
        <v>0</v>
      </c>
      <c r="I32" s="614">
        <v>213</v>
      </c>
      <c r="J32" s="613">
        <v>191</v>
      </c>
      <c r="K32" s="725">
        <v>551</v>
      </c>
    </row>
    <row r="33" spans="1:20" ht="15.75" thickBot="1">
      <c r="A33" s="927"/>
      <c r="B33" s="404">
        <v>34</v>
      </c>
      <c r="C33" s="383">
        <v>45152</v>
      </c>
      <c r="D33" s="384">
        <v>45153</v>
      </c>
      <c r="E33" s="617">
        <v>322</v>
      </c>
      <c r="F33" s="615">
        <v>646</v>
      </c>
      <c r="G33" s="279">
        <v>194</v>
      </c>
      <c r="H33" s="615">
        <v>0</v>
      </c>
      <c r="I33" s="616">
        <v>280</v>
      </c>
      <c r="J33" s="615">
        <v>251</v>
      </c>
      <c r="K33" s="104">
        <v>725</v>
      </c>
    </row>
    <row r="34" spans="1:20" ht="15.75" thickBot="1">
      <c r="A34" s="923" t="s">
        <v>71</v>
      </c>
      <c r="B34" s="924"/>
      <c r="C34" s="924"/>
      <c r="D34" s="924"/>
      <c r="E34" s="64">
        <f t="shared" ref="E34:J34" si="0">SUM(E7:E33)</f>
        <v>5841</v>
      </c>
      <c r="F34" s="65">
        <f t="shared" si="0"/>
        <v>11634</v>
      </c>
      <c r="G34" s="64">
        <f t="shared" si="0"/>
        <v>5409</v>
      </c>
      <c r="H34" s="65">
        <f t="shared" si="0"/>
        <v>20</v>
      </c>
      <c r="I34" s="64">
        <f t="shared" si="0"/>
        <v>7803</v>
      </c>
      <c r="J34" s="66">
        <f t="shared" si="0"/>
        <v>6975</v>
      </c>
      <c r="K34" s="67">
        <f>SUM(K7:K33)</f>
        <v>20207</v>
      </c>
    </row>
    <row r="35" spans="1:20" ht="15">
      <c r="A35" s="914" t="s">
        <v>72</v>
      </c>
      <c r="B35" s="915"/>
      <c r="C35" s="915"/>
      <c r="D35" s="915"/>
      <c r="E35" s="647">
        <v>34756</v>
      </c>
      <c r="F35" s="648">
        <v>132749</v>
      </c>
      <c r="G35" s="647">
        <v>46598</v>
      </c>
      <c r="H35" s="81">
        <v>4</v>
      </c>
      <c r="I35" s="647">
        <v>3800438</v>
      </c>
      <c r="J35" s="633">
        <v>1682663</v>
      </c>
      <c r="K35" s="70">
        <v>9570501</v>
      </c>
    </row>
    <row r="36" spans="1:20" ht="15">
      <c r="A36" s="916" t="s">
        <v>73</v>
      </c>
      <c r="B36" s="917"/>
      <c r="C36" s="917"/>
      <c r="D36" s="917"/>
      <c r="E36" s="650">
        <v>186</v>
      </c>
      <c r="F36" s="653">
        <v>364</v>
      </c>
      <c r="G36" s="106">
        <v>216</v>
      </c>
      <c r="H36" s="82">
        <v>2</v>
      </c>
      <c r="I36" s="636">
        <v>1949</v>
      </c>
      <c r="J36" s="134">
        <v>1297</v>
      </c>
      <c r="K36" s="116">
        <v>3094</v>
      </c>
    </row>
    <row r="37" spans="1:20" ht="15">
      <c r="A37" s="916" t="s">
        <v>74</v>
      </c>
      <c r="B37" s="917"/>
      <c r="C37" s="917"/>
      <c r="D37" s="917"/>
      <c r="E37" s="656">
        <v>0.03</v>
      </c>
      <c r="F37" s="657">
        <v>0.03</v>
      </c>
      <c r="G37" s="634">
        <v>0.04</v>
      </c>
      <c r="H37" s="93">
        <v>0.1</v>
      </c>
      <c r="I37" s="634">
        <v>0.25</v>
      </c>
      <c r="J37" s="94">
        <v>0.19</v>
      </c>
      <c r="K37" s="635">
        <v>0.15</v>
      </c>
    </row>
    <row r="38" spans="1:20" ht="15.75" thickBot="1">
      <c r="A38" s="928" t="s">
        <v>75</v>
      </c>
      <c r="B38" s="929"/>
      <c r="C38" s="929"/>
      <c r="D38" s="929"/>
      <c r="E38" s="654" t="s">
        <v>133</v>
      </c>
      <c r="F38" s="655" t="s">
        <v>134</v>
      </c>
      <c r="G38" s="649" t="s">
        <v>135</v>
      </c>
      <c r="H38" s="72" t="s">
        <v>136</v>
      </c>
      <c r="I38" s="73" t="s">
        <v>137</v>
      </c>
      <c r="J38" s="74" t="s">
        <v>138</v>
      </c>
      <c r="K38" s="75" t="s">
        <v>139</v>
      </c>
    </row>
    <row r="39" spans="1:20" ht="14.25">
      <c r="A39" s="930" t="s">
        <v>83</v>
      </c>
      <c r="B39" s="931"/>
      <c r="C39" s="931"/>
      <c r="D39" s="931"/>
      <c r="E39" s="931"/>
      <c r="F39" s="931"/>
      <c r="G39" s="931"/>
      <c r="H39" s="931"/>
      <c r="I39" s="931"/>
      <c r="J39" s="931"/>
      <c r="K39" s="932"/>
    </row>
    <row r="40" spans="1:20" ht="15" thickBot="1">
      <c r="A40" s="933" t="s">
        <v>84</v>
      </c>
      <c r="B40" s="934"/>
      <c r="C40" s="934"/>
      <c r="D40" s="934"/>
      <c r="E40" s="934"/>
      <c r="F40" s="934"/>
      <c r="G40" s="934"/>
      <c r="H40" s="934"/>
      <c r="I40" s="934"/>
      <c r="J40" s="934"/>
      <c r="K40" s="935"/>
      <c r="M40" s="102"/>
      <c r="N40" s="102"/>
    </row>
    <row r="41" spans="1:20">
      <c r="K41">
        <f>G34/'Area 6 STR'!M8/0.87</f>
        <v>20206.03448275862</v>
      </c>
    </row>
    <row r="42" spans="1:20">
      <c r="K42"/>
    </row>
    <row r="44" spans="1:20" ht="15.75" thickBot="1">
      <c r="G44" s="903" t="s">
        <v>86</v>
      </c>
      <c r="H44" s="904"/>
      <c r="I44" s="904"/>
      <c r="J44" s="904"/>
      <c r="K44" s="904"/>
      <c r="L44" s="904"/>
      <c r="M44" s="905"/>
      <c r="N44" s="938" t="s">
        <v>87</v>
      </c>
      <c r="O44" s="939"/>
      <c r="P44" s="939"/>
      <c r="Q44" s="939"/>
      <c r="R44" s="939"/>
    </row>
    <row r="45" spans="1:20" ht="20.25" customHeight="1">
      <c r="A45" s="906" t="s">
        <v>57</v>
      </c>
      <c r="B45" s="906" t="s">
        <v>58</v>
      </c>
      <c r="C45" s="906" t="s">
        <v>59</v>
      </c>
      <c r="D45" s="908" t="s">
        <v>60</v>
      </c>
      <c r="E45" s="910" t="s">
        <v>61</v>
      </c>
      <c r="F45" s="911"/>
      <c r="G45" s="910" t="s">
        <v>88</v>
      </c>
      <c r="H45" s="936"/>
      <c r="I45" s="911"/>
      <c r="J45" s="936" t="s">
        <v>89</v>
      </c>
      <c r="K45" s="936"/>
      <c r="L45" s="911"/>
      <c r="M45" s="912" t="s">
        <v>90</v>
      </c>
      <c r="N45" s="906" t="s">
        <v>91</v>
      </c>
      <c r="O45" s="940" t="s">
        <v>92</v>
      </c>
      <c r="P45" s="906" t="s">
        <v>93</v>
      </c>
      <c r="Q45" s="942" t="s">
        <v>94</v>
      </c>
      <c r="R45" s="912" t="s">
        <v>95</v>
      </c>
    </row>
    <row r="46" spans="1:20" ht="20.25" customHeight="1" thickBot="1">
      <c r="A46" s="907"/>
      <c r="B46" s="907"/>
      <c r="C46" s="907"/>
      <c r="D46" s="909"/>
      <c r="E46" s="44" t="s">
        <v>65</v>
      </c>
      <c r="F46" s="45" t="s">
        <v>66</v>
      </c>
      <c r="G46" s="44" t="s">
        <v>67</v>
      </c>
      <c r="H46" s="158" t="s">
        <v>68</v>
      </c>
      <c r="I46" s="876" t="s">
        <v>96</v>
      </c>
      <c r="J46" s="887" t="s">
        <v>67</v>
      </c>
      <c r="K46" s="875" t="s">
        <v>68</v>
      </c>
      <c r="L46" s="876" t="s">
        <v>96</v>
      </c>
      <c r="M46" s="937"/>
      <c r="N46" s="907"/>
      <c r="O46" s="941"/>
      <c r="P46" s="907"/>
      <c r="Q46" s="913"/>
      <c r="R46" s="937"/>
    </row>
    <row r="47" spans="1:20" ht="15">
      <c r="A47" s="925" t="s">
        <v>69</v>
      </c>
      <c r="B47" s="922">
        <v>27</v>
      </c>
      <c r="C47" s="377">
        <v>45108</v>
      </c>
      <c r="D47" s="378">
        <v>45108</v>
      </c>
      <c r="E47" s="618">
        <v>51</v>
      </c>
      <c r="F47" s="600">
        <v>112</v>
      </c>
      <c r="G47" s="618">
        <v>0</v>
      </c>
      <c r="H47" s="606">
        <v>0</v>
      </c>
      <c r="I47" s="622">
        <v>0</v>
      </c>
      <c r="J47" s="627">
        <v>0</v>
      </c>
      <c r="K47" s="622">
        <v>0</v>
      </c>
      <c r="L47" s="602">
        <v>3</v>
      </c>
      <c r="M47" s="284">
        <v>3</v>
      </c>
      <c r="N47" s="618">
        <v>0</v>
      </c>
      <c r="O47" s="622">
        <v>0</v>
      </c>
      <c r="P47" s="627">
        <v>0</v>
      </c>
      <c r="Q47" s="622">
        <v>0</v>
      </c>
      <c r="R47" s="284">
        <f t="shared" ref="R47:R103" si="1">SUM(N47:Q47)</f>
        <v>0</v>
      </c>
      <c r="S47" s="33">
        <v>0</v>
      </c>
      <c r="T47" s="217">
        <f>S47/M47</f>
        <v>0</v>
      </c>
    </row>
    <row r="48" spans="1:20" ht="15">
      <c r="A48" s="926"/>
      <c r="B48" s="920"/>
      <c r="C48" s="379">
        <v>45109</v>
      </c>
      <c r="D48" s="380">
        <v>45109</v>
      </c>
      <c r="E48" s="619">
        <v>287</v>
      </c>
      <c r="F48" s="597">
        <v>651</v>
      </c>
      <c r="G48" s="619">
        <v>3</v>
      </c>
      <c r="H48" s="608">
        <v>0</v>
      </c>
      <c r="I48" s="623">
        <v>0</v>
      </c>
      <c r="J48" s="629">
        <v>5</v>
      </c>
      <c r="K48" s="623">
        <v>11</v>
      </c>
      <c r="L48" s="598">
        <v>0</v>
      </c>
      <c r="M48" s="402">
        <v>19</v>
      </c>
      <c r="N48" s="619">
        <v>0</v>
      </c>
      <c r="O48" s="623">
        <v>5</v>
      </c>
      <c r="P48" s="629">
        <v>0</v>
      </c>
      <c r="Q48" s="623">
        <v>0</v>
      </c>
      <c r="R48" s="402">
        <f t="shared" si="1"/>
        <v>5</v>
      </c>
      <c r="S48" s="33">
        <v>2</v>
      </c>
      <c r="T48" s="217">
        <f>S48/M48</f>
        <v>0.10526315789473684</v>
      </c>
    </row>
    <row r="49" spans="1:24" ht="15">
      <c r="A49" s="926"/>
      <c r="B49" s="918">
        <v>28</v>
      </c>
      <c r="C49" s="379">
        <v>45110</v>
      </c>
      <c r="D49" s="380">
        <v>45113</v>
      </c>
      <c r="E49" s="619">
        <v>441</v>
      </c>
      <c r="F49" s="597">
        <v>965</v>
      </c>
      <c r="G49" s="619">
        <v>0</v>
      </c>
      <c r="H49" s="608">
        <v>0</v>
      </c>
      <c r="I49" s="623">
        <v>0</v>
      </c>
      <c r="J49" s="629">
        <v>0</v>
      </c>
      <c r="K49" s="623">
        <v>0</v>
      </c>
      <c r="L49" s="598">
        <v>0</v>
      </c>
      <c r="M49" s="402">
        <v>0</v>
      </c>
      <c r="N49" s="619">
        <v>0</v>
      </c>
      <c r="O49" s="623">
        <v>6</v>
      </c>
      <c r="P49" s="629">
        <v>0</v>
      </c>
      <c r="Q49" s="623">
        <v>0</v>
      </c>
      <c r="R49" s="402">
        <f t="shared" si="1"/>
        <v>6</v>
      </c>
      <c r="S49" s="33">
        <v>0</v>
      </c>
      <c r="T49" s="217">
        <v>0</v>
      </c>
    </row>
    <row r="50" spans="1:24" ht="15">
      <c r="A50" s="926"/>
      <c r="B50" s="919"/>
      <c r="C50" s="379">
        <v>45114</v>
      </c>
      <c r="D50" s="380">
        <v>45114</v>
      </c>
      <c r="E50" s="619">
        <v>70</v>
      </c>
      <c r="F50" s="597">
        <v>149</v>
      </c>
      <c r="G50" s="619">
        <v>0</v>
      </c>
      <c r="H50" s="608">
        <v>0</v>
      </c>
      <c r="I50" s="623">
        <v>0</v>
      </c>
      <c r="J50" s="629">
        <v>1</v>
      </c>
      <c r="K50" s="623">
        <v>0</v>
      </c>
      <c r="L50" s="598">
        <v>0</v>
      </c>
      <c r="M50" s="402">
        <v>1</v>
      </c>
      <c r="N50" s="619">
        <v>0</v>
      </c>
      <c r="O50" s="623">
        <v>0</v>
      </c>
      <c r="P50" s="629">
        <v>0</v>
      </c>
      <c r="Q50" s="623">
        <v>0</v>
      </c>
      <c r="R50" s="402">
        <f t="shared" si="1"/>
        <v>0</v>
      </c>
      <c r="S50" s="33">
        <v>0</v>
      </c>
      <c r="T50" s="217">
        <f t="shared" ref="T50:T60" si="2">S50/M50</f>
        <v>0</v>
      </c>
    </row>
    <row r="51" spans="1:24" ht="15">
      <c r="A51" s="926"/>
      <c r="B51" s="919"/>
      <c r="C51" s="379">
        <v>45115</v>
      </c>
      <c r="D51" s="380">
        <v>45115</v>
      </c>
      <c r="E51" s="421">
        <v>152</v>
      </c>
      <c r="F51" s="613">
        <v>355</v>
      </c>
      <c r="G51" s="625">
        <v>14</v>
      </c>
      <c r="H51" s="607">
        <v>0</v>
      </c>
      <c r="I51" s="623">
        <v>0</v>
      </c>
      <c r="J51" s="628">
        <v>0</v>
      </c>
      <c r="K51" s="626">
        <v>9</v>
      </c>
      <c r="L51" s="596">
        <v>15</v>
      </c>
      <c r="M51" s="651">
        <v>38</v>
      </c>
      <c r="N51" s="625">
        <v>12</v>
      </c>
      <c r="O51" s="626">
        <v>5</v>
      </c>
      <c r="P51" s="628">
        <v>0</v>
      </c>
      <c r="Q51" s="626">
        <v>0</v>
      </c>
      <c r="R51" s="651">
        <f t="shared" si="1"/>
        <v>17</v>
      </c>
      <c r="S51" s="33">
        <v>9</v>
      </c>
      <c r="T51" s="217">
        <f t="shared" si="2"/>
        <v>0.23684210526315788</v>
      </c>
    </row>
    <row r="52" spans="1:24" ht="15">
      <c r="A52" s="926"/>
      <c r="B52" s="920"/>
      <c r="C52" s="379">
        <v>45116</v>
      </c>
      <c r="D52" s="380">
        <v>45116</v>
      </c>
      <c r="E52" s="421">
        <v>124</v>
      </c>
      <c r="F52" s="613">
        <v>280</v>
      </c>
      <c r="G52" s="625">
        <v>1</v>
      </c>
      <c r="H52" s="607">
        <v>0</v>
      </c>
      <c r="I52" s="623">
        <v>0</v>
      </c>
      <c r="J52" s="628">
        <v>0</v>
      </c>
      <c r="K52" s="626">
        <v>6</v>
      </c>
      <c r="L52" s="596">
        <v>7</v>
      </c>
      <c r="M52" s="651">
        <v>14</v>
      </c>
      <c r="N52" s="625">
        <v>0</v>
      </c>
      <c r="O52" s="626">
        <v>3</v>
      </c>
      <c r="P52" s="628">
        <v>0</v>
      </c>
      <c r="Q52" s="626">
        <v>0</v>
      </c>
      <c r="R52" s="651">
        <f t="shared" si="1"/>
        <v>3</v>
      </c>
      <c r="S52" s="33">
        <v>1</v>
      </c>
      <c r="T52" s="217">
        <f t="shared" si="2"/>
        <v>7.1428571428571425E-2</v>
      </c>
    </row>
    <row r="53" spans="1:24" ht="15">
      <c r="A53" s="926"/>
      <c r="B53" s="919">
        <v>29</v>
      </c>
      <c r="C53" s="379">
        <v>45117</v>
      </c>
      <c r="D53" s="380">
        <v>45120</v>
      </c>
      <c r="E53" s="421">
        <v>366</v>
      </c>
      <c r="F53" s="613">
        <v>748</v>
      </c>
      <c r="G53" s="625">
        <v>55</v>
      </c>
      <c r="H53" s="607">
        <v>0</v>
      </c>
      <c r="I53" s="623">
        <v>0</v>
      </c>
      <c r="J53" s="628">
        <v>3</v>
      </c>
      <c r="K53" s="626">
        <v>31</v>
      </c>
      <c r="L53" s="596">
        <v>9</v>
      </c>
      <c r="M53" s="651">
        <v>98</v>
      </c>
      <c r="N53" s="625">
        <v>6</v>
      </c>
      <c r="O53" s="626">
        <v>9</v>
      </c>
      <c r="P53" s="628">
        <v>0</v>
      </c>
      <c r="Q53" s="626">
        <v>0</v>
      </c>
      <c r="R53" s="651">
        <f t="shared" si="1"/>
        <v>15</v>
      </c>
      <c r="S53" s="33">
        <v>18</v>
      </c>
      <c r="T53" s="217">
        <f t="shared" si="2"/>
        <v>0.18367346938775511</v>
      </c>
    </row>
    <row r="54" spans="1:24" ht="15">
      <c r="A54" s="926"/>
      <c r="B54" s="919"/>
      <c r="C54" s="379">
        <v>45121</v>
      </c>
      <c r="D54" s="380">
        <v>45121</v>
      </c>
      <c r="E54" s="421">
        <v>103</v>
      </c>
      <c r="F54" s="613">
        <v>215</v>
      </c>
      <c r="G54" s="625">
        <v>26</v>
      </c>
      <c r="H54" s="607">
        <v>0</v>
      </c>
      <c r="I54" s="626">
        <v>0</v>
      </c>
      <c r="J54" s="628">
        <v>20</v>
      </c>
      <c r="K54" s="626">
        <v>29</v>
      </c>
      <c r="L54" s="596">
        <v>9</v>
      </c>
      <c r="M54" s="651">
        <v>84</v>
      </c>
      <c r="N54" s="625">
        <v>0</v>
      </c>
      <c r="O54" s="626">
        <v>2</v>
      </c>
      <c r="P54" s="628">
        <v>0</v>
      </c>
      <c r="Q54" s="626">
        <v>0</v>
      </c>
      <c r="R54" s="651">
        <f t="shared" si="1"/>
        <v>2</v>
      </c>
      <c r="S54" s="33">
        <v>17</v>
      </c>
      <c r="T54" s="217">
        <f t="shared" si="2"/>
        <v>0.20238095238095238</v>
      </c>
    </row>
    <row r="55" spans="1:24" ht="15">
      <c r="A55" s="926"/>
      <c r="B55" s="919"/>
      <c r="C55" s="379">
        <v>45122</v>
      </c>
      <c r="D55" s="380">
        <v>45122</v>
      </c>
      <c r="E55" s="421">
        <v>137</v>
      </c>
      <c r="F55" s="613">
        <v>303</v>
      </c>
      <c r="G55" s="625">
        <v>26</v>
      </c>
      <c r="H55" s="607">
        <v>2</v>
      </c>
      <c r="I55" s="626">
        <v>0</v>
      </c>
      <c r="J55" s="628">
        <v>6</v>
      </c>
      <c r="K55" s="626">
        <v>20</v>
      </c>
      <c r="L55" s="596">
        <v>9</v>
      </c>
      <c r="M55" s="651">
        <v>63</v>
      </c>
      <c r="N55" s="625">
        <v>5</v>
      </c>
      <c r="O55" s="626">
        <v>11</v>
      </c>
      <c r="P55" s="628">
        <v>0</v>
      </c>
      <c r="Q55" s="626">
        <v>0</v>
      </c>
      <c r="R55" s="651">
        <f t="shared" si="1"/>
        <v>16</v>
      </c>
      <c r="S55" s="33">
        <v>18</v>
      </c>
      <c r="T55" s="217">
        <f t="shared" si="2"/>
        <v>0.2857142857142857</v>
      </c>
    </row>
    <row r="56" spans="1:24" ht="15">
      <c r="A56" s="926"/>
      <c r="B56" s="920"/>
      <c r="C56" s="379">
        <v>45123</v>
      </c>
      <c r="D56" s="380">
        <v>45123</v>
      </c>
      <c r="E56" s="612">
        <v>37</v>
      </c>
      <c r="F56" s="613">
        <v>71</v>
      </c>
      <c r="G56" s="612">
        <v>0</v>
      </c>
      <c r="H56" s="603">
        <v>0</v>
      </c>
      <c r="I56" s="613">
        <v>0</v>
      </c>
      <c r="J56" s="614">
        <v>0</v>
      </c>
      <c r="K56" s="613">
        <v>0</v>
      </c>
      <c r="L56" s="599">
        <v>0</v>
      </c>
      <c r="M56" s="651">
        <v>0</v>
      </c>
      <c r="N56" s="625">
        <v>0</v>
      </c>
      <c r="O56" s="626">
        <v>1</v>
      </c>
      <c r="P56" s="614">
        <v>0</v>
      </c>
      <c r="Q56" s="613">
        <v>0</v>
      </c>
      <c r="R56" s="651">
        <f t="shared" si="1"/>
        <v>1</v>
      </c>
      <c r="S56" s="33">
        <v>2</v>
      </c>
      <c r="T56" s="217" t="e">
        <f t="shared" si="2"/>
        <v>#DIV/0!</v>
      </c>
    </row>
    <row r="57" spans="1:24" ht="15">
      <c r="A57" s="926"/>
      <c r="B57" s="918">
        <v>30</v>
      </c>
      <c r="C57" s="379">
        <v>45124</v>
      </c>
      <c r="D57" s="380">
        <v>45127</v>
      </c>
      <c r="E57" s="612">
        <v>319</v>
      </c>
      <c r="F57" s="613">
        <v>631</v>
      </c>
      <c r="G57" s="612">
        <v>33</v>
      </c>
      <c r="H57" s="603">
        <v>0</v>
      </c>
      <c r="I57" s="613">
        <v>0</v>
      </c>
      <c r="J57" s="614">
        <v>0</v>
      </c>
      <c r="K57" s="613">
        <v>18</v>
      </c>
      <c r="L57" s="599">
        <v>27</v>
      </c>
      <c r="M57" s="651">
        <v>78</v>
      </c>
      <c r="N57" s="625">
        <v>18</v>
      </c>
      <c r="O57" s="626">
        <v>15</v>
      </c>
      <c r="P57" s="614">
        <v>0</v>
      </c>
      <c r="Q57" s="613">
        <v>0</v>
      </c>
      <c r="R57" s="651">
        <f t="shared" si="1"/>
        <v>33</v>
      </c>
      <c r="S57" s="33">
        <v>12</v>
      </c>
      <c r="T57" s="217">
        <f t="shared" si="2"/>
        <v>0.15384615384615385</v>
      </c>
    </row>
    <row r="58" spans="1:24" ht="15">
      <c r="A58" s="926"/>
      <c r="B58" s="919"/>
      <c r="C58" s="379">
        <v>45128</v>
      </c>
      <c r="D58" s="380">
        <v>45128</v>
      </c>
      <c r="E58" s="612">
        <v>52</v>
      </c>
      <c r="F58" s="613">
        <v>109</v>
      </c>
      <c r="G58" s="612">
        <v>4</v>
      </c>
      <c r="H58" s="603">
        <v>0</v>
      </c>
      <c r="I58" s="613">
        <v>0</v>
      </c>
      <c r="J58" s="614">
        <v>0</v>
      </c>
      <c r="K58" s="613">
        <v>6</v>
      </c>
      <c r="L58" s="599">
        <v>4</v>
      </c>
      <c r="M58" s="651">
        <v>14</v>
      </c>
      <c r="N58" s="625">
        <v>4</v>
      </c>
      <c r="O58" s="626">
        <v>3</v>
      </c>
      <c r="P58" s="614">
        <v>0</v>
      </c>
      <c r="Q58" s="613">
        <v>0</v>
      </c>
      <c r="R58" s="651">
        <f t="shared" si="1"/>
        <v>7</v>
      </c>
      <c r="S58" s="33">
        <v>3</v>
      </c>
      <c r="T58" s="217">
        <f t="shared" si="2"/>
        <v>0.21428571428571427</v>
      </c>
    </row>
    <row r="59" spans="1:24" ht="15">
      <c r="A59" s="926"/>
      <c r="B59" s="919"/>
      <c r="C59" s="379">
        <v>45129</v>
      </c>
      <c r="D59" s="380">
        <v>45129</v>
      </c>
      <c r="E59" s="612">
        <v>131</v>
      </c>
      <c r="F59" s="613">
        <v>276</v>
      </c>
      <c r="G59" s="612">
        <v>7</v>
      </c>
      <c r="H59" s="603">
        <v>0</v>
      </c>
      <c r="I59" s="613">
        <v>0</v>
      </c>
      <c r="J59" s="614">
        <v>4</v>
      </c>
      <c r="K59" s="613">
        <v>13</v>
      </c>
      <c r="L59" s="599">
        <v>0</v>
      </c>
      <c r="M59" s="651">
        <v>24</v>
      </c>
      <c r="N59" s="625">
        <v>16</v>
      </c>
      <c r="O59" s="626">
        <v>7</v>
      </c>
      <c r="P59" s="614">
        <v>0</v>
      </c>
      <c r="Q59" s="613">
        <v>0</v>
      </c>
      <c r="R59" s="651">
        <f t="shared" si="1"/>
        <v>23</v>
      </c>
      <c r="S59" s="587">
        <v>5</v>
      </c>
      <c r="T59" s="217">
        <f t="shared" si="2"/>
        <v>0.20833333333333334</v>
      </c>
      <c r="U59" s="543"/>
      <c r="V59" s="543"/>
      <c r="W59" s="543"/>
      <c r="X59" s="543"/>
    </row>
    <row r="60" spans="1:24" ht="15">
      <c r="A60" s="926"/>
      <c r="B60" s="920"/>
      <c r="C60" s="379">
        <v>45130</v>
      </c>
      <c r="D60" s="380">
        <v>45130</v>
      </c>
      <c r="E60" s="612">
        <v>119</v>
      </c>
      <c r="F60" s="613">
        <v>262</v>
      </c>
      <c r="G60" s="612">
        <v>6</v>
      </c>
      <c r="H60" s="603">
        <v>0</v>
      </c>
      <c r="I60" s="613">
        <v>0</v>
      </c>
      <c r="J60" s="614">
        <v>0</v>
      </c>
      <c r="K60" s="613">
        <v>10</v>
      </c>
      <c r="L60" s="599">
        <v>0</v>
      </c>
      <c r="M60" s="651">
        <v>16</v>
      </c>
      <c r="N60" s="625">
        <v>18</v>
      </c>
      <c r="O60" s="626">
        <v>27</v>
      </c>
      <c r="P60" s="614">
        <v>0</v>
      </c>
      <c r="Q60" s="613">
        <v>0</v>
      </c>
      <c r="R60" s="651">
        <f t="shared" si="1"/>
        <v>45</v>
      </c>
      <c r="S60" s="540">
        <v>5</v>
      </c>
      <c r="T60" s="217">
        <f t="shared" si="2"/>
        <v>0.3125</v>
      </c>
      <c r="U60" s="540"/>
      <c r="V60" s="541"/>
      <c r="W60" s="542"/>
      <c r="X60" s="544"/>
    </row>
    <row r="61" spans="1:24" ht="15">
      <c r="A61" s="926"/>
      <c r="B61" s="918">
        <v>31</v>
      </c>
      <c r="C61" s="379">
        <v>45131</v>
      </c>
      <c r="D61" s="380">
        <v>45134</v>
      </c>
      <c r="E61" s="624">
        <v>453</v>
      </c>
      <c r="F61" s="630">
        <v>854</v>
      </c>
      <c r="G61" s="624">
        <v>46</v>
      </c>
      <c r="H61" s="609">
        <v>0</v>
      </c>
      <c r="I61" s="613">
        <v>0</v>
      </c>
      <c r="J61" s="631">
        <v>12</v>
      </c>
      <c r="K61" s="630">
        <v>192</v>
      </c>
      <c r="L61" s="605">
        <v>15</v>
      </c>
      <c r="M61" s="403">
        <v>265</v>
      </c>
      <c r="N61" s="814">
        <v>162</v>
      </c>
      <c r="O61" s="729">
        <v>256</v>
      </c>
      <c r="P61" s="631">
        <v>0</v>
      </c>
      <c r="Q61" s="630">
        <v>0</v>
      </c>
      <c r="R61" s="651">
        <f t="shared" si="1"/>
        <v>418</v>
      </c>
      <c r="S61" s="540"/>
      <c r="T61" s="582" t="e">
        <f>AVERAGE(T47:T60)</f>
        <v>#DIV/0!</v>
      </c>
      <c r="U61" s="540"/>
      <c r="V61" s="541"/>
      <c r="W61" s="542"/>
      <c r="X61" s="544"/>
    </row>
    <row r="62" spans="1:24" ht="15">
      <c r="A62" s="926"/>
      <c r="B62" s="919"/>
      <c r="C62" s="379">
        <v>45135</v>
      </c>
      <c r="D62" s="380">
        <v>45135</v>
      </c>
      <c r="E62" s="612">
        <v>64</v>
      </c>
      <c r="F62" s="613">
        <v>137</v>
      </c>
      <c r="G62" s="612">
        <v>4</v>
      </c>
      <c r="H62" s="603">
        <v>0</v>
      </c>
      <c r="I62" s="613">
        <v>0</v>
      </c>
      <c r="J62" s="614">
        <v>1</v>
      </c>
      <c r="K62" s="613">
        <v>25</v>
      </c>
      <c r="L62" s="599">
        <v>10</v>
      </c>
      <c r="M62" s="651">
        <v>40</v>
      </c>
      <c r="N62" s="625">
        <v>12</v>
      </c>
      <c r="O62" s="626">
        <v>10</v>
      </c>
      <c r="P62" s="614">
        <v>0</v>
      </c>
      <c r="Q62" s="613">
        <v>0</v>
      </c>
      <c r="R62" s="651">
        <f t="shared" si="1"/>
        <v>22</v>
      </c>
    </row>
    <row r="63" spans="1:24" ht="15">
      <c r="A63" s="926"/>
      <c r="B63" s="919"/>
      <c r="C63" s="379">
        <v>45136</v>
      </c>
      <c r="D63" s="380">
        <v>45136</v>
      </c>
      <c r="E63" s="620">
        <v>103</v>
      </c>
      <c r="F63" s="621">
        <v>217</v>
      </c>
      <c r="G63" s="620">
        <v>9</v>
      </c>
      <c r="H63" s="610">
        <v>0</v>
      </c>
      <c r="I63" s="621">
        <v>0</v>
      </c>
      <c r="J63" s="632">
        <v>1</v>
      </c>
      <c r="K63" s="621">
        <v>25</v>
      </c>
      <c r="L63" s="611">
        <v>1</v>
      </c>
      <c r="M63" s="256">
        <v>36</v>
      </c>
      <c r="N63" s="813">
        <v>33</v>
      </c>
      <c r="O63" s="812">
        <v>22</v>
      </c>
      <c r="P63" s="632">
        <v>0</v>
      </c>
      <c r="Q63" s="621">
        <v>0</v>
      </c>
      <c r="R63" s="651">
        <f t="shared" si="1"/>
        <v>55</v>
      </c>
    </row>
    <row r="64" spans="1:24" ht="15.75" thickBot="1">
      <c r="A64" s="927"/>
      <c r="B64" s="921"/>
      <c r="C64" s="383">
        <v>45137</v>
      </c>
      <c r="D64" s="384">
        <v>45137</v>
      </c>
      <c r="E64" s="617">
        <v>133</v>
      </c>
      <c r="F64" s="615">
        <v>277</v>
      </c>
      <c r="G64" s="617">
        <v>3</v>
      </c>
      <c r="H64" s="604">
        <v>2</v>
      </c>
      <c r="I64" s="615">
        <v>0</v>
      </c>
      <c r="J64" s="616">
        <v>6</v>
      </c>
      <c r="K64" s="615">
        <v>11</v>
      </c>
      <c r="L64" s="601">
        <v>14</v>
      </c>
      <c r="M64" s="139">
        <v>36</v>
      </c>
      <c r="N64" s="279">
        <v>38</v>
      </c>
      <c r="O64" s="555">
        <v>56</v>
      </c>
      <c r="P64" s="616">
        <v>0</v>
      </c>
      <c r="Q64" s="615">
        <v>0</v>
      </c>
      <c r="R64" s="139">
        <f t="shared" si="1"/>
        <v>94</v>
      </c>
    </row>
    <row r="65" spans="1:18" ht="15">
      <c r="A65" s="925" t="s">
        <v>70</v>
      </c>
      <c r="B65" s="922">
        <v>32</v>
      </c>
      <c r="C65" s="379">
        <v>45138</v>
      </c>
      <c r="D65" s="380">
        <v>45141</v>
      </c>
      <c r="E65" s="620">
        <v>340</v>
      </c>
      <c r="F65" s="621">
        <v>642</v>
      </c>
      <c r="G65" s="620">
        <v>18</v>
      </c>
      <c r="H65" s="610">
        <v>0</v>
      </c>
      <c r="I65" s="621">
        <v>0</v>
      </c>
      <c r="J65" s="632">
        <v>12</v>
      </c>
      <c r="K65" s="621">
        <v>34</v>
      </c>
      <c r="L65" s="611">
        <v>34</v>
      </c>
      <c r="M65" s="256">
        <v>98</v>
      </c>
      <c r="N65" s="813">
        <v>153</v>
      </c>
      <c r="O65" s="812">
        <v>187</v>
      </c>
      <c r="P65" s="632">
        <v>0</v>
      </c>
      <c r="Q65" s="621">
        <v>0</v>
      </c>
      <c r="R65" s="402">
        <f t="shared" si="1"/>
        <v>340</v>
      </c>
    </row>
    <row r="66" spans="1:18" ht="15">
      <c r="A66" s="926"/>
      <c r="B66" s="919"/>
      <c r="C66" s="667">
        <v>45142</v>
      </c>
      <c r="D66" s="668">
        <v>45142</v>
      </c>
      <c r="E66" s="624">
        <v>113</v>
      </c>
      <c r="F66" s="630">
        <v>220</v>
      </c>
      <c r="G66" s="624">
        <v>6</v>
      </c>
      <c r="H66" s="609">
        <v>0</v>
      </c>
      <c r="I66" s="630">
        <v>0</v>
      </c>
      <c r="J66" s="631">
        <v>0</v>
      </c>
      <c r="K66" s="630">
        <v>4</v>
      </c>
      <c r="L66" s="605">
        <v>15</v>
      </c>
      <c r="M66" s="403">
        <v>25</v>
      </c>
      <c r="N66" s="814">
        <v>24</v>
      </c>
      <c r="O66" s="729">
        <v>36</v>
      </c>
      <c r="P66" s="631">
        <v>0</v>
      </c>
      <c r="Q66" s="630">
        <v>0</v>
      </c>
      <c r="R66" s="651">
        <f t="shared" si="1"/>
        <v>60</v>
      </c>
    </row>
    <row r="67" spans="1:18" ht="15">
      <c r="A67" s="926"/>
      <c r="B67" s="919"/>
      <c r="C67" s="667">
        <v>45143</v>
      </c>
      <c r="D67" s="668">
        <v>45143</v>
      </c>
      <c r="E67" s="624">
        <v>177</v>
      </c>
      <c r="F67" s="630">
        <v>368</v>
      </c>
      <c r="G67" s="624">
        <v>14</v>
      </c>
      <c r="H67" s="609">
        <v>0</v>
      </c>
      <c r="I67" s="630">
        <v>0</v>
      </c>
      <c r="J67" s="631">
        <v>5</v>
      </c>
      <c r="K67" s="630">
        <v>17</v>
      </c>
      <c r="L67" s="605">
        <v>2</v>
      </c>
      <c r="M67" s="403">
        <v>38</v>
      </c>
      <c r="N67" s="814">
        <v>70</v>
      </c>
      <c r="O67" s="729">
        <v>174</v>
      </c>
      <c r="P67" s="631">
        <v>0</v>
      </c>
      <c r="Q67" s="630">
        <v>0</v>
      </c>
      <c r="R67" s="651">
        <f t="shared" si="1"/>
        <v>244</v>
      </c>
    </row>
    <row r="68" spans="1:18" ht="15">
      <c r="A68" s="926"/>
      <c r="B68" s="920"/>
      <c r="C68" s="667">
        <v>45144</v>
      </c>
      <c r="D68" s="668">
        <v>45144</v>
      </c>
      <c r="E68" s="624">
        <v>77</v>
      </c>
      <c r="F68" s="630">
        <v>168</v>
      </c>
      <c r="G68" s="624">
        <v>4</v>
      </c>
      <c r="H68" s="609">
        <v>0</v>
      </c>
      <c r="I68" s="630">
        <v>0</v>
      </c>
      <c r="J68" s="631">
        <v>1</v>
      </c>
      <c r="K68" s="630">
        <v>1</v>
      </c>
      <c r="L68" s="605">
        <v>10</v>
      </c>
      <c r="M68" s="403">
        <v>16</v>
      </c>
      <c r="N68" s="814">
        <v>43</v>
      </c>
      <c r="O68" s="729">
        <v>150</v>
      </c>
      <c r="P68" s="631">
        <v>0</v>
      </c>
      <c r="Q68" s="630">
        <v>1</v>
      </c>
      <c r="R68" s="651">
        <f t="shared" si="1"/>
        <v>194</v>
      </c>
    </row>
    <row r="69" spans="1:18" ht="15">
      <c r="A69" s="926"/>
      <c r="B69" s="918">
        <v>33</v>
      </c>
      <c r="C69" s="667">
        <v>45145</v>
      </c>
      <c r="D69" s="668">
        <v>45148</v>
      </c>
      <c r="E69" s="624">
        <v>346</v>
      </c>
      <c r="F69" s="630">
        <v>664</v>
      </c>
      <c r="G69" s="624">
        <v>30</v>
      </c>
      <c r="H69" s="609">
        <v>0</v>
      </c>
      <c r="I69" s="630">
        <v>0</v>
      </c>
      <c r="J69" s="631">
        <v>9</v>
      </c>
      <c r="K69" s="630">
        <v>27</v>
      </c>
      <c r="L69" s="605">
        <v>39</v>
      </c>
      <c r="M69" s="403">
        <v>105</v>
      </c>
      <c r="N69" s="814">
        <v>349</v>
      </c>
      <c r="O69" s="729">
        <v>1380</v>
      </c>
      <c r="P69" s="631">
        <v>0</v>
      </c>
      <c r="Q69" s="630">
        <v>0</v>
      </c>
      <c r="R69" s="651">
        <f t="shared" si="1"/>
        <v>1729</v>
      </c>
    </row>
    <row r="70" spans="1:18" ht="15">
      <c r="A70" s="926"/>
      <c r="B70" s="919"/>
      <c r="C70" s="667">
        <v>45149</v>
      </c>
      <c r="D70" s="668">
        <v>45149</v>
      </c>
      <c r="E70" s="624">
        <v>158</v>
      </c>
      <c r="F70" s="630">
        <v>322</v>
      </c>
      <c r="G70" s="624">
        <v>18</v>
      </c>
      <c r="H70" s="609">
        <v>0</v>
      </c>
      <c r="I70" s="630">
        <v>0</v>
      </c>
      <c r="J70" s="631">
        <v>18</v>
      </c>
      <c r="K70" s="630">
        <v>53</v>
      </c>
      <c r="L70" s="605">
        <v>5</v>
      </c>
      <c r="M70" s="403">
        <v>94</v>
      </c>
      <c r="N70" s="814">
        <v>208</v>
      </c>
      <c r="O70" s="729">
        <v>888</v>
      </c>
      <c r="P70" s="631">
        <v>0</v>
      </c>
      <c r="Q70" s="630">
        <v>0</v>
      </c>
      <c r="R70" s="651">
        <f t="shared" si="1"/>
        <v>1096</v>
      </c>
    </row>
    <row r="71" spans="1:18" ht="15">
      <c r="A71" s="926"/>
      <c r="B71" s="919"/>
      <c r="C71" s="667">
        <v>45150</v>
      </c>
      <c r="D71" s="668">
        <v>45150</v>
      </c>
      <c r="E71" s="624">
        <v>198</v>
      </c>
      <c r="F71" s="630">
        <v>471</v>
      </c>
      <c r="G71" s="624">
        <v>14</v>
      </c>
      <c r="H71" s="609">
        <v>0</v>
      </c>
      <c r="I71" s="630">
        <v>0</v>
      </c>
      <c r="J71" s="631">
        <v>3</v>
      </c>
      <c r="K71" s="630">
        <v>82</v>
      </c>
      <c r="L71" s="605">
        <v>6</v>
      </c>
      <c r="M71" s="403">
        <v>105</v>
      </c>
      <c r="N71" s="814">
        <v>373</v>
      </c>
      <c r="O71" s="729">
        <v>1249</v>
      </c>
      <c r="P71" s="631">
        <v>0</v>
      </c>
      <c r="Q71" s="630">
        <v>0</v>
      </c>
      <c r="R71" s="651">
        <f t="shared" si="1"/>
        <v>1622</v>
      </c>
    </row>
    <row r="72" spans="1:18" ht="15">
      <c r="A72" s="926"/>
      <c r="B72" s="920"/>
      <c r="C72" s="381">
        <v>45151</v>
      </c>
      <c r="D72" s="382">
        <v>45151</v>
      </c>
      <c r="E72" s="624">
        <v>228</v>
      </c>
      <c r="F72" s="630">
        <v>514</v>
      </c>
      <c r="G72" s="624">
        <v>22</v>
      </c>
      <c r="H72" s="609">
        <v>1</v>
      </c>
      <c r="I72" s="630">
        <v>0</v>
      </c>
      <c r="J72" s="631">
        <v>0</v>
      </c>
      <c r="K72" s="630">
        <v>33</v>
      </c>
      <c r="L72" s="605">
        <v>3</v>
      </c>
      <c r="M72" s="403">
        <v>59</v>
      </c>
      <c r="N72" s="814">
        <v>427</v>
      </c>
      <c r="O72" s="729">
        <v>1198</v>
      </c>
      <c r="P72" s="631">
        <v>0</v>
      </c>
      <c r="Q72" s="630">
        <v>0</v>
      </c>
      <c r="R72" s="651">
        <f t="shared" si="1"/>
        <v>1625</v>
      </c>
    </row>
    <row r="73" spans="1:18" ht="15.75" thickBot="1">
      <c r="A73" s="926"/>
      <c r="B73" s="918">
        <v>34</v>
      </c>
      <c r="C73" s="383">
        <v>45152</v>
      </c>
      <c r="D73" s="384">
        <v>45153</v>
      </c>
      <c r="E73" s="617">
        <v>304</v>
      </c>
      <c r="F73" s="615">
        <v>666</v>
      </c>
      <c r="G73" s="617">
        <v>12</v>
      </c>
      <c r="H73" s="604">
        <v>0</v>
      </c>
      <c r="I73" s="615">
        <v>0</v>
      </c>
      <c r="J73" s="616">
        <v>9</v>
      </c>
      <c r="K73" s="615">
        <v>40</v>
      </c>
      <c r="L73" s="601">
        <v>0</v>
      </c>
      <c r="M73" s="139">
        <v>61</v>
      </c>
      <c r="N73" s="279">
        <v>402</v>
      </c>
      <c r="O73" s="555">
        <v>1326</v>
      </c>
      <c r="P73" s="616">
        <v>0</v>
      </c>
      <c r="Q73" s="615">
        <v>0</v>
      </c>
      <c r="R73" s="139">
        <f t="shared" si="1"/>
        <v>1728</v>
      </c>
    </row>
    <row r="74" spans="1:18" ht="15">
      <c r="A74" s="926"/>
      <c r="B74" s="919"/>
      <c r="C74" s="379">
        <v>45154</v>
      </c>
      <c r="D74" s="380">
        <v>45155</v>
      </c>
      <c r="E74" s="620">
        <v>109</v>
      </c>
      <c r="F74" s="621">
        <v>242</v>
      </c>
      <c r="G74" s="620">
        <v>12</v>
      </c>
      <c r="H74" s="610">
        <v>9</v>
      </c>
      <c r="I74" s="621">
        <v>0</v>
      </c>
      <c r="J74" s="632">
        <v>0</v>
      </c>
      <c r="K74" s="621">
        <v>6</v>
      </c>
      <c r="L74" s="611">
        <v>0</v>
      </c>
      <c r="M74" s="256">
        <v>27</v>
      </c>
      <c r="N74" s="813">
        <v>212</v>
      </c>
      <c r="O74" s="812">
        <v>136</v>
      </c>
      <c r="P74" s="632">
        <v>0</v>
      </c>
      <c r="Q74" s="621">
        <v>0</v>
      </c>
      <c r="R74" s="402">
        <f t="shared" si="1"/>
        <v>348</v>
      </c>
    </row>
    <row r="75" spans="1:18" ht="15">
      <c r="A75" s="926"/>
      <c r="B75" s="919"/>
      <c r="C75" s="379">
        <v>45156</v>
      </c>
      <c r="D75" s="380">
        <v>45156</v>
      </c>
      <c r="E75" s="624">
        <v>85</v>
      </c>
      <c r="F75" s="630">
        <v>178</v>
      </c>
      <c r="G75" s="624">
        <v>1</v>
      </c>
      <c r="H75" s="609">
        <v>1</v>
      </c>
      <c r="I75" s="630">
        <v>0</v>
      </c>
      <c r="J75" s="631">
        <v>0</v>
      </c>
      <c r="K75" s="630">
        <v>7</v>
      </c>
      <c r="L75" s="605">
        <v>1</v>
      </c>
      <c r="M75" s="403">
        <v>10</v>
      </c>
      <c r="N75" s="814">
        <v>146</v>
      </c>
      <c r="O75" s="729">
        <v>128</v>
      </c>
      <c r="P75" s="631">
        <v>0</v>
      </c>
      <c r="Q75" s="630">
        <v>0</v>
      </c>
      <c r="R75" s="651">
        <f t="shared" si="1"/>
        <v>274</v>
      </c>
    </row>
    <row r="76" spans="1:18" ht="15">
      <c r="A76" s="926"/>
      <c r="B76" s="919"/>
      <c r="C76" s="379">
        <v>45157</v>
      </c>
      <c r="D76" s="380">
        <v>45157</v>
      </c>
      <c r="E76" s="624">
        <v>146</v>
      </c>
      <c r="F76" s="630">
        <v>359</v>
      </c>
      <c r="G76" s="624">
        <v>40</v>
      </c>
      <c r="H76" s="609">
        <v>1</v>
      </c>
      <c r="I76" s="630">
        <v>0</v>
      </c>
      <c r="J76" s="631">
        <v>1</v>
      </c>
      <c r="K76" s="630">
        <v>9</v>
      </c>
      <c r="L76" s="605">
        <v>1</v>
      </c>
      <c r="M76" s="403">
        <v>52</v>
      </c>
      <c r="N76" s="814">
        <v>448</v>
      </c>
      <c r="O76" s="729">
        <v>205</v>
      </c>
      <c r="P76" s="631">
        <v>0</v>
      </c>
      <c r="Q76" s="630">
        <v>0</v>
      </c>
      <c r="R76" s="651">
        <f t="shared" si="1"/>
        <v>653</v>
      </c>
    </row>
    <row r="77" spans="1:18" ht="15">
      <c r="A77" s="926"/>
      <c r="B77" s="920"/>
      <c r="C77" s="667">
        <v>45158</v>
      </c>
      <c r="D77" s="668">
        <v>45158</v>
      </c>
      <c r="E77" s="624">
        <v>134</v>
      </c>
      <c r="F77" s="630">
        <v>322</v>
      </c>
      <c r="G77" s="624">
        <v>32</v>
      </c>
      <c r="H77" s="609">
        <v>3</v>
      </c>
      <c r="I77" s="630">
        <v>0</v>
      </c>
      <c r="J77" s="631">
        <v>0</v>
      </c>
      <c r="K77" s="630">
        <v>20</v>
      </c>
      <c r="L77" s="605">
        <v>5</v>
      </c>
      <c r="M77" s="403">
        <v>60</v>
      </c>
      <c r="N77" s="814">
        <v>516</v>
      </c>
      <c r="O77" s="729">
        <v>247</v>
      </c>
      <c r="P77" s="631">
        <v>0</v>
      </c>
      <c r="Q77" s="630">
        <v>0</v>
      </c>
      <c r="R77" s="651">
        <f t="shared" si="1"/>
        <v>763</v>
      </c>
    </row>
    <row r="78" spans="1:18" ht="15">
      <c r="A78" s="926"/>
      <c r="B78" s="918">
        <v>35</v>
      </c>
      <c r="C78" s="667">
        <v>45159</v>
      </c>
      <c r="D78" s="668">
        <v>45162</v>
      </c>
      <c r="E78" s="624">
        <v>303</v>
      </c>
      <c r="F78" s="630">
        <v>683</v>
      </c>
      <c r="G78" s="624">
        <v>150</v>
      </c>
      <c r="H78" s="609">
        <v>0</v>
      </c>
      <c r="I78" s="630">
        <v>0</v>
      </c>
      <c r="J78" s="631">
        <v>24</v>
      </c>
      <c r="K78" s="630">
        <v>121</v>
      </c>
      <c r="L78" s="605">
        <v>12</v>
      </c>
      <c r="M78" s="403">
        <v>307</v>
      </c>
      <c r="N78" s="814">
        <v>766</v>
      </c>
      <c r="O78" s="729">
        <v>589</v>
      </c>
      <c r="P78" s="631">
        <v>0</v>
      </c>
      <c r="Q78" s="630">
        <v>0</v>
      </c>
      <c r="R78" s="651">
        <f t="shared" si="1"/>
        <v>1355</v>
      </c>
    </row>
    <row r="79" spans="1:18" ht="15">
      <c r="A79" s="926"/>
      <c r="B79" s="919"/>
      <c r="C79" s="667">
        <v>45163</v>
      </c>
      <c r="D79" s="668">
        <v>45163</v>
      </c>
      <c r="E79" s="624">
        <v>97</v>
      </c>
      <c r="F79" s="630">
        <v>217</v>
      </c>
      <c r="G79" s="624">
        <v>58</v>
      </c>
      <c r="H79" s="609">
        <v>4</v>
      </c>
      <c r="I79" s="630">
        <v>0</v>
      </c>
      <c r="J79" s="631">
        <v>0</v>
      </c>
      <c r="K79" s="630">
        <v>52</v>
      </c>
      <c r="L79" s="605">
        <v>0</v>
      </c>
      <c r="M79" s="403">
        <v>114</v>
      </c>
      <c r="N79" s="814">
        <v>176</v>
      </c>
      <c r="O79" s="729">
        <v>167</v>
      </c>
      <c r="P79" s="631">
        <v>0</v>
      </c>
      <c r="Q79" s="630">
        <v>0</v>
      </c>
      <c r="R79" s="651">
        <f t="shared" si="1"/>
        <v>343</v>
      </c>
    </row>
    <row r="80" spans="1:18" ht="15">
      <c r="A80" s="926"/>
      <c r="B80" s="919"/>
      <c r="C80" s="667">
        <v>45164</v>
      </c>
      <c r="D80" s="668">
        <v>45164</v>
      </c>
      <c r="E80" s="624">
        <v>163</v>
      </c>
      <c r="F80" s="630">
        <v>404</v>
      </c>
      <c r="G80" s="624">
        <v>95</v>
      </c>
      <c r="H80" s="609">
        <v>1</v>
      </c>
      <c r="I80" s="630">
        <v>0</v>
      </c>
      <c r="J80" s="631">
        <v>12</v>
      </c>
      <c r="K80" s="630">
        <v>42</v>
      </c>
      <c r="L80" s="605">
        <v>15</v>
      </c>
      <c r="M80" s="403">
        <v>165</v>
      </c>
      <c r="N80" s="814">
        <v>461</v>
      </c>
      <c r="O80" s="729">
        <v>247</v>
      </c>
      <c r="P80" s="631">
        <v>0</v>
      </c>
      <c r="Q80" s="630">
        <v>0</v>
      </c>
      <c r="R80" s="651">
        <f t="shared" si="1"/>
        <v>708</v>
      </c>
    </row>
    <row r="81" spans="1:18" ht="15">
      <c r="A81" s="926"/>
      <c r="B81" s="920"/>
      <c r="C81" s="667">
        <v>45165</v>
      </c>
      <c r="D81" s="668">
        <v>45165</v>
      </c>
      <c r="E81" s="624">
        <v>112</v>
      </c>
      <c r="F81" s="630">
        <v>276</v>
      </c>
      <c r="G81" s="624">
        <v>34</v>
      </c>
      <c r="H81" s="609">
        <v>1</v>
      </c>
      <c r="I81" s="630">
        <v>0</v>
      </c>
      <c r="J81" s="631">
        <v>3</v>
      </c>
      <c r="K81" s="630">
        <v>28</v>
      </c>
      <c r="L81" s="605">
        <v>1</v>
      </c>
      <c r="M81" s="403">
        <v>67</v>
      </c>
      <c r="N81" s="814">
        <v>278</v>
      </c>
      <c r="O81" s="729">
        <v>128</v>
      </c>
      <c r="P81" s="631">
        <v>0</v>
      </c>
      <c r="Q81" s="630">
        <v>1</v>
      </c>
      <c r="R81" s="651">
        <f t="shared" si="1"/>
        <v>407</v>
      </c>
    </row>
    <row r="82" spans="1:18" ht="15">
      <c r="A82" s="926"/>
      <c r="B82" s="918">
        <v>36</v>
      </c>
      <c r="C82" s="379">
        <v>45166</v>
      </c>
      <c r="D82" s="380">
        <v>45169</v>
      </c>
      <c r="E82" s="624">
        <v>203</v>
      </c>
      <c r="F82" s="630">
        <v>427</v>
      </c>
      <c r="G82" s="624">
        <v>168</v>
      </c>
      <c r="H82" s="609">
        <v>0</v>
      </c>
      <c r="I82" s="630">
        <v>0</v>
      </c>
      <c r="J82" s="631">
        <v>0</v>
      </c>
      <c r="K82" s="630">
        <v>133</v>
      </c>
      <c r="L82" s="605">
        <v>47</v>
      </c>
      <c r="M82" s="403">
        <v>348</v>
      </c>
      <c r="N82" s="814">
        <v>309</v>
      </c>
      <c r="O82" s="729">
        <v>239</v>
      </c>
      <c r="P82" s="631">
        <v>0</v>
      </c>
      <c r="Q82" s="630">
        <v>0</v>
      </c>
      <c r="R82" s="651">
        <f t="shared" si="1"/>
        <v>548</v>
      </c>
    </row>
    <row r="83" spans="1:18" ht="15">
      <c r="A83" s="926"/>
      <c r="B83" s="919"/>
      <c r="C83" s="667">
        <v>45170</v>
      </c>
      <c r="D83" s="668">
        <v>45170</v>
      </c>
      <c r="E83" s="612">
        <v>125</v>
      </c>
      <c r="F83" s="613">
        <v>262</v>
      </c>
      <c r="G83" s="612">
        <v>124</v>
      </c>
      <c r="H83" s="603">
        <v>1</v>
      </c>
      <c r="I83" s="613">
        <v>0</v>
      </c>
      <c r="J83" s="614">
        <v>6</v>
      </c>
      <c r="K83" s="613">
        <v>125</v>
      </c>
      <c r="L83" s="599">
        <v>1</v>
      </c>
      <c r="M83" s="651">
        <v>257</v>
      </c>
      <c r="N83" s="625">
        <v>147</v>
      </c>
      <c r="O83" s="626">
        <v>84</v>
      </c>
      <c r="P83" s="614">
        <v>0</v>
      </c>
      <c r="Q83" s="613">
        <v>0</v>
      </c>
      <c r="R83" s="651">
        <f t="shared" si="1"/>
        <v>231</v>
      </c>
    </row>
    <row r="84" spans="1:18" ht="15">
      <c r="A84" s="926"/>
      <c r="B84" s="919"/>
      <c r="C84" s="379">
        <v>45171</v>
      </c>
      <c r="D84" s="380">
        <v>45171</v>
      </c>
      <c r="E84" s="620">
        <v>146</v>
      </c>
      <c r="F84" s="621">
        <v>378</v>
      </c>
      <c r="G84" s="133">
        <v>209</v>
      </c>
      <c r="H84" s="529">
        <v>1</v>
      </c>
      <c r="I84" s="597">
        <v>0</v>
      </c>
      <c r="J84" s="412">
        <v>25</v>
      </c>
      <c r="K84" s="597">
        <v>197</v>
      </c>
      <c r="L84" s="95">
        <v>0</v>
      </c>
      <c r="M84" s="402">
        <v>432</v>
      </c>
      <c r="N84" s="619">
        <v>246</v>
      </c>
      <c r="O84" s="623">
        <v>124</v>
      </c>
      <c r="P84" s="412">
        <v>0</v>
      </c>
      <c r="Q84" s="597">
        <v>0</v>
      </c>
      <c r="R84" s="651">
        <f t="shared" si="1"/>
        <v>370</v>
      </c>
    </row>
    <row r="85" spans="1:18" ht="15.75" thickBot="1">
      <c r="A85" s="927"/>
      <c r="B85" s="921"/>
      <c r="C85" s="383">
        <v>45172</v>
      </c>
      <c r="D85" s="384">
        <v>45173</v>
      </c>
      <c r="E85" s="617">
        <v>186</v>
      </c>
      <c r="F85" s="615">
        <v>489</v>
      </c>
      <c r="G85" s="524">
        <v>342</v>
      </c>
      <c r="H85" s="525">
        <v>9</v>
      </c>
      <c r="I85" s="526">
        <v>0</v>
      </c>
      <c r="J85" s="527">
        <v>9</v>
      </c>
      <c r="K85" s="526">
        <v>339</v>
      </c>
      <c r="L85" s="523">
        <v>0</v>
      </c>
      <c r="M85" s="528">
        <v>699</v>
      </c>
      <c r="N85" s="811">
        <v>236</v>
      </c>
      <c r="O85" s="810">
        <v>135</v>
      </c>
      <c r="P85" s="527">
        <v>0</v>
      </c>
      <c r="Q85" s="526">
        <v>0</v>
      </c>
      <c r="R85" s="139">
        <f t="shared" si="1"/>
        <v>371</v>
      </c>
    </row>
    <row r="86" spans="1:18" ht="15">
      <c r="A86" s="926" t="s">
        <v>97</v>
      </c>
      <c r="B86" s="919">
        <v>37</v>
      </c>
      <c r="C86" s="379">
        <v>45174</v>
      </c>
      <c r="D86" s="380">
        <v>45176</v>
      </c>
      <c r="E86" s="620">
        <v>243</v>
      </c>
      <c r="F86" s="621">
        <v>472</v>
      </c>
      <c r="G86" s="620">
        <v>468</v>
      </c>
      <c r="H86" s="610">
        <v>4</v>
      </c>
      <c r="I86" s="621">
        <v>0</v>
      </c>
      <c r="J86" s="632">
        <v>27</v>
      </c>
      <c r="K86" s="621">
        <v>540</v>
      </c>
      <c r="L86" s="611">
        <v>22</v>
      </c>
      <c r="M86" s="256">
        <v>1061</v>
      </c>
      <c r="N86" s="813">
        <v>94</v>
      </c>
      <c r="O86" s="812">
        <v>108</v>
      </c>
      <c r="P86" s="632">
        <v>0</v>
      </c>
      <c r="Q86" s="621">
        <v>0</v>
      </c>
      <c r="R86" s="402">
        <f t="shared" si="1"/>
        <v>202</v>
      </c>
    </row>
    <row r="87" spans="1:18" ht="15">
      <c r="A87" s="926"/>
      <c r="B87" s="919"/>
      <c r="C87" s="667">
        <v>45177</v>
      </c>
      <c r="D87" s="668">
        <v>45177</v>
      </c>
      <c r="E87" s="624">
        <v>53</v>
      </c>
      <c r="F87" s="630">
        <v>112</v>
      </c>
      <c r="G87" s="624">
        <v>80</v>
      </c>
      <c r="H87" s="609">
        <v>0</v>
      </c>
      <c r="I87" s="630">
        <v>0</v>
      </c>
      <c r="J87" s="631">
        <v>0</v>
      </c>
      <c r="K87" s="630">
        <v>77</v>
      </c>
      <c r="L87" s="605">
        <v>0</v>
      </c>
      <c r="M87" s="403">
        <v>157</v>
      </c>
      <c r="N87" s="814">
        <v>9</v>
      </c>
      <c r="O87" s="729">
        <v>6</v>
      </c>
      <c r="P87" s="631">
        <v>0</v>
      </c>
      <c r="Q87" s="630">
        <v>0</v>
      </c>
      <c r="R87" s="651">
        <f t="shared" si="1"/>
        <v>15</v>
      </c>
    </row>
    <row r="88" spans="1:18" ht="15">
      <c r="A88" s="926"/>
      <c r="B88" s="919"/>
      <c r="C88" s="667">
        <v>45178</v>
      </c>
      <c r="D88" s="668">
        <v>45178</v>
      </c>
      <c r="E88" s="624">
        <v>138</v>
      </c>
      <c r="F88" s="630">
        <v>314</v>
      </c>
      <c r="G88" s="624">
        <v>249</v>
      </c>
      <c r="H88" s="609">
        <v>1</v>
      </c>
      <c r="I88" s="630">
        <v>0</v>
      </c>
      <c r="J88" s="631">
        <v>21</v>
      </c>
      <c r="K88" s="630">
        <v>308</v>
      </c>
      <c r="L88" s="605">
        <v>3</v>
      </c>
      <c r="M88" s="403">
        <v>582</v>
      </c>
      <c r="N88" s="814">
        <v>46</v>
      </c>
      <c r="O88" s="729">
        <v>34</v>
      </c>
      <c r="P88" s="631">
        <v>0</v>
      </c>
      <c r="Q88" s="630">
        <v>0</v>
      </c>
      <c r="R88" s="651">
        <f t="shared" si="1"/>
        <v>80</v>
      </c>
    </row>
    <row r="89" spans="1:18" ht="15">
      <c r="A89" s="926"/>
      <c r="B89" s="920"/>
      <c r="C89" s="667">
        <v>45179</v>
      </c>
      <c r="D89" s="668">
        <v>45179</v>
      </c>
      <c r="E89" s="624">
        <v>78</v>
      </c>
      <c r="F89" s="630">
        <v>175</v>
      </c>
      <c r="G89" s="624">
        <v>94</v>
      </c>
      <c r="H89" s="609">
        <v>0</v>
      </c>
      <c r="I89" s="630">
        <v>0</v>
      </c>
      <c r="J89" s="631">
        <v>12</v>
      </c>
      <c r="K89" s="630">
        <v>155</v>
      </c>
      <c r="L89" s="605">
        <v>1</v>
      </c>
      <c r="M89" s="403">
        <v>262</v>
      </c>
      <c r="N89" s="814">
        <v>7</v>
      </c>
      <c r="O89" s="729">
        <v>6</v>
      </c>
      <c r="P89" s="631">
        <v>0</v>
      </c>
      <c r="Q89" s="630">
        <v>0</v>
      </c>
      <c r="R89" s="651">
        <f t="shared" si="1"/>
        <v>13</v>
      </c>
    </row>
    <row r="90" spans="1:18" ht="15">
      <c r="A90" s="926"/>
      <c r="B90" s="918">
        <v>38</v>
      </c>
      <c r="C90" s="667">
        <v>45180</v>
      </c>
      <c r="D90" s="668">
        <v>45183</v>
      </c>
      <c r="E90" s="624">
        <v>289</v>
      </c>
      <c r="F90" s="630">
        <v>574</v>
      </c>
      <c r="G90" s="624">
        <v>319</v>
      </c>
      <c r="H90" s="609">
        <v>0</v>
      </c>
      <c r="I90" s="630">
        <v>0</v>
      </c>
      <c r="J90" s="631">
        <v>81</v>
      </c>
      <c r="K90" s="630">
        <v>553</v>
      </c>
      <c r="L90" s="605">
        <v>9</v>
      </c>
      <c r="M90" s="403">
        <v>962</v>
      </c>
      <c r="N90" s="814">
        <v>9</v>
      </c>
      <c r="O90" s="729">
        <v>21</v>
      </c>
      <c r="P90" s="631">
        <v>0</v>
      </c>
      <c r="Q90" s="630">
        <v>0</v>
      </c>
      <c r="R90" s="651">
        <f t="shared" si="1"/>
        <v>30</v>
      </c>
    </row>
    <row r="91" spans="1:18" ht="15">
      <c r="A91" s="926"/>
      <c r="B91" s="919"/>
      <c r="C91" s="667">
        <v>45184</v>
      </c>
      <c r="D91" s="668">
        <v>45184</v>
      </c>
      <c r="E91" s="624">
        <v>96</v>
      </c>
      <c r="F91" s="630">
        <v>199</v>
      </c>
      <c r="G91" s="624">
        <v>168</v>
      </c>
      <c r="H91" s="609">
        <v>3</v>
      </c>
      <c r="I91" s="630">
        <v>0</v>
      </c>
      <c r="J91" s="631">
        <v>6</v>
      </c>
      <c r="K91" s="630">
        <v>233</v>
      </c>
      <c r="L91" s="605">
        <v>13</v>
      </c>
      <c r="M91" s="403">
        <v>423</v>
      </c>
      <c r="N91" s="814">
        <v>4</v>
      </c>
      <c r="O91" s="729">
        <v>7</v>
      </c>
      <c r="P91" s="631">
        <v>0</v>
      </c>
      <c r="Q91" s="630">
        <v>0</v>
      </c>
      <c r="R91" s="651">
        <f t="shared" si="1"/>
        <v>11</v>
      </c>
    </row>
    <row r="92" spans="1:18" ht="15">
      <c r="A92" s="926"/>
      <c r="B92" s="919"/>
      <c r="C92" s="667">
        <v>45185</v>
      </c>
      <c r="D92" s="668">
        <v>45185</v>
      </c>
      <c r="E92" s="624">
        <v>47</v>
      </c>
      <c r="F92" s="630">
        <v>127</v>
      </c>
      <c r="G92" s="624">
        <v>22</v>
      </c>
      <c r="H92" s="609">
        <v>0</v>
      </c>
      <c r="I92" s="630">
        <v>0</v>
      </c>
      <c r="J92" s="631">
        <v>3</v>
      </c>
      <c r="K92" s="630">
        <v>29</v>
      </c>
      <c r="L92" s="605">
        <v>0</v>
      </c>
      <c r="M92" s="403">
        <v>54</v>
      </c>
      <c r="N92" s="814">
        <v>0</v>
      </c>
      <c r="O92" s="729">
        <v>0</v>
      </c>
      <c r="P92" s="631">
        <v>0</v>
      </c>
      <c r="Q92" s="630">
        <v>0</v>
      </c>
      <c r="R92" s="651">
        <f t="shared" si="1"/>
        <v>0</v>
      </c>
    </row>
    <row r="93" spans="1:18" ht="15">
      <c r="A93" s="926"/>
      <c r="B93" s="920"/>
      <c r="C93" s="667">
        <v>45186</v>
      </c>
      <c r="D93" s="668">
        <v>45186</v>
      </c>
      <c r="E93" s="624">
        <v>91</v>
      </c>
      <c r="F93" s="630">
        <v>205</v>
      </c>
      <c r="G93" s="624">
        <v>137</v>
      </c>
      <c r="H93" s="609">
        <v>0</v>
      </c>
      <c r="I93" s="630">
        <v>0</v>
      </c>
      <c r="J93" s="631">
        <v>13</v>
      </c>
      <c r="K93" s="630">
        <v>175</v>
      </c>
      <c r="L93" s="605">
        <v>0</v>
      </c>
      <c r="M93" s="403">
        <v>325</v>
      </c>
      <c r="N93" s="814">
        <v>4</v>
      </c>
      <c r="O93" s="729">
        <v>1</v>
      </c>
      <c r="P93" s="631">
        <v>0</v>
      </c>
      <c r="Q93" s="630">
        <v>0</v>
      </c>
      <c r="R93" s="651">
        <f t="shared" si="1"/>
        <v>5</v>
      </c>
    </row>
    <row r="94" spans="1:18" ht="15">
      <c r="A94" s="926"/>
      <c r="B94" s="918">
        <v>39</v>
      </c>
      <c r="C94" s="381">
        <v>45187</v>
      </c>
      <c r="D94" s="382">
        <v>45190</v>
      </c>
      <c r="E94" s="624">
        <v>147</v>
      </c>
      <c r="F94" s="630">
        <v>295</v>
      </c>
      <c r="G94" s="624">
        <v>186</v>
      </c>
      <c r="H94" s="609">
        <v>18</v>
      </c>
      <c r="I94" s="630">
        <v>0</v>
      </c>
      <c r="J94" s="631">
        <v>29</v>
      </c>
      <c r="K94" s="630">
        <v>327</v>
      </c>
      <c r="L94" s="605">
        <v>6</v>
      </c>
      <c r="M94" s="403">
        <v>566</v>
      </c>
      <c r="N94" s="624">
        <v>3</v>
      </c>
      <c r="O94" s="630">
        <v>0</v>
      </c>
      <c r="P94" s="631">
        <v>0</v>
      </c>
      <c r="Q94" s="630">
        <v>0</v>
      </c>
      <c r="R94" s="651">
        <f t="shared" si="1"/>
        <v>3</v>
      </c>
    </row>
    <row r="95" spans="1:18" ht="15">
      <c r="A95" s="926"/>
      <c r="B95" s="919"/>
      <c r="C95" s="381">
        <v>45191</v>
      </c>
      <c r="D95" s="382">
        <v>45191</v>
      </c>
      <c r="E95" s="624">
        <v>116</v>
      </c>
      <c r="F95" s="630">
        <v>227</v>
      </c>
      <c r="G95" s="624">
        <v>183</v>
      </c>
      <c r="H95" s="609">
        <v>0</v>
      </c>
      <c r="I95" s="630">
        <v>3</v>
      </c>
      <c r="J95" s="631">
        <v>82</v>
      </c>
      <c r="K95" s="630">
        <v>317</v>
      </c>
      <c r="L95" s="605">
        <v>7</v>
      </c>
      <c r="M95" s="403">
        <v>592</v>
      </c>
      <c r="N95" s="624">
        <v>0</v>
      </c>
      <c r="O95" s="630">
        <v>4</v>
      </c>
      <c r="P95" s="631">
        <v>0</v>
      </c>
      <c r="Q95" s="630">
        <v>0</v>
      </c>
      <c r="R95" s="651">
        <f t="shared" si="1"/>
        <v>4</v>
      </c>
    </row>
    <row r="96" spans="1:18" ht="15">
      <c r="A96" s="926"/>
      <c r="B96" s="919"/>
      <c r="C96" s="381">
        <v>45192</v>
      </c>
      <c r="D96" s="382">
        <v>45192</v>
      </c>
      <c r="E96" s="624">
        <v>82</v>
      </c>
      <c r="F96" s="630">
        <v>166</v>
      </c>
      <c r="G96" s="624">
        <v>105</v>
      </c>
      <c r="H96" s="609">
        <v>1</v>
      </c>
      <c r="I96" s="630">
        <v>0</v>
      </c>
      <c r="J96" s="631">
        <v>41</v>
      </c>
      <c r="K96" s="630">
        <v>143</v>
      </c>
      <c r="L96" s="605">
        <v>10</v>
      </c>
      <c r="M96" s="403">
        <v>300</v>
      </c>
      <c r="N96" s="624">
        <v>0</v>
      </c>
      <c r="O96" s="630">
        <v>0</v>
      </c>
      <c r="P96" s="631">
        <v>0</v>
      </c>
      <c r="Q96" s="630">
        <v>0</v>
      </c>
      <c r="R96" s="651">
        <f t="shared" si="1"/>
        <v>0</v>
      </c>
    </row>
    <row r="97" spans="1:18" ht="15">
      <c r="A97" s="926"/>
      <c r="B97" s="920"/>
      <c r="C97" s="381">
        <v>45193</v>
      </c>
      <c r="D97" s="382">
        <v>45193</v>
      </c>
      <c r="E97" s="624">
        <v>52</v>
      </c>
      <c r="F97" s="630">
        <v>118</v>
      </c>
      <c r="G97" s="624">
        <v>27</v>
      </c>
      <c r="H97" s="609">
        <v>0</v>
      </c>
      <c r="I97" s="630">
        <v>0</v>
      </c>
      <c r="J97" s="631">
        <v>6</v>
      </c>
      <c r="K97" s="630">
        <v>94</v>
      </c>
      <c r="L97" s="605">
        <v>6</v>
      </c>
      <c r="M97" s="403">
        <v>133</v>
      </c>
      <c r="N97" s="624">
        <v>0</v>
      </c>
      <c r="O97" s="630">
        <v>0</v>
      </c>
      <c r="P97" s="631">
        <v>0</v>
      </c>
      <c r="Q97" s="630">
        <v>0</v>
      </c>
      <c r="R97" s="651">
        <f t="shared" si="1"/>
        <v>0</v>
      </c>
    </row>
    <row r="98" spans="1:18" ht="15">
      <c r="A98" s="926"/>
      <c r="B98" s="918">
        <v>40</v>
      </c>
      <c r="C98" s="381">
        <v>45194</v>
      </c>
      <c r="D98" s="382">
        <v>45197</v>
      </c>
      <c r="E98" s="624">
        <v>97</v>
      </c>
      <c r="F98" s="630">
        <v>171</v>
      </c>
      <c r="G98" s="624">
        <v>80</v>
      </c>
      <c r="H98" s="609">
        <v>3</v>
      </c>
      <c r="I98" s="630">
        <v>0</v>
      </c>
      <c r="J98" s="631">
        <v>6</v>
      </c>
      <c r="K98" s="630">
        <v>274</v>
      </c>
      <c r="L98" s="605">
        <v>9</v>
      </c>
      <c r="M98" s="403">
        <v>372</v>
      </c>
      <c r="N98" s="624">
        <v>0</v>
      </c>
      <c r="O98" s="630">
        <v>0</v>
      </c>
      <c r="P98" s="631">
        <v>0</v>
      </c>
      <c r="Q98" s="630">
        <v>0</v>
      </c>
      <c r="R98" s="651">
        <f t="shared" si="1"/>
        <v>0</v>
      </c>
    </row>
    <row r="99" spans="1:18" ht="15">
      <c r="A99" s="926"/>
      <c r="B99" s="919"/>
      <c r="C99" s="381">
        <v>45198</v>
      </c>
      <c r="D99" s="382">
        <v>45198</v>
      </c>
      <c r="E99" s="624">
        <v>72</v>
      </c>
      <c r="F99" s="630">
        <v>135</v>
      </c>
      <c r="G99" s="624">
        <v>38</v>
      </c>
      <c r="H99" s="609">
        <v>0</v>
      </c>
      <c r="I99" s="630">
        <v>0</v>
      </c>
      <c r="J99" s="631">
        <v>9</v>
      </c>
      <c r="K99" s="630">
        <v>155</v>
      </c>
      <c r="L99" s="605">
        <v>0</v>
      </c>
      <c r="M99" s="403">
        <v>202</v>
      </c>
      <c r="N99" s="624">
        <v>0</v>
      </c>
      <c r="O99" s="630">
        <v>3</v>
      </c>
      <c r="P99" s="631">
        <v>0</v>
      </c>
      <c r="Q99" s="630">
        <v>0</v>
      </c>
      <c r="R99" s="651">
        <f t="shared" si="1"/>
        <v>3</v>
      </c>
    </row>
    <row r="100" spans="1:18" ht="15">
      <c r="A100" s="926"/>
      <c r="B100" s="919"/>
      <c r="C100" s="381">
        <v>45199</v>
      </c>
      <c r="D100" s="382">
        <v>45199</v>
      </c>
      <c r="E100" s="624">
        <v>90</v>
      </c>
      <c r="F100" s="630">
        <v>195</v>
      </c>
      <c r="G100" s="624">
        <v>52</v>
      </c>
      <c r="H100" s="609">
        <v>0</v>
      </c>
      <c r="I100" s="630">
        <v>0</v>
      </c>
      <c r="J100" s="631">
        <v>69</v>
      </c>
      <c r="K100" s="630">
        <v>256</v>
      </c>
      <c r="L100" s="605">
        <v>9</v>
      </c>
      <c r="M100" s="403">
        <v>386</v>
      </c>
      <c r="N100" s="624">
        <v>0</v>
      </c>
      <c r="O100" s="630">
        <v>0</v>
      </c>
      <c r="P100" s="631">
        <v>0</v>
      </c>
      <c r="Q100" s="630">
        <v>0</v>
      </c>
      <c r="R100" s="651">
        <f t="shared" si="1"/>
        <v>0</v>
      </c>
    </row>
    <row r="101" spans="1:18" ht="15">
      <c r="A101" s="927"/>
      <c r="B101" s="921"/>
      <c r="C101" s="383">
        <v>45200</v>
      </c>
      <c r="D101" s="384">
        <v>45200</v>
      </c>
      <c r="E101" s="617">
        <v>196</v>
      </c>
      <c r="F101" s="615">
        <v>451</v>
      </c>
      <c r="G101" s="617">
        <v>104</v>
      </c>
      <c r="H101" s="604">
        <v>348</v>
      </c>
      <c r="I101" s="615">
        <v>8</v>
      </c>
      <c r="J101" s="616">
        <v>39</v>
      </c>
      <c r="K101" s="615">
        <v>53</v>
      </c>
      <c r="L101" s="601">
        <v>78</v>
      </c>
      <c r="M101" s="139">
        <f>SUM(G101:L101)</f>
        <v>630</v>
      </c>
      <c r="N101" s="617">
        <v>0</v>
      </c>
      <c r="O101" s="615">
        <v>0</v>
      </c>
      <c r="P101" s="616">
        <v>0</v>
      </c>
      <c r="Q101" s="615">
        <v>0</v>
      </c>
      <c r="R101" s="139">
        <f t="shared" si="1"/>
        <v>0</v>
      </c>
    </row>
    <row r="102" spans="1:18" ht="15">
      <c r="A102" s="925" t="s">
        <v>98</v>
      </c>
      <c r="B102" s="881">
        <v>41</v>
      </c>
      <c r="C102" s="440">
        <v>45201</v>
      </c>
      <c r="D102" s="441">
        <v>45207</v>
      </c>
      <c r="E102" s="620">
        <v>616</v>
      </c>
      <c r="F102" s="621">
        <v>1252</v>
      </c>
      <c r="G102" s="620">
        <v>231</v>
      </c>
      <c r="H102" s="610">
        <v>987</v>
      </c>
      <c r="I102" s="621">
        <v>0</v>
      </c>
      <c r="J102" s="632">
        <v>46</v>
      </c>
      <c r="K102" s="621">
        <v>50</v>
      </c>
      <c r="L102" s="611">
        <v>400</v>
      </c>
      <c r="M102" s="256">
        <f>SUM(G102:L102)</f>
        <v>1714</v>
      </c>
      <c r="N102" s="620">
        <v>5</v>
      </c>
      <c r="O102" s="621">
        <v>0</v>
      </c>
      <c r="P102" s="632">
        <v>0</v>
      </c>
      <c r="Q102" s="621">
        <v>0</v>
      </c>
      <c r="R102" s="402">
        <f t="shared" si="1"/>
        <v>5</v>
      </c>
    </row>
    <row r="103" spans="1:18" ht="15">
      <c r="A103" s="927"/>
      <c r="B103" s="882">
        <v>42</v>
      </c>
      <c r="C103" s="383">
        <v>45208</v>
      </c>
      <c r="D103" s="384">
        <v>45214</v>
      </c>
      <c r="E103" s="617">
        <v>394</v>
      </c>
      <c r="F103" s="615">
        <v>794</v>
      </c>
      <c r="G103" s="617">
        <v>113</v>
      </c>
      <c r="H103" s="604">
        <v>567</v>
      </c>
      <c r="I103" s="615">
        <v>0</v>
      </c>
      <c r="J103" s="616">
        <v>8</v>
      </c>
      <c r="K103" s="615">
        <v>42</v>
      </c>
      <c r="L103" s="601">
        <v>154</v>
      </c>
      <c r="M103" s="139">
        <f>SUM(G103:L103)</f>
        <v>884</v>
      </c>
      <c r="N103" s="617">
        <v>5</v>
      </c>
      <c r="O103" s="615">
        <v>0</v>
      </c>
      <c r="P103" s="616">
        <v>0</v>
      </c>
      <c r="Q103" s="615">
        <v>0</v>
      </c>
      <c r="R103" s="651">
        <f t="shared" si="1"/>
        <v>5</v>
      </c>
    </row>
    <row r="104" spans="1:18" ht="15">
      <c r="A104" s="923" t="s">
        <v>71</v>
      </c>
      <c r="B104" s="924"/>
      <c r="C104" s="924"/>
      <c r="D104" s="924"/>
      <c r="E104" s="64">
        <f>SUM(E47:E103)</f>
        <v>9789</v>
      </c>
      <c r="F104" s="65">
        <f t="shared" ref="F104:R104" si="3">SUM(F47:F103)</f>
        <v>20866</v>
      </c>
      <c r="G104" s="64">
        <f>SUM(G47:G103)</f>
        <v>4296</v>
      </c>
      <c r="H104" s="154">
        <f t="shared" si="3"/>
        <v>1968</v>
      </c>
      <c r="I104" s="66">
        <f t="shared" si="3"/>
        <v>11</v>
      </c>
      <c r="J104" s="65">
        <f t="shared" si="3"/>
        <v>694</v>
      </c>
      <c r="K104" s="64">
        <f t="shared" si="3"/>
        <v>5557</v>
      </c>
      <c r="L104" s="64">
        <f t="shared" si="3"/>
        <v>1047</v>
      </c>
      <c r="M104" s="140">
        <f>SUM(M47:M103)</f>
        <v>13573</v>
      </c>
      <c r="N104" s="64">
        <f t="shared" si="3"/>
        <v>6500</v>
      </c>
      <c r="O104" s="140">
        <f>SUM(O47:O103)</f>
        <v>9645</v>
      </c>
      <c r="P104" s="65">
        <f t="shared" si="3"/>
        <v>0</v>
      </c>
      <c r="Q104" s="64">
        <f t="shared" si="3"/>
        <v>2</v>
      </c>
      <c r="R104" s="140">
        <f t="shared" si="3"/>
        <v>16147</v>
      </c>
    </row>
    <row r="105" spans="1:18" ht="15">
      <c r="A105" s="914" t="s">
        <v>72</v>
      </c>
      <c r="B105" s="915"/>
      <c r="C105" s="915"/>
      <c r="D105" s="915"/>
      <c r="E105" s="647">
        <v>100858</v>
      </c>
      <c r="F105" s="648">
        <v>438383</v>
      </c>
      <c r="G105" s="647">
        <v>23628</v>
      </c>
      <c r="H105" s="648">
        <v>388392</v>
      </c>
      <c r="I105" s="633">
        <v>0</v>
      </c>
      <c r="J105" s="641">
        <v>201</v>
      </c>
      <c r="K105" s="633">
        <v>2590</v>
      </c>
      <c r="L105" s="70">
        <v>22360</v>
      </c>
      <c r="M105" s="637">
        <f>SUM(G105:L105)</f>
        <v>437171</v>
      </c>
      <c r="N105" s="647">
        <f>96738+83</f>
        <v>96821</v>
      </c>
      <c r="O105" s="633">
        <v>392993</v>
      </c>
      <c r="P105" s="641">
        <v>0</v>
      </c>
      <c r="Q105" s="633">
        <v>0</v>
      </c>
      <c r="R105" s="637">
        <f>SUM(N105:Q105)</f>
        <v>489814</v>
      </c>
    </row>
    <row r="106" spans="1:18" ht="15">
      <c r="A106" s="916" t="s">
        <v>73</v>
      </c>
      <c r="B106" s="917"/>
      <c r="C106" s="917"/>
      <c r="D106" s="917"/>
      <c r="E106" s="650">
        <v>318</v>
      </c>
      <c r="F106" s="653">
        <v>662</v>
      </c>
      <c r="G106" s="650">
        <v>154</v>
      </c>
      <c r="H106" s="155">
        <v>623</v>
      </c>
      <c r="I106" s="157">
        <v>1</v>
      </c>
      <c r="J106" s="142">
        <v>14</v>
      </c>
      <c r="K106" s="142">
        <v>51</v>
      </c>
      <c r="L106" s="650">
        <v>150</v>
      </c>
      <c r="M106" s="141">
        <v>337</v>
      </c>
      <c r="N106" s="643">
        <f t="shared" ref="N106" si="4">SQRT(N105)</f>
        <v>311.16073017011644</v>
      </c>
      <c r="O106" s="645">
        <v>627</v>
      </c>
      <c r="P106" s="642">
        <v>0</v>
      </c>
      <c r="Q106" s="642">
        <v>0</v>
      </c>
      <c r="R106" s="643">
        <f t="shared" ref="R106" si="5">SQRT(R105)</f>
        <v>699.86713024687765</v>
      </c>
    </row>
    <row r="107" spans="1:18" ht="15">
      <c r="A107" s="916" t="s">
        <v>74</v>
      </c>
      <c r="B107" s="917"/>
      <c r="C107" s="917"/>
      <c r="D107" s="917"/>
      <c r="E107" s="656">
        <v>0.26300000000000001</v>
      </c>
      <c r="F107" s="657">
        <v>0.26500000000000001</v>
      </c>
      <c r="G107" s="656">
        <v>1.03</v>
      </c>
      <c r="H107" s="665">
        <v>0.98</v>
      </c>
      <c r="I107" s="659">
        <v>26</v>
      </c>
      <c r="J107" s="662">
        <v>0.46</v>
      </c>
      <c r="K107" s="662">
        <v>1.05</v>
      </c>
      <c r="L107" s="656">
        <v>0.71</v>
      </c>
      <c r="M107" s="663">
        <v>0.03</v>
      </c>
      <c r="N107" s="638">
        <f t="shared" ref="N107" si="6">N106/N104</f>
        <v>4.7870881564633296E-2</v>
      </c>
      <c r="O107" s="635">
        <v>0.06</v>
      </c>
      <c r="P107" s="640" t="s">
        <v>140</v>
      </c>
      <c r="Q107" s="640">
        <v>0</v>
      </c>
      <c r="R107" s="638">
        <f t="shared" ref="R107" si="7">R106/R104</f>
        <v>4.3343477441436656E-2</v>
      </c>
    </row>
    <row r="108" spans="1:18" ht="15">
      <c r="A108" s="928" t="s">
        <v>75</v>
      </c>
      <c r="B108" s="929"/>
      <c r="C108" s="929"/>
      <c r="D108" s="929"/>
      <c r="E108" s="654" t="s">
        <v>141</v>
      </c>
      <c r="F108" s="655" t="s">
        <v>142</v>
      </c>
      <c r="G108" s="660" t="s">
        <v>143</v>
      </c>
      <c r="H108" s="652" t="s">
        <v>144</v>
      </c>
      <c r="I108" s="658" t="s">
        <v>145</v>
      </c>
      <c r="J108" s="649" t="s">
        <v>146</v>
      </c>
      <c r="K108" s="664" t="s">
        <v>147</v>
      </c>
      <c r="L108" s="660" t="s">
        <v>148</v>
      </c>
      <c r="M108" s="661" t="s">
        <v>149</v>
      </c>
      <c r="N108" s="639" t="str">
        <f t="shared" ref="N108" si="8">CONCATENATE(TEXT(ROUND(N104-1.96*SQRT(N105),0),"#,###"),"-",TEXT(ROUND(N104+1.96*SQRT(N105),0),"#,###"))</f>
        <v>5,890-7,110</v>
      </c>
      <c r="O108" s="646" t="s">
        <v>150</v>
      </c>
      <c r="P108" s="644" t="s">
        <v>151</v>
      </c>
      <c r="Q108" s="644" t="s">
        <v>152</v>
      </c>
      <c r="R108" s="639" t="str">
        <f t="shared" ref="R108" si="9">CONCATENATE(TEXT(ROUND(R104-1.96*SQRT(R105),0),"#,###"),"-",TEXT(ROUND(R104+1.96*SQRT(R105),0),"#,###"))</f>
        <v>14,775-17,519</v>
      </c>
    </row>
    <row r="109" spans="1:18" ht="14.25">
      <c r="A109" s="1005" t="s">
        <v>83</v>
      </c>
      <c r="B109" s="1006"/>
      <c r="C109" s="1006"/>
      <c r="D109" s="1006"/>
      <c r="E109" s="1006"/>
      <c r="F109" s="1006"/>
      <c r="G109" s="1006"/>
      <c r="H109" s="1006"/>
      <c r="I109" s="1006"/>
      <c r="J109" s="1006"/>
      <c r="K109" s="1007"/>
    </row>
  </sheetData>
  <mergeCells count="66">
    <mergeCell ref="A65:A85"/>
    <mergeCell ref="N44:R44"/>
    <mergeCell ref="N45:N46"/>
    <mergeCell ref="O45:O46"/>
    <mergeCell ref="P45:P46"/>
    <mergeCell ref="Q45:Q46"/>
    <mergeCell ref="R45:R46"/>
    <mergeCell ref="B65:B68"/>
    <mergeCell ref="B69:B72"/>
    <mergeCell ref="B78:B81"/>
    <mergeCell ref="B82:B85"/>
    <mergeCell ref="B73:B77"/>
    <mergeCell ref="A45:A46"/>
    <mergeCell ref="B45:B46"/>
    <mergeCell ref="C45:C46"/>
    <mergeCell ref="D45:D46"/>
    <mergeCell ref="A1:K1"/>
    <mergeCell ref="A2:K2"/>
    <mergeCell ref="E5:F5"/>
    <mergeCell ref="G4:K4"/>
    <mergeCell ref="G5:H5"/>
    <mergeCell ref="I5:J5"/>
    <mergeCell ref="K5:K6"/>
    <mergeCell ref="A5:A6"/>
    <mergeCell ref="B5:B6"/>
    <mergeCell ref="C5:C6"/>
    <mergeCell ref="D5:D6"/>
    <mergeCell ref="A47:A64"/>
    <mergeCell ref="B47:B48"/>
    <mergeCell ref="B49:B52"/>
    <mergeCell ref="B53:B56"/>
    <mergeCell ref="B57:B60"/>
    <mergeCell ref="B61:B64"/>
    <mergeCell ref="G44:M44"/>
    <mergeCell ref="G45:I45"/>
    <mergeCell ref="J45:L45"/>
    <mergeCell ref="M45:M46"/>
    <mergeCell ref="E45:F45"/>
    <mergeCell ref="A40:K40"/>
    <mergeCell ref="A38:D38"/>
    <mergeCell ref="A39:K39"/>
    <mergeCell ref="A37:D37"/>
    <mergeCell ref="A35:D35"/>
    <mergeCell ref="A36:D36"/>
    <mergeCell ref="A34:D34"/>
    <mergeCell ref="B9:B12"/>
    <mergeCell ref="B13:B16"/>
    <mergeCell ref="B17:B20"/>
    <mergeCell ref="B21:B24"/>
    <mergeCell ref="A7:A24"/>
    <mergeCell ref="B25:B28"/>
    <mergeCell ref="B29:B32"/>
    <mergeCell ref="A25:A33"/>
    <mergeCell ref="B7:B8"/>
    <mergeCell ref="A109:K109"/>
    <mergeCell ref="A104:D104"/>
    <mergeCell ref="A105:D105"/>
    <mergeCell ref="A106:D106"/>
    <mergeCell ref="A107:D107"/>
    <mergeCell ref="A108:D108"/>
    <mergeCell ref="A102:A103"/>
    <mergeCell ref="B86:B89"/>
    <mergeCell ref="B90:B93"/>
    <mergeCell ref="B94:B97"/>
    <mergeCell ref="B98:B101"/>
    <mergeCell ref="A86:A101"/>
  </mergeCells>
  <pageMargins left="0.75" right="0.75" top="1" bottom="1" header="0.5" footer="0.5"/>
  <pageSetup scale="4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C2245-67D0-4336-BD72-A66D590242A5}">
  <dimension ref="A1:S32"/>
  <sheetViews>
    <sheetView workbookViewId="0">
      <selection sqref="A1:I1"/>
    </sheetView>
  </sheetViews>
  <sheetFormatPr defaultColWidth="8.83203125" defaultRowHeight="12.75"/>
  <cols>
    <col min="1" max="1" width="13.83203125" style="33" bestFit="1" customWidth="1"/>
    <col min="2" max="2" width="22.83203125" style="33" customWidth="1"/>
    <col min="3" max="3" width="10.33203125" style="33" customWidth="1"/>
    <col min="4" max="7" width="10.5" style="33" customWidth="1"/>
    <col min="8" max="8" width="12.33203125" style="33" customWidth="1"/>
    <col min="9" max="9" width="11.1640625" style="33" customWidth="1"/>
    <col min="10" max="10" width="14.1640625" style="33" customWidth="1"/>
    <col min="11" max="11" width="26.83203125" style="33" customWidth="1"/>
    <col min="12" max="13" width="8.83203125" style="33"/>
    <col min="14" max="14" width="11.83203125" style="33" customWidth="1"/>
    <col min="15" max="15" width="11.6640625" style="33" customWidth="1"/>
    <col min="16" max="16384" width="8.83203125" style="33"/>
  </cols>
  <sheetData>
    <row r="1" spans="1:19">
      <c r="A1" s="991" t="s">
        <v>153</v>
      </c>
      <c r="B1" s="991"/>
      <c r="C1" s="991"/>
      <c r="D1" s="991"/>
      <c r="E1" s="991"/>
      <c r="F1" s="991"/>
      <c r="G1" s="991"/>
      <c r="H1" s="991"/>
      <c r="I1" s="991"/>
    </row>
    <row r="2" spans="1:19">
      <c r="A2" s="991" t="s">
        <v>107</v>
      </c>
      <c r="B2" s="991"/>
      <c r="C2" s="991"/>
      <c r="D2" s="991"/>
      <c r="E2" s="991"/>
      <c r="F2" s="991"/>
      <c r="G2" s="991"/>
      <c r="H2" s="991"/>
      <c r="I2" s="991"/>
    </row>
    <row r="3" spans="1:19" ht="13.5" thickBot="1">
      <c r="A3" s="24"/>
      <c r="B3" s="24"/>
      <c r="C3" s="24"/>
      <c r="D3" s="24"/>
      <c r="E3" s="24"/>
      <c r="F3" s="24"/>
      <c r="G3" s="24"/>
      <c r="H3" s="24"/>
      <c r="I3" s="24"/>
    </row>
    <row r="4" spans="1:19" ht="12.6" customHeight="1">
      <c r="A4" s="999" t="s">
        <v>154</v>
      </c>
      <c r="B4" s="1000"/>
      <c r="C4" s="1000"/>
      <c r="D4" s="1000"/>
      <c r="E4" s="1000"/>
      <c r="F4" s="1000"/>
      <c r="G4" s="1000"/>
      <c r="H4" s="1000"/>
      <c r="I4" s="1001"/>
      <c r="K4" s="967" t="s">
        <v>109</v>
      </c>
      <c r="L4" s="968"/>
      <c r="M4" s="973" t="s">
        <v>110</v>
      </c>
      <c r="N4" s="973"/>
      <c r="O4" s="973"/>
      <c r="P4" s="973"/>
      <c r="Q4" s="974"/>
      <c r="R4" s="975" t="s">
        <v>111</v>
      </c>
      <c r="S4" s="978" t="s">
        <v>112</v>
      </c>
    </row>
    <row r="5" spans="1:19" ht="22.9" customHeight="1" thickBot="1">
      <c r="A5" s="1002"/>
      <c r="B5" s="1003"/>
      <c r="C5" s="1003"/>
      <c r="D5" s="1003"/>
      <c r="E5" s="1003"/>
      <c r="F5" s="1003"/>
      <c r="G5" s="1003"/>
      <c r="H5" s="1003"/>
      <c r="I5" s="1004"/>
      <c r="K5" s="969"/>
      <c r="L5" s="970"/>
      <c r="M5" s="981" t="s">
        <v>113</v>
      </c>
      <c r="N5" s="948" t="s">
        <v>114</v>
      </c>
      <c r="O5" s="948" t="s">
        <v>115</v>
      </c>
      <c r="P5" s="950" t="s">
        <v>116</v>
      </c>
      <c r="Q5" s="952" t="s">
        <v>117</v>
      </c>
      <c r="R5" s="976"/>
      <c r="S5" s="979"/>
    </row>
    <row r="6" spans="1:19" ht="15.6" customHeight="1" thickBot="1">
      <c r="A6" s="967" t="s">
        <v>109</v>
      </c>
      <c r="B6" s="968"/>
      <c r="C6" s="973" t="s">
        <v>110</v>
      </c>
      <c r="D6" s="973"/>
      <c r="E6" s="973"/>
      <c r="F6" s="973"/>
      <c r="G6" s="974"/>
      <c r="H6" s="975" t="s">
        <v>111</v>
      </c>
      <c r="I6" s="978" t="s">
        <v>112</v>
      </c>
      <c r="K6" s="971"/>
      <c r="L6" s="972"/>
      <c r="M6" s="982"/>
      <c r="N6" s="949"/>
      <c r="O6" s="949"/>
      <c r="P6" s="951"/>
      <c r="Q6" s="953"/>
      <c r="R6" s="977"/>
      <c r="S6" s="980"/>
    </row>
    <row r="7" spans="1:19" ht="12.6" customHeight="1" thickBot="1">
      <c r="A7" s="969"/>
      <c r="B7" s="970"/>
      <c r="C7" s="981" t="s">
        <v>113</v>
      </c>
      <c r="D7" s="948" t="s">
        <v>114</v>
      </c>
      <c r="E7" s="948" t="s">
        <v>115</v>
      </c>
      <c r="F7" s="950" t="s">
        <v>116</v>
      </c>
      <c r="G7" s="952" t="s">
        <v>117</v>
      </c>
      <c r="H7" s="976"/>
      <c r="I7" s="979"/>
      <c r="K7" s="1008" t="s">
        <v>123</v>
      </c>
      <c r="L7" s="1009"/>
      <c r="M7" s="34">
        <v>32</v>
      </c>
      <c r="N7" s="35">
        <v>19</v>
      </c>
      <c r="O7" s="35">
        <v>36</v>
      </c>
      <c r="P7" s="36">
        <v>17</v>
      </c>
      <c r="Q7" s="51">
        <f>SUM(M7:P7)</f>
        <v>104</v>
      </c>
      <c r="R7" s="38">
        <f>M7/(SUM(M7:N7))</f>
        <v>0.62745098039215685</v>
      </c>
      <c r="S7" s="899">
        <f>SUM(M7,O7)/Q7</f>
        <v>0.65384615384615385</v>
      </c>
    </row>
    <row r="8" spans="1:19" ht="13.15" customHeight="1" thickBot="1">
      <c r="A8" s="971"/>
      <c r="B8" s="972"/>
      <c r="C8" s="982"/>
      <c r="D8" s="949"/>
      <c r="E8" s="949"/>
      <c r="F8" s="951"/>
      <c r="G8" s="953"/>
      <c r="H8" s="977"/>
      <c r="I8" s="980"/>
      <c r="K8" s="1010" t="s">
        <v>124</v>
      </c>
      <c r="L8" s="1011"/>
      <c r="M8" s="39">
        <f>M7/$Q$7</f>
        <v>0.30769230769230771</v>
      </c>
      <c r="N8" s="39">
        <f t="shared" ref="N8:Q8" si="0">N7/$Q$7</f>
        <v>0.18269230769230768</v>
      </c>
      <c r="O8" s="39">
        <f t="shared" si="0"/>
        <v>0.34615384615384615</v>
      </c>
      <c r="P8" s="39">
        <f t="shared" si="0"/>
        <v>0.16346153846153846</v>
      </c>
      <c r="Q8" s="39">
        <f t="shared" si="0"/>
        <v>1</v>
      </c>
      <c r="R8" s="943"/>
      <c r="S8" s="944"/>
    </row>
    <row r="9" spans="1:19" ht="40.9" customHeight="1" thickBot="1">
      <c r="A9" s="954" t="s">
        <v>118</v>
      </c>
      <c r="B9" s="955"/>
      <c r="C9" s="34">
        <v>4</v>
      </c>
      <c r="D9" s="35">
        <v>0</v>
      </c>
      <c r="E9" s="35">
        <v>5</v>
      </c>
      <c r="F9" s="36">
        <v>2</v>
      </c>
      <c r="G9" s="37">
        <f>SUM(C9:F9)</f>
        <v>11</v>
      </c>
      <c r="H9" s="38">
        <f>C9/(SUM(C9:D9))</f>
        <v>1</v>
      </c>
      <c r="I9" s="899">
        <f>SUM(C9,E9)/G9</f>
        <v>0.81818181818181823</v>
      </c>
      <c r="K9" s="1012" t="s">
        <v>155</v>
      </c>
      <c r="L9" s="1013"/>
      <c r="M9" s="1013"/>
      <c r="N9" s="1013"/>
      <c r="O9" s="1013"/>
      <c r="P9" s="1013"/>
      <c r="Q9" s="1013"/>
      <c r="R9" s="1013"/>
      <c r="S9" s="1014"/>
    </row>
    <row r="10" spans="1:19" ht="30.6" customHeight="1" thickBot="1">
      <c r="A10" s="956" t="s">
        <v>119</v>
      </c>
      <c r="B10" s="957"/>
      <c r="C10" s="39">
        <f>C9/G9</f>
        <v>0.36363636363636365</v>
      </c>
      <c r="D10" s="40">
        <f>D9/G9</f>
        <v>0</v>
      </c>
      <c r="E10" s="40">
        <f>E9/G9</f>
        <v>0.45454545454545453</v>
      </c>
      <c r="F10" s="41">
        <f>F9/G9</f>
        <v>0.18181818181818182</v>
      </c>
      <c r="G10" s="899">
        <f>G9/G9</f>
        <v>1</v>
      </c>
      <c r="H10" s="983"/>
      <c r="I10" s="984"/>
    </row>
    <row r="11" spans="1:19" ht="12.6" customHeight="1">
      <c r="A11" s="958" t="s">
        <v>120</v>
      </c>
      <c r="B11" s="985"/>
      <c r="C11" s="985"/>
      <c r="D11" s="985"/>
      <c r="E11" s="985"/>
      <c r="F11" s="985"/>
      <c r="G11" s="985"/>
      <c r="H11" s="985"/>
      <c r="I11" s="986"/>
    </row>
    <row r="12" spans="1:19" ht="13.15" customHeight="1" thickBot="1">
      <c r="A12" s="987"/>
      <c r="B12" s="988"/>
      <c r="C12" s="988"/>
      <c r="D12" s="988"/>
      <c r="E12" s="988"/>
      <c r="F12" s="988"/>
      <c r="G12" s="988"/>
      <c r="H12" s="988"/>
      <c r="I12" s="989"/>
    </row>
    <row r="13" spans="1:19" ht="12.75" customHeight="1">
      <c r="A13" s="958" t="s">
        <v>156</v>
      </c>
      <c r="B13" s="985"/>
      <c r="C13" s="985"/>
      <c r="D13" s="985"/>
      <c r="E13" s="985"/>
      <c r="F13" s="985"/>
      <c r="G13" s="985"/>
      <c r="H13" s="985"/>
      <c r="I13" s="986"/>
    </row>
    <row r="14" spans="1:19" ht="12.6" customHeight="1">
      <c r="A14" s="992"/>
      <c r="B14" s="993"/>
      <c r="C14" s="993"/>
      <c r="D14" s="993"/>
      <c r="E14" s="993"/>
      <c r="F14" s="993"/>
      <c r="G14" s="993"/>
      <c r="H14" s="993"/>
      <c r="I14" s="994"/>
    </row>
    <row r="15" spans="1:19" ht="13.15" customHeight="1" thickBot="1">
      <c r="A15" s="995"/>
      <c r="B15" s="996"/>
      <c r="C15" s="996"/>
      <c r="D15" s="996"/>
      <c r="E15" s="996"/>
      <c r="F15" s="996"/>
      <c r="G15" s="996"/>
      <c r="H15" s="996"/>
      <c r="I15" s="997"/>
    </row>
    <row r="19" spans="1:9">
      <c r="A19" s="990" t="s">
        <v>157</v>
      </c>
      <c r="B19" s="991"/>
      <c r="C19" s="991"/>
      <c r="D19" s="991"/>
      <c r="E19" s="991"/>
      <c r="F19" s="991"/>
      <c r="G19" s="991"/>
      <c r="H19" s="991"/>
      <c r="I19" s="50"/>
    </row>
    <row r="20" spans="1:9" ht="23.65" customHeight="1" thickBot="1">
      <c r="A20" s="286" t="s">
        <v>126</v>
      </c>
      <c r="B20" s="286"/>
      <c r="C20" s="286"/>
      <c r="D20" s="286"/>
      <c r="E20" s="286"/>
      <c r="F20" s="286"/>
      <c r="G20" s="286"/>
      <c r="H20" s="286"/>
      <c r="I20" s="286"/>
    </row>
    <row r="21" spans="1:9" ht="23.65" customHeight="1">
      <c r="A21" s="967" t="s">
        <v>109</v>
      </c>
      <c r="B21" s="968"/>
      <c r="C21" s="973" t="s">
        <v>110</v>
      </c>
      <c r="D21" s="973"/>
      <c r="E21" s="973"/>
      <c r="F21" s="973"/>
      <c r="G21" s="974"/>
      <c r="H21" s="975" t="s">
        <v>111</v>
      </c>
      <c r="I21" s="978" t="s">
        <v>112</v>
      </c>
    </row>
    <row r="22" spans="1:9" ht="31.5" customHeight="1">
      <c r="A22" s="969"/>
      <c r="B22" s="970"/>
      <c r="C22" s="981" t="s">
        <v>113</v>
      </c>
      <c r="D22" s="948" t="s">
        <v>114</v>
      </c>
      <c r="E22" s="948" t="s">
        <v>115</v>
      </c>
      <c r="F22" s="950" t="s">
        <v>116</v>
      </c>
      <c r="G22" s="952" t="s">
        <v>117</v>
      </c>
      <c r="H22" s="976"/>
      <c r="I22" s="979"/>
    </row>
    <row r="23" spans="1:9" ht="27.75" customHeight="1" thickBot="1">
      <c r="A23" s="971"/>
      <c r="B23" s="972"/>
      <c r="C23" s="982"/>
      <c r="D23" s="949"/>
      <c r="E23" s="949"/>
      <c r="F23" s="951"/>
      <c r="G23" s="953"/>
      <c r="H23" s="977"/>
      <c r="I23" s="980"/>
    </row>
    <row r="24" spans="1:9" ht="24" customHeight="1" thickBot="1">
      <c r="A24" s="954" t="s">
        <v>127</v>
      </c>
      <c r="B24" s="955"/>
      <c r="C24" s="250"/>
      <c r="D24" s="251"/>
      <c r="E24" s="252"/>
      <c r="F24" s="253"/>
      <c r="G24" s="285">
        <f>SUM(C24:F24)</f>
        <v>0</v>
      </c>
      <c r="H24" s="38" t="e">
        <f>C24/(SUM(C24:D24))</f>
        <v>#DIV/0!</v>
      </c>
      <c r="I24" s="38" t="e">
        <f>SUM(C24,E24)/G24</f>
        <v>#DIV/0!</v>
      </c>
    </row>
    <row r="25" spans="1:9" ht="24" customHeight="1" thickBot="1">
      <c r="A25" s="954" t="s">
        <v>128</v>
      </c>
      <c r="B25" s="955"/>
      <c r="C25" s="250"/>
      <c r="D25" s="251"/>
      <c r="E25" s="252"/>
      <c r="F25" s="253"/>
      <c r="G25" s="285">
        <f>SUM(C25:F25)</f>
        <v>0</v>
      </c>
      <c r="H25" s="38" t="e">
        <f>C25/(SUM(C25:D25))</f>
        <v>#DIV/0!</v>
      </c>
      <c r="I25" s="38" t="e">
        <f>SUM(C25,E25)/G25</f>
        <v>#DIV/0!</v>
      </c>
    </row>
    <row r="26" spans="1:9" ht="36" customHeight="1" thickBot="1">
      <c r="A26" s="954" t="s">
        <v>117</v>
      </c>
      <c r="B26" s="955"/>
      <c r="C26" s="250">
        <f>SUM(C24:C25)</f>
        <v>0</v>
      </c>
      <c r="D26" s="251">
        <f>SUM(D24:D25)</f>
        <v>0</v>
      </c>
      <c r="E26" s="252">
        <f>SUM(E24:E25)</f>
        <v>0</v>
      </c>
      <c r="F26" s="253">
        <f>SUM(F24:F25)</f>
        <v>0</v>
      </c>
      <c r="G26" s="285">
        <f>SUM(G24:G25)</f>
        <v>0</v>
      </c>
      <c r="H26" s="38" t="e">
        <f>C26/(SUM(C26:D26))</f>
        <v>#DIV/0!</v>
      </c>
      <c r="I26" s="38" t="e">
        <f>SUM(C26,E26)/G26</f>
        <v>#DIV/0!</v>
      </c>
    </row>
    <row r="27" spans="1:9" ht="35.25" customHeight="1" thickBot="1">
      <c r="A27" s="956" t="s">
        <v>129</v>
      </c>
      <c r="B27" s="957"/>
      <c r="C27" s="39" t="e">
        <f>C26/$G$26</f>
        <v>#DIV/0!</v>
      </c>
      <c r="D27" s="40" t="e">
        <f t="shared" ref="D27:F27" si="1">D26/$G$26</f>
        <v>#DIV/0!</v>
      </c>
      <c r="E27" s="40" t="e">
        <f t="shared" si="1"/>
        <v>#DIV/0!</v>
      </c>
      <c r="F27" s="41" t="e">
        <f t="shared" si="1"/>
        <v>#DIV/0!</v>
      </c>
      <c r="G27" s="899" t="e">
        <f>SUM(C27:F27)</f>
        <v>#DIV/0!</v>
      </c>
      <c r="H27" s="943"/>
      <c r="I27" s="944"/>
    </row>
    <row r="28" spans="1:9" ht="35.25" customHeight="1" thickBot="1">
      <c r="A28" s="956" t="s">
        <v>130</v>
      </c>
      <c r="B28" s="957"/>
      <c r="C28" s="282" t="e">
        <f>C27*0.89</f>
        <v>#DIV/0!</v>
      </c>
      <c r="D28" s="282" t="e">
        <f>D27</f>
        <v>#DIV/0!</v>
      </c>
      <c r="E28" s="282" t="e">
        <f>E27</f>
        <v>#DIV/0!</v>
      </c>
      <c r="F28" s="283" t="e">
        <f>F27 + (C27*0.11)</f>
        <v>#DIV/0!</v>
      </c>
      <c r="G28" s="899" t="e">
        <f>SUM(C28:F28)</f>
        <v>#DIV/0!</v>
      </c>
      <c r="H28" s="943"/>
      <c r="I28" s="944"/>
    </row>
    <row r="29" spans="1:9">
      <c r="A29" s="958" t="s">
        <v>120</v>
      </c>
      <c r="B29" s="959"/>
      <c r="C29" s="959"/>
      <c r="D29" s="959"/>
      <c r="E29" s="959"/>
      <c r="F29" s="959"/>
      <c r="G29" s="959"/>
      <c r="H29" s="959"/>
      <c r="I29" s="960"/>
    </row>
    <row r="30" spans="1:9" ht="18.75" customHeight="1" thickBot="1">
      <c r="A30" s="961"/>
      <c r="B30" s="962"/>
      <c r="C30" s="962"/>
      <c r="D30" s="962"/>
      <c r="E30" s="962"/>
      <c r="F30" s="962"/>
      <c r="G30" s="962"/>
      <c r="H30" s="962"/>
      <c r="I30" s="963"/>
    </row>
    <row r="31" spans="1:9">
      <c r="A31" s="958" t="s">
        <v>131</v>
      </c>
      <c r="B31" s="959"/>
      <c r="C31" s="959"/>
      <c r="D31" s="959"/>
      <c r="E31" s="959"/>
      <c r="F31" s="959"/>
      <c r="G31" s="959"/>
      <c r="H31" s="959"/>
      <c r="I31" s="960"/>
    </row>
    <row r="32" spans="1:9" ht="18" customHeight="1" thickBot="1">
      <c r="A32" s="964"/>
      <c r="B32" s="965"/>
      <c r="C32" s="965"/>
      <c r="D32" s="965"/>
      <c r="E32" s="965"/>
      <c r="F32" s="965"/>
      <c r="G32" s="965"/>
      <c r="H32" s="965"/>
      <c r="I32" s="966"/>
    </row>
  </sheetData>
  <mergeCells count="49">
    <mergeCell ref="K7:L7"/>
    <mergeCell ref="K8:L8"/>
    <mergeCell ref="R8:S8"/>
    <mergeCell ref="K9:S9"/>
    <mergeCell ref="K4:L6"/>
    <mergeCell ref="M4:Q4"/>
    <mergeCell ref="R4:R6"/>
    <mergeCell ref="S4:S6"/>
    <mergeCell ref="M5:M6"/>
    <mergeCell ref="N5:N6"/>
    <mergeCell ref="O5:O6"/>
    <mergeCell ref="P5:P6"/>
    <mergeCell ref="Q5:Q6"/>
    <mergeCell ref="A1:I1"/>
    <mergeCell ref="A2:I2"/>
    <mergeCell ref="A4:I5"/>
    <mergeCell ref="A6:B8"/>
    <mergeCell ref="C6:G6"/>
    <mergeCell ref="H6:H8"/>
    <mergeCell ref="I6:I8"/>
    <mergeCell ref="C7:C8"/>
    <mergeCell ref="D7:D8"/>
    <mergeCell ref="E7:E8"/>
    <mergeCell ref="A13:I15"/>
    <mergeCell ref="F7:F8"/>
    <mergeCell ref="G7:G8"/>
    <mergeCell ref="A9:B9"/>
    <mergeCell ref="A10:B10"/>
    <mergeCell ref="H10:I10"/>
    <mergeCell ref="A11:I12"/>
    <mergeCell ref="A19:H19"/>
    <mergeCell ref="A21:B23"/>
    <mergeCell ref="C21:G21"/>
    <mergeCell ref="H21:H23"/>
    <mergeCell ref="I21:I23"/>
    <mergeCell ref="C22:C23"/>
    <mergeCell ref="D22:D23"/>
    <mergeCell ref="E22:E23"/>
    <mergeCell ref="F22:F23"/>
    <mergeCell ref="G22:G23"/>
    <mergeCell ref="A28:B28"/>
    <mergeCell ref="H28:I28"/>
    <mergeCell ref="A29:I30"/>
    <mergeCell ref="A31:I32"/>
    <mergeCell ref="A24:B24"/>
    <mergeCell ref="A25:B25"/>
    <mergeCell ref="A26:B26"/>
    <mergeCell ref="A27:B27"/>
    <mergeCell ref="H27:I2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2"/>
  <sheetViews>
    <sheetView workbookViewId="0">
      <pane xSplit="4" ySplit="5" topLeftCell="E44" activePane="bottomRight" state="frozen"/>
      <selection pane="topRight" activeCell="E1" sqref="E1"/>
      <selection pane="bottomLeft" activeCell="A6" sqref="A6"/>
      <selection pane="bottomRight" activeCell="E69" sqref="E69"/>
    </sheetView>
  </sheetViews>
  <sheetFormatPr defaultRowHeight="12.75"/>
  <cols>
    <col min="2" max="2" width="13.1640625" customWidth="1"/>
    <col min="3" max="3" width="11.1640625" customWidth="1"/>
    <col min="4" max="4" width="11" customWidth="1"/>
    <col min="5" max="5" width="14.5" customWidth="1"/>
    <col min="6" max="6" width="15.1640625" customWidth="1"/>
    <col min="7" max="7" width="12.5" bestFit="1" customWidth="1"/>
    <col min="8" max="8" width="12.6640625" customWidth="1"/>
    <col min="9" max="9" width="13.33203125" bestFit="1" customWidth="1"/>
    <col min="10" max="10" width="12.6640625" customWidth="1"/>
    <col min="11" max="11" width="15.33203125" customWidth="1"/>
    <col min="12" max="12" width="13.1640625" customWidth="1"/>
    <col min="13" max="14" width="12.1640625" customWidth="1"/>
    <col min="15" max="16" width="11.83203125" customWidth="1"/>
    <col min="17" max="17" width="11" customWidth="1"/>
    <col min="18" max="18" width="12.33203125" customWidth="1"/>
    <col min="19" max="19" width="16.1640625" bestFit="1" customWidth="1"/>
    <col min="20" max="20" width="16.5" bestFit="1" customWidth="1"/>
    <col min="21" max="21" width="10.6640625" customWidth="1"/>
    <col min="22" max="22" width="11" customWidth="1"/>
    <col min="23" max="23" width="16" customWidth="1"/>
  </cols>
  <sheetData>
    <row r="1" spans="1:30" ht="15.75">
      <c r="A1" s="902" t="s">
        <v>54</v>
      </c>
      <c r="B1" s="902"/>
      <c r="C1" s="902"/>
      <c r="D1" s="902"/>
      <c r="E1" s="902"/>
      <c r="F1" s="902"/>
      <c r="G1" s="902"/>
      <c r="H1" s="902"/>
      <c r="I1" s="902"/>
      <c r="J1" s="902"/>
      <c r="K1" s="902"/>
      <c r="L1" s="902"/>
      <c r="M1" s="902"/>
      <c r="N1" s="902"/>
      <c r="O1" s="902"/>
      <c r="P1" s="902"/>
      <c r="Q1" s="902"/>
      <c r="R1" s="902"/>
    </row>
    <row r="2" spans="1:30" ht="29.25" customHeight="1">
      <c r="A2" s="1015" t="s">
        <v>158</v>
      </c>
      <c r="B2" s="1015"/>
      <c r="C2" s="1015"/>
      <c r="D2" s="1015"/>
      <c r="E2" s="1015"/>
      <c r="F2" s="1015"/>
      <c r="G2" s="1015"/>
      <c r="H2" s="1015"/>
      <c r="I2" s="1015"/>
      <c r="J2" s="1015"/>
      <c r="K2" s="1015"/>
      <c r="L2" s="1015"/>
      <c r="M2" s="1015"/>
      <c r="N2" s="1015"/>
      <c r="O2" s="1015"/>
      <c r="P2" s="1015"/>
      <c r="Q2" s="1015"/>
      <c r="R2" s="1015"/>
    </row>
    <row r="3" spans="1:30" ht="15.75" thickBot="1">
      <c r="E3" s="1020" t="s">
        <v>56</v>
      </c>
      <c r="F3" s="1020"/>
      <c r="G3" s="1020"/>
      <c r="H3" s="1020"/>
      <c r="I3" s="1020"/>
      <c r="J3" s="1020"/>
      <c r="K3" s="1021"/>
      <c r="L3" s="1022" t="s">
        <v>86</v>
      </c>
      <c r="M3" s="1020"/>
      <c r="N3" s="1020"/>
      <c r="O3" s="1020"/>
      <c r="P3" s="1020"/>
      <c r="Q3" s="1020"/>
      <c r="R3" s="117"/>
      <c r="S3" s="938" t="s">
        <v>87</v>
      </c>
      <c r="T3" s="939"/>
      <c r="U3" s="939"/>
      <c r="V3" s="939"/>
      <c r="W3" s="939"/>
    </row>
    <row r="4" spans="1:30" ht="24" customHeight="1">
      <c r="A4" s="1018" t="s">
        <v>57</v>
      </c>
      <c r="B4" s="1024" t="s">
        <v>159</v>
      </c>
      <c r="C4" s="1024" t="s">
        <v>160</v>
      </c>
      <c r="D4" s="1026" t="s">
        <v>161</v>
      </c>
      <c r="E4" s="1016" t="s">
        <v>162</v>
      </c>
      <c r="F4" s="1017"/>
      <c r="G4" s="1016" t="s">
        <v>163</v>
      </c>
      <c r="H4" s="1017"/>
      <c r="I4" s="1016" t="s">
        <v>164</v>
      </c>
      <c r="J4" s="1017"/>
      <c r="K4" s="1018" t="s">
        <v>165</v>
      </c>
      <c r="L4" s="1016" t="s">
        <v>88</v>
      </c>
      <c r="M4" s="1023"/>
      <c r="N4" s="1017"/>
      <c r="O4" s="1016" t="s">
        <v>89</v>
      </c>
      <c r="P4" s="1023"/>
      <c r="Q4" s="1017"/>
      <c r="R4" s="1018" t="s">
        <v>166</v>
      </c>
      <c r="S4" s="906" t="s">
        <v>91</v>
      </c>
      <c r="T4" s="940" t="s">
        <v>92</v>
      </c>
      <c r="U4" s="906" t="s">
        <v>93</v>
      </c>
      <c r="V4" s="942" t="s">
        <v>94</v>
      </c>
      <c r="W4" s="912" t="s">
        <v>95</v>
      </c>
    </row>
    <row r="5" spans="1:30" ht="24" customHeight="1" thickBot="1">
      <c r="A5" s="1019"/>
      <c r="B5" s="1025"/>
      <c r="C5" s="1025"/>
      <c r="D5" s="1027"/>
      <c r="E5" s="52" t="s">
        <v>65</v>
      </c>
      <c r="F5" s="53" t="s">
        <v>66</v>
      </c>
      <c r="G5" s="52" t="s">
        <v>67</v>
      </c>
      <c r="H5" s="53" t="s">
        <v>68</v>
      </c>
      <c r="I5" s="54" t="s">
        <v>67</v>
      </c>
      <c r="J5" s="55" t="s">
        <v>68</v>
      </c>
      <c r="K5" s="1019"/>
      <c r="L5" s="52" t="s">
        <v>67</v>
      </c>
      <c r="M5" s="532" t="s">
        <v>68</v>
      </c>
      <c r="N5" s="531" t="s">
        <v>167</v>
      </c>
      <c r="O5" s="54" t="s">
        <v>67</v>
      </c>
      <c r="P5" s="153" t="s">
        <v>68</v>
      </c>
      <c r="Q5" s="152" t="s">
        <v>167</v>
      </c>
      <c r="R5" s="1019"/>
      <c r="S5" s="907"/>
      <c r="T5" s="941"/>
      <c r="U5" s="907"/>
      <c r="V5" s="913"/>
      <c r="W5" s="937"/>
    </row>
    <row r="6" spans="1:30">
      <c r="A6" s="1058" t="s">
        <v>69</v>
      </c>
      <c r="B6" s="1040">
        <v>29</v>
      </c>
      <c r="C6" s="391">
        <v>45120</v>
      </c>
      <c r="D6" s="392">
        <v>45120</v>
      </c>
      <c r="E6" s="9">
        <v>460</v>
      </c>
      <c r="F6" s="14">
        <v>1145</v>
      </c>
      <c r="G6" s="9">
        <v>610</v>
      </c>
      <c r="H6" s="14">
        <v>7</v>
      </c>
      <c r="I6" s="190">
        <v>705</v>
      </c>
      <c r="J6" s="191">
        <v>782</v>
      </c>
      <c r="K6" s="13">
        <v>2105</v>
      </c>
      <c r="L6" s="9">
        <v>3</v>
      </c>
      <c r="M6" s="178">
        <v>0</v>
      </c>
      <c r="N6" s="14">
        <v>0</v>
      </c>
      <c r="O6" s="9">
        <v>3</v>
      </c>
      <c r="P6" s="178">
        <v>14</v>
      </c>
      <c r="Q6" s="15">
        <v>3</v>
      </c>
      <c r="R6" s="13">
        <v>24</v>
      </c>
      <c r="S6" s="195">
        <v>24</v>
      </c>
      <c r="T6" s="746">
        <v>7</v>
      </c>
      <c r="U6" s="196">
        <v>0</v>
      </c>
      <c r="V6" s="746">
        <v>0</v>
      </c>
      <c r="W6" s="17">
        <f>SUM(S6:V6)</f>
        <v>31</v>
      </c>
      <c r="X6" s="185"/>
      <c r="Y6" s="185"/>
    </row>
    <row r="7" spans="1:30">
      <c r="A7" s="1059"/>
      <c r="B7" s="1041"/>
      <c r="C7" s="391">
        <v>45121</v>
      </c>
      <c r="D7" s="392">
        <v>45121</v>
      </c>
      <c r="E7" s="9">
        <v>528</v>
      </c>
      <c r="F7" s="14">
        <v>1277</v>
      </c>
      <c r="G7" s="9">
        <v>422</v>
      </c>
      <c r="H7" s="14">
        <v>3</v>
      </c>
      <c r="I7" s="190">
        <v>488</v>
      </c>
      <c r="J7" s="191">
        <v>542</v>
      </c>
      <c r="K7" s="13">
        <v>1456</v>
      </c>
      <c r="L7" s="9">
        <v>0</v>
      </c>
      <c r="M7" s="178">
        <v>0</v>
      </c>
      <c r="N7" s="14">
        <v>0</v>
      </c>
      <c r="O7" s="9">
        <v>0</v>
      </c>
      <c r="P7" s="178">
        <v>0</v>
      </c>
      <c r="Q7" s="15">
        <v>0</v>
      </c>
      <c r="R7" s="13">
        <v>0</v>
      </c>
      <c r="S7" s="237">
        <v>10</v>
      </c>
      <c r="T7" s="737">
        <v>0</v>
      </c>
      <c r="U7" s="239">
        <v>0</v>
      </c>
      <c r="V7" s="737">
        <v>0</v>
      </c>
      <c r="W7" s="13">
        <f>SUM(S7:V7)</f>
        <v>10</v>
      </c>
      <c r="X7" s="185"/>
      <c r="Y7" s="185"/>
    </row>
    <row r="8" spans="1:30">
      <c r="A8" s="1059"/>
      <c r="B8" s="1042"/>
      <c r="C8" s="391">
        <v>45122</v>
      </c>
      <c r="D8" s="392">
        <v>45122</v>
      </c>
      <c r="E8" s="9">
        <v>579</v>
      </c>
      <c r="F8" s="14">
        <v>1460</v>
      </c>
      <c r="G8" s="9">
        <v>413</v>
      </c>
      <c r="H8" s="14">
        <v>0</v>
      </c>
      <c r="I8" s="190">
        <v>477</v>
      </c>
      <c r="J8" s="191">
        <v>534</v>
      </c>
      <c r="K8" s="13">
        <v>1425</v>
      </c>
      <c r="L8" s="9">
        <v>10</v>
      </c>
      <c r="M8" s="178">
        <v>0</v>
      </c>
      <c r="N8" s="14">
        <v>0</v>
      </c>
      <c r="O8" s="9">
        <v>0</v>
      </c>
      <c r="P8" s="178">
        <v>41</v>
      </c>
      <c r="Q8" s="15">
        <v>0</v>
      </c>
      <c r="R8" s="13">
        <v>52</v>
      </c>
      <c r="S8" s="237">
        <v>10</v>
      </c>
      <c r="T8" s="737">
        <v>3</v>
      </c>
      <c r="U8" s="239">
        <v>0</v>
      </c>
      <c r="V8" s="737">
        <v>0</v>
      </c>
      <c r="W8" s="13">
        <f>SUM(S8:V8)</f>
        <v>13</v>
      </c>
      <c r="X8" s="185"/>
      <c r="Y8" s="185"/>
    </row>
    <row r="9" spans="1:30">
      <c r="A9" s="1059"/>
      <c r="B9" s="583">
        <v>30</v>
      </c>
      <c r="C9" s="391">
        <v>45128</v>
      </c>
      <c r="D9" s="392">
        <v>45128</v>
      </c>
      <c r="E9" s="9">
        <v>388</v>
      </c>
      <c r="F9" s="14">
        <v>885</v>
      </c>
      <c r="G9" s="9">
        <v>184</v>
      </c>
      <c r="H9" s="14">
        <v>0</v>
      </c>
      <c r="I9" s="190">
        <v>212</v>
      </c>
      <c r="J9" s="191">
        <v>238</v>
      </c>
      <c r="K9" s="13">
        <v>634</v>
      </c>
      <c r="L9" s="9">
        <v>3</v>
      </c>
      <c r="M9" s="178">
        <v>0</v>
      </c>
      <c r="N9" s="14">
        <v>0</v>
      </c>
      <c r="O9" s="9">
        <v>0</v>
      </c>
      <c r="P9" s="178">
        <v>51</v>
      </c>
      <c r="Q9" s="15">
        <v>24</v>
      </c>
      <c r="R9" s="13">
        <v>78</v>
      </c>
      <c r="S9" s="237">
        <v>14</v>
      </c>
      <c r="T9" s="737">
        <v>10</v>
      </c>
      <c r="U9" s="239">
        <v>3</v>
      </c>
      <c r="V9" s="737">
        <v>0</v>
      </c>
      <c r="W9" s="13">
        <f>SUM(S9:V9)</f>
        <v>27</v>
      </c>
      <c r="X9" s="185"/>
      <c r="Y9" s="185"/>
    </row>
    <row r="10" spans="1:30">
      <c r="A10" s="1059"/>
      <c r="B10" s="1041">
        <v>31</v>
      </c>
      <c r="C10" s="391">
        <v>45135</v>
      </c>
      <c r="D10" s="392">
        <v>45135</v>
      </c>
      <c r="E10" s="9">
        <v>313</v>
      </c>
      <c r="F10" s="14">
        <v>705</v>
      </c>
      <c r="G10" s="9">
        <v>241</v>
      </c>
      <c r="H10" s="14">
        <v>0</v>
      </c>
      <c r="I10" s="190">
        <v>278</v>
      </c>
      <c r="J10" s="191">
        <v>312</v>
      </c>
      <c r="K10" s="13">
        <v>831</v>
      </c>
      <c r="L10" s="9">
        <v>58</v>
      </c>
      <c r="M10" s="178">
        <v>0</v>
      </c>
      <c r="N10" s="14">
        <v>0</v>
      </c>
      <c r="O10" s="9">
        <v>24</v>
      </c>
      <c r="P10" s="178">
        <v>109</v>
      </c>
      <c r="Q10" s="15">
        <v>0</v>
      </c>
      <c r="R10" s="13">
        <v>191</v>
      </c>
      <c r="S10" s="237">
        <v>68</v>
      </c>
      <c r="T10" s="737">
        <v>27</v>
      </c>
      <c r="U10" s="239">
        <v>3</v>
      </c>
      <c r="V10" s="737">
        <v>0</v>
      </c>
      <c r="W10" s="13">
        <f t="shared" ref="W10:W11" si="0">SUM(S10:V10)</f>
        <v>98</v>
      </c>
      <c r="X10" s="185"/>
      <c r="Y10" s="185"/>
    </row>
    <row r="11" spans="1:30" ht="13.5" thickBot="1">
      <c r="A11" s="1060"/>
      <c r="B11" s="1061"/>
      <c r="C11" s="391">
        <v>45136</v>
      </c>
      <c r="D11" s="392">
        <v>45136</v>
      </c>
      <c r="E11" s="9">
        <v>405</v>
      </c>
      <c r="F11" s="14">
        <v>1038</v>
      </c>
      <c r="G11" s="9">
        <v>208</v>
      </c>
      <c r="H11" s="14">
        <v>0</v>
      </c>
      <c r="I11" s="190">
        <v>240</v>
      </c>
      <c r="J11" s="191">
        <v>269</v>
      </c>
      <c r="K11" s="13">
        <v>716</v>
      </c>
      <c r="L11" s="9">
        <v>103</v>
      </c>
      <c r="M11" s="178">
        <v>0</v>
      </c>
      <c r="N11" s="14">
        <v>0</v>
      </c>
      <c r="O11" s="9">
        <v>27</v>
      </c>
      <c r="P11" s="178">
        <v>148</v>
      </c>
      <c r="Q11" s="15">
        <v>0</v>
      </c>
      <c r="R11" s="13">
        <v>278</v>
      </c>
      <c r="S11" s="237">
        <v>120</v>
      </c>
      <c r="T11" s="737">
        <v>65</v>
      </c>
      <c r="U11" s="239">
        <v>3</v>
      </c>
      <c r="V11" s="737">
        <v>0</v>
      </c>
      <c r="W11" s="13">
        <f t="shared" si="0"/>
        <v>188</v>
      </c>
      <c r="X11" s="185"/>
      <c r="Y11" s="185"/>
    </row>
    <row r="12" spans="1:30" ht="13.5" thickBot="1">
      <c r="A12" s="1037" t="s">
        <v>168</v>
      </c>
      <c r="B12" s="1038"/>
      <c r="C12" s="1038"/>
      <c r="D12" s="1039"/>
      <c r="E12" s="707">
        <f>SUM(E6:E11)</f>
        <v>2673</v>
      </c>
      <c r="F12" s="193">
        <f t="shared" ref="F12:K12" si="1">SUM(F6:F11)</f>
        <v>6510</v>
      </c>
      <c r="G12" s="707">
        <f t="shared" si="1"/>
        <v>2078</v>
      </c>
      <c r="H12" s="193">
        <f t="shared" si="1"/>
        <v>10</v>
      </c>
      <c r="I12" s="707">
        <f t="shared" si="1"/>
        <v>2400</v>
      </c>
      <c r="J12" s="193">
        <f>SUM(J6:J11)</f>
        <v>2677</v>
      </c>
      <c r="K12" s="192">
        <f t="shared" si="1"/>
        <v>7167</v>
      </c>
      <c r="L12" s="707">
        <f t="shared" ref="L12" si="2">SUM(L6:L11)</f>
        <v>177</v>
      </c>
      <c r="M12" s="710">
        <f t="shared" ref="M12" si="3">SUM(M6:M11)</f>
        <v>0</v>
      </c>
      <c r="N12" s="193">
        <f t="shared" ref="N12" si="4">SUM(N6:N11)</f>
        <v>0</v>
      </c>
      <c r="O12" s="707">
        <f t="shared" ref="O12" si="5">SUM(O6:O11)</f>
        <v>54</v>
      </c>
      <c r="P12" s="710">
        <f t="shared" ref="P12" si="6">SUM(P6:P11)</f>
        <v>363</v>
      </c>
      <c r="Q12" s="193">
        <f t="shared" ref="Q12" si="7">SUM(Q6:Q11)</f>
        <v>27</v>
      </c>
      <c r="R12" s="192">
        <f t="shared" ref="R12" si="8">SUM(R6:R11)</f>
        <v>623</v>
      </c>
      <c r="S12" s="707">
        <f t="shared" ref="S12" si="9">SUM(S6:S11)</f>
        <v>246</v>
      </c>
      <c r="T12" s="711">
        <f t="shared" ref="T12" si="10">SUM(T6:T11)</f>
        <v>112</v>
      </c>
      <c r="U12" s="707">
        <f t="shared" ref="U12" si="11">SUM(U6:U11)</f>
        <v>9</v>
      </c>
      <c r="V12" s="710">
        <f t="shared" ref="V12" si="12">SUM(V6:V11)</f>
        <v>0</v>
      </c>
      <c r="W12" s="707">
        <f t="shared" ref="W12" si="13">SUM(W6:W11)</f>
        <v>367</v>
      </c>
      <c r="X12" s="185"/>
      <c r="Y12" s="185"/>
      <c r="Z12" s="185"/>
      <c r="AB12" s="185"/>
      <c r="AD12" s="185"/>
    </row>
    <row r="13" spans="1:30">
      <c r="A13" s="1028" t="s">
        <v>72</v>
      </c>
      <c r="B13" s="1029"/>
      <c r="C13" s="1029"/>
      <c r="D13" s="1030"/>
      <c r="E13" s="195">
        <v>37495</v>
      </c>
      <c r="F13" s="196">
        <v>225280</v>
      </c>
      <c r="G13" s="195">
        <v>25960</v>
      </c>
      <c r="H13" s="63">
        <v>2</v>
      </c>
      <c r="I13" s="195">
        <v>1831110</v>
      </c>
      <c r="J13" s="197">
        <v>1012453</v>
      </c>
      <c r="K13" s="17">
        <v>4774469</v>
      </c>
      <c r="L13" s="708">
        <v>427</v>
      </c>
      <c r="M13" s="709">
        <v>0</v>
      </c>
      <c r="N13" s="124">
        <v>0</v>
      </c>
      <c r="O13" s="708">
        <v>40</v>
      </c>
      <c r="P13" s="709">
        <v>1156</v>
      </c>
      <c r="Q13" s="125">
        <v>18</v>
      </c>
      <c r="R13" s="126">
        <v>1641</v>
      </c>
      <c r="S13" s="237">
        <v>607</v>
      </c>
      <c r="T13" s="737">
        <v>156</v>
      </c>
      <c r="U13" s="239">
        <v>1</v>
      </c>
      <c r="V13" s="737">
        <v>0</v>
      </c>
      <c r="W13" s="13">
        <v>35</v>
      </c>
      <c r="X13" s="185"/>
      <c r="Y13" s="185"/>
      <c r="Z13" s="185"/>
      <c r="AB13" s="185"/>
      <c r="AC13" s="185"/>
      <c r="AD13" s="185"/>
    </row>
    <row r="14" spans="1:30">
      <c r="A14" s="1031" t="s">
        <v>73</v>
      </c>
      <c r="B14" s="1032"/>
      <c r="C14" s="1032"/>
      <c r="D14" s="1033"/>
      <c r="E14" s="198">
        <v>194</v>
      </c>
      <c r="F14" s="199">
        <v>475</v>
      </c>
      <c r="G14" s="198">
        <v>161</v>
      </c>
      <c r="H14" s="62">
        <v>1</v>
      </c>
      <c r="I14" s="190">
        <v>1353</v>
      </c>
      <c r="J14" s="191">
        <v>1006</v>
      </c>
      <c r="K14" s="10">
        <v>2185</v>
      </c>
      <c r="L14" s="120">
        <v>21</v>
      </c>
      <c r="M14" s="122">
        <v>0</v>
      </c>
      <c r="N14" s="121">
        <v>0</v>
      </c>
      <c r="O14" s="120">
        <v>6</v>
      </c>
      <c r="P14" s="122">
        <v>34</v>
      </c>
      <c r="Q14" s="123">
        <v>4</v>
      </c>
      <c r="R14" s="127">
        <v>41</v>
      </c>
      <c r="S14" s="190">
        <v>25</v>
      </c>
      <c r="T14" s="747">
        <v>12</v>
      </c>
      <c r="U14" s="215">
        <v>1</v>
      </c>
      <c r="V14" s="747">
        <v>0</v>
      </c>
      <c r="W14" s="10">
        <f t="shared" ref="W14" si="14">SQRT(W13)</f>
        <v>5.9160797830996161</v>
      </c>
    </row>
    <row r="15" spans="1:30">
      <c r="A15" s="1031" t="s">
        <v>74</v>
      </c>
      <c r="B15" s="1032"/>
      <c r="C15" s="1032"/>
      <c r="D15" s="1033"/>
      <c r="E15" s="200">
        <v>7.0000000000000007E-2</v>
      </c>
      <c r="F15" s="201">
        <v>7.0000000000000007E-2</v>
      </c>
      <c r="G15" s="200">
        <v>0.08</v>
      </c>
      <c r="H15" s="201">
        <v>0.1</v>
      </c>
      <c r="I15" s="200">
        <v>0.56000000000000005</v>
      </c>
      <c r="J15" s="202">
        <v>0.38</v>
      </c>
      <c r="K15" s="110">
        <v>0.3</v>
      </c>
      <c r="L15" s="107">
        <v>0.12</v>
      </c>
      <c r="M15" s="118" t="s">
        <v>140</v>
      </c>
      <c r="N15" s="108" t="s">
        <v>140</v>
      </c>
      <c r="O15" s="107">
        <v>0.11</v>
      </c>
      <c r="P15" s="118">
        <v>0.09</v>
      </c>
      <c r="Q15" s="109">
        <v>0.15</v>
      </c>
      <c r="R15" s="110">
        <v>7.0000000000000007E-2</v>
      </c>
      <c r="S15" s="200">
        <v>0.1</v>
      </c>
      <c r="T15" s="720">
        <v>0.11</v>
      </c>
      <c r="U15" s="215">
        <v>10</v>
      </c>
      <c r="V15" s="747" t="s">
        <v>140</v>
      </c>
      <c r="W15" s="10">
        <f t="shared" ref="W15" si="15">W14/W12</f>
        <v>1.6120108400816392E-2</v>
      </c>
      <c r="X15" s="135"/>
      <c r="Y15" s="135"/>
      <c r="Z15" s="135"/>
      <c r="AA15" s="135"/>
      <c r="AB15" s="189"/>
      <c r="AC15" s="135"/>
      <c r="AD15" s="135"/>
    </row>
    <row r="16" spans="1:30" ht="13.5" thickBot="1">
      <c r="A16" s="1034" t="s">
        <v>75</v>
      </c>
      <c r="B16" s="1035"/>
      <c r="C16" s="1035"/>
      <c r="D16" s="1036"/>
      <c r="E16" s="712" t="s">
        <v>169</v>
      </c>
      <c r="F16" s="713" t="s">
        <v>170</v>
      </c>
      <c r="G16" s="712" t="s">
        <v>171</v>
      </c>
      <c r="H16" s="713" t="s">
        <v>172</v>
      </c>
      <c r="I16" s="712" t="s">
        <v>173</v>
      </c>
      <c r="J16" s="714" t="s">
        <v>174</v>
      </c>
      <c r="K16" s="715" t="s">
        <v>175</v>
      </c>
      <c r="L16" s="716" t="s">
        <v>176</v>
      </c>
      <c r="M16" s="717" t="s">
        <v>151</v>
      </c>
      <c r="N16" s="718" t="s">
        <v>151</v>
      </c>
      <c r="O16" s="716" t="s">
        <v>177</v>
      </c>
      <c r="P16" s="717" t="s">
        <v>178</v>
      </c>
      <c r="Q16" s="719" t="s">
        <v>179</v>
      </c>
      <c r="R16" s="715" t="s">
        <v>180</v>
      </c>
      <c r="S16" s="712" t="s">
        <v>181</v>
      </c>
      <c r="T16" s="721" t="s">
        <v>182</v>
      </c>
      <c r="U16" s="748" t="s">
        <v>172</v>
      </c>
      <c r="V16" s="749" t="s">
        <v>151</v>
      </c>
      <c r="W16" s="736" t="str">
        <f t="shared" ref="W16" si="16">CONCATENATE(TEXT(ROUND(W12-1.96*SQRT(W13),0),"#,###"),"-",TEXT(ROUND(W12+1.96*SQRT(W13),0),"#,###"))</f>
        <v>355-379</v>
      </c>
      <c r="AA16" s="188"/>
    </row>
    <row r="17" spans="1:23">
      <c r="A17" s="1058" t="s">
        <v>70</v>
      </c>
      <c r="B17" s="1040">
        <v>32</v>
      </c>
      <c r="C17" s="389">
        <v>45139</v>
      </c>
      <c r="D17" s="390">
        <v>45141</v>
      </c>
      <c r="E17" s="11">
        <v>27</v>
      </c>
      <c r="F17" s="12">
        <v>63</v>
      </c>
      <c r="G17" s="11"/>
      <c r="H17" s="12"/>
      <c r="I17" s="237"/>
      <c r="J17" s="238"/>
      <c r="K17" s="13"/>
      <c r="L17" s="237">
        <v>0</v>
      </c>
      <c r="M17" s="240">
        <v>0</v>
      </c>
      <c r="N17" s="239">
        <v>0</v>
      </c>
      <c r="O17" s="237">
        <v>0</v>
      </c>
      <c r="P17" s="240">
        <v>0</v>
      </c>
      <c r="Q17" s="238">
        <v>0</v>
      </c>
      <c r="R17" s="13">
        <v>0</v>
      </c>
      <c r="S17" s="237">
        <v>54</v>
      </c>
      <c r="T17" s="737">
        <v>0</v>
      </c>
      <c r="U17" s="239">
        <v>0</v>
      </c>
      <c r="V17" s="737">
        <v>0</v>
      </c>
      <c r="W17" s="13">
        <f t="shared" ref="W17:W19" si="17">SUM(S17:V17)</f>
        <v>54</v>
      </c>
    </row>
    <row r="18" spans="1:23">
      <c r="A18" s="1059"/>
      <c r="B18" s="1041"/>
      <c r="C18" s="389">
        <v>45142</v>
      </c>
      <c r="D18" s="390">
        <v>45142</v>
      </c>
      <c r="E18" s="11">
        <v>51</v>
      </c>
      <c r="F18" s="12">
        <v>103</v>
      </c>
      <c r="G18" s="11"/>
      <c r="H18" s="12"/>
      <c r="I18" s="237"/>
      <c r="J18" s="238"/>
      <c r="K18" s="13"/>
      <c r="L18" s="237">
        <v>6</v>
      </c>
      <c r="M18" s="240">
        <v>0</v>
      </c>
      <c r="N18" s="239">
        <v>0</v>
      </c>
      <c r="O18" s="237">
        <v>6</v>
      </c>
      <c r="P18" s="240">
        <v>21</v>
      </c>
      <c r="Q18" s="238">
        <v>0</v>
      </c>
      <c r="R18" s="13">
        <v>33</v>
      </c>
      <c r="S18" s="9">
        <v>33</v>
      </c>
      <c r="T18" s="738">
        <v>15</v>
      </c>
      <c r="U18" s="14">
        <v>0</v>
      </c>
      <c r="V18" s="738">
        <v>0</v>
      </c>
      <c r="W18" s="13">
        <f t="shared" si="17"/>
        <v>48</v>
      </c>
    </row>
    <row r="19" spans="1:23">
      <c r="A19" s="1059"/>
      <c r="B19" s="1041"/>
      <c r="C19" s="389">
        <v>45143</v>
      </c>
      <c r="D19" s="390">
        <v>45143</v>
      </c>
      <c r="E19" s="11">
        <v>91</v>
      </c>
      <c r="F19" s="12">
        <v>263</v>
      </c>
      <c r="G19" s="11"/>
      <c r="H19" s="12"/>
      <c r="I19" s="237"/>
      <c r="J19" s="238"/>
      <c r="K19" s="13"/>
      <c r="L19" s="237">
        <v>0</v>
      </c>
      <c r="M19" s="240">
        <v>0</v>
      </c>
      <c r="N19" s="239">
        <v>0</v>
      </c>
      <c r="O19" s="237">
        <v>0</v>
      </c>
      <c r="P19" s="240">
        <v>3</v>
      </c>
      <c r="Q19" s="238">
        <v>0</v>
      </c>
      <c r="R19" s="13">
        <v>3</v>
      </c>
      <c r="S19" s="9">
        <v>313</v>
      </c>
      <c r="T19" s="738">
        <v>185</v>
      </c>
      <c r="U19" s="14">
        <v>0</v>
      </c>
      <c r="V19" s="738">
        <v>0</v>
      </c>
      <c r="W19" s="13">
        <f t="shared" si="17"/>
        <v>498</v>
      </c>
    </row>
    <row r="20" spans="1:23">
      <c r="A20" s="1059"/>
      <c r="B20" s="1042"/>
      <c r="C20" s="389">
        <v>45144</v>
      </c>
      <c r="D20" s="390">
        <v>45144</v>
      </c>
      <c r="E20" s="11">
        <v>42</v>
      </c>
      <c r="F20" s="12">
        <v>112</v>
      </c>
      <c r="G20" s="11"/>
      <c r="H20" s="12"/>
      <c r="I20" s="237"/>
      <c r="J20" s="238"/>
      <c r="K20" s="13"/>
      <c r="L20" s="237">
        <v>9</v>
      </c>
      <c r="M20" s="240">
        <v>0</v>
      </c>
      <c r="N20" s="239">
        <v>0</v>
      </c>
      <c r="O20" s="237">
        <v>6</v>
      </c>
      <c r="P20" s="240">
        <v>6</v>
      </c>
      <c r="Q20" s="238">
        <v>3</v>
      </c>
      <c r="R20" s="13">
        <v>24</v>
      </c>
      <c r="S20" s="9">
        <v>24</v>
      </c>
      <c r="T20" s="738">
        <v>3</v>
      </c>
      <c r="U20" s="14">
        <v>0</v>
      </c>
      <c r="V20" s="738">
        <v>0</v>
      </c>
      <c r="W20" s="13">
        <f t="shared" ref="W20:W32" si="18">SUM(S20:V20)</f>
        <v>27</v>
      </c>
    </row>
    <row r="21" spans="1:23">
      <c r="A21" s="1059"/>
      <c r="B21" s="1043">
        <v>33</v>
      </c>
      <c r="C21" s="405">
        <v>45145</v>
      </c>
      <c r="D21" s="406">
        <v>45148</v>
      </c>
      <c r="E21" s="11">
        <v>193</v>
      </c>
      <c r="F21" s="12">
        <v>484</v>
      </c>
      <c r="G21" s="11"/>
      <c r="H21" s="12"/>
      <c r="I21" s="237"/>
      <c r="J21" s="238"/>
      <c r="K21" s="13"/>
      <c r="L21" s="237">
        <v>18</v>
      </c>
      <c r="M21" s="240">
        <v>0</v>
      </c>
      <c r="N21" s="239">
        <v>0</v>
      </c>
      <c r="O21" s="237">
        <v>0</v>
      </c>
      <c r="P21" s="240">
        <v>187</v>
      </c>
      <c r="Q21" s="238">
        <v>0</v>
      </c>
      <c r="R21" s="13">
        <v>205</v>
      </c>
      <c r="S21" s="9">
        <v>290</v>
      </c>
      <c r="T21" s="738">
        <v>91</v>
      </c>
      <c r="U21" s="14">
        <v>0</v>
      </c>
      <c r="V21" s="738">
        <v>0</v>
      </c>
      <c r="W21" s="10">
        <f t="shared" si="18"/>
        <v>381</v>
      </c>
    </row>
    <row r="22" spans="1:23">
      <c r="A22" s="1059"/>
      <c r="B22" s="1041"/>
      <c r="C22" s="389">
        <v>45149</v>
      </c>
      <c r="D22" s="390">
        <v>45149</v>
      </c>
      <c r="E22" s="11">
        <v>51</v>
      </c>
      <c r="F22" s="12">
        <v>109</v>
      </c>
      <c r="G22" s="11"/>
      <c r="H22" s="12"/>
      <c r="I22" s="237"/>
      <c r="J22" s="238"/>
      <c r="K22" s="13"/>
      <c r="L22" s="237">
        <v>0</v>
      </c>
      <c r="M22" s="240">
        <v>0</v>
      </c>
      <c r="N22" s="239">
        <v>0</v>
      </c>
      <c r="O22" s="237">
        <v>3</v>
      </c>
      <c r="P22" s="240">
        <v>9</v>
      </c>
      <c r="Q22" s="238">
        <v>0</v>
      </c>
      <c r="R22" s="13">
        <v>12</v>
      </c>
      <c r="S22" s="9">
        <v>70</v>
      </c>
      <c r="T22" s="738">
        <v>151</v>
      </c>
      <c r="U22" s="14">
        <v>0</v>
      </c>
      <c r="V22" s="738">
        <v>0</v>
      </c>
      <c r="W22" s="10">
        <f t="shared" si="18"/>
        <v>221</v>
      </c>
    </row>
    <row r="23" spans="1:23">
      <c r="A23" s="1059"/>
      <c r="B23" s="1041"/>
      <c r="C23" s="389">
        <v>45150</v>
      </c>
      <c r="D23" s="390">
        <v>45150</v>
      </c>
      <c r="E23" s="11">
        <v>308</v>
      </c>
      <c r="F23" s="12">
        <v>943</v>
      </c>
      <c r="G23" s="11"/>
      <c r="H23" s="12"/>
      <c r="I23" s="237"/>
      <c r="J23" s="238"/>
      <c r="K23" s="13"/>
      <c r="L23" s="237">
        <v>48</v>
      </c>
      <c r="M23" s="240">
        <v>0</v>
      </c>
      <c r="N23" s="239">
        <v>0</v>
      </c>
      <c r="O23" s="237">
        <v>0</v>
      </c>
      <c r="P23" s="240">
        <v>42</v>
      </c>
      <c r="Q23" s="238">
        <v>0</v>
      </c>
      <c r="R23" s="13">
        <v>90</v>
      </c>
      <c r="S23" s="730">
        <v>1028</v>
      </c>
      <c r="T23" s="731">
        <v>768</v>
      </c>
      <c r="U23" s="732">
        <v>0</v>
      </c>
      <c r="V23" s="731">
        <v>0</v>
      </c>
      <c r="W23" s="10">
        <f t="shared" si="18"/>
        <v>1796</v>
      </c>
    </row>
    <row r="24" spans="1:23">
      <c r="A24" s="1059"/>
      <c r="B24" s="1042"/>
      <c r="C24" s="389">
        <v>45151</v>
      </c>
      <c r="D24" s="390">
        <v>45151</v>
      </c>
      <c r="E24" s="11">
        <v>24</v>
      </c>
      <c r="F24" s="12">
        <v>67</v>
      </c>
      <c r="G24" s="11"/>
      <c r="H24" s="12"/>
      <c r="I24" s="237"/>
      <c r="J24" s="238"/>
      <c r="K24" s="13"/>
      <c r="L24" s="237">
        <v>0</v>
      </c>
      <c r="M24" s="240">
        <v>0</v>
      </c>
      <c r="N24" s="239">
        <v>0</v>
      </c>
      <c r="O24" s="237">
        <v>6</v>
      </c>
      <c r="P24" s="240">
        <v>0</v>
      </c>
      <c r="Q24" s="238">
        <v>0</v>
      </c>
      <c r="R24" s="13">
        <v>6</v>
      </c>
      <c r="S24" s="9">
        <v>103</v>
      </c>
      <c r="T24" s="738">
        <v>0</v>
      </c>
      <c r="U24" s="14">
        <v>0</v>
      </c>
      <c r="V24" s="738">
        <v>0</v>
      </c>
      <c r="W24" s="10">
        <f t="shared" si="18"/>
        <v>103</v>
      </c>
    </row>
    <row r="25" spans="1:23">
      <c r="A25" s="1059"/>
      <c r="B25" s="1043">
        <v>34</v>
      </c>
      <c r="C25" s="389">
        <v>45152</v>
      </c>
      <c r="D25" s="390">
        <v>45155</v>
      </c>
      <c r="E25" s="11">
        <v>30</v>
      </c>
      <c r="F25" s="12">
        <v>48</v>
      </c>
      <c r="G25" s="11"/>
      <c r="H25" s="12"/>
      <c r="I25" s="237"/>
      <c r="J25" s="238"/>
      <c r="K25" s="13"/>
      <c r="L25" s="237">
        <v>6</v>
      </c>
      <c r="M25" s="240">
        <v>0</v>
      </c>
      <c r="N25" s="239">
        <v>0</v>
      </c>
      <c r="O25" s="237">
        <v>0</v>
      </c>
      <c r="P25" s="240">
        <v>0</v>
      </c>
      <c r="Q25" s="238">
        <v>0</v>
      </c>
      <c r="R25" s="13">
        <v>6</v>
      </c>
      <c r="S25" s="739">
        <v>42</v>
      </c>
      <c r="T25" s="740">
        <v>48</v>
      </c>
      <c r="U25" s="741">
        <v>0</v>
      </c>
      <c r="V25" s="740">
        <v>0</v>
      </c>
      <c r="W25" s="10">
        <f t="shared" si="18"/>
        <v>90</v>
      </c>
    </row>
    <row r="26" spans="1:23">
      <c r="A26" s="1059"/>
      <c r="B26" s="1041"/>
      <c r="C26" s="389">
        <v>45156</v>
      </c>
      <c r="D26" s="390">
        <v>45156</v>
      </c>
      <c r="E26" s="11">
        <v>30</v>
      </c>
      <c r="F26" s="12">
        <v>85</v>
      </c>
      <c r="G26" s="11"/>
      <c r="H26" s="12"/>
      <c r="I26" s="237"/>
      <c r="J26" s="238"/>
      <c r="K26" s="13"/>
      <c r="L26" s="237">
        <v>0</v>
      </c>
      <c r="M26" s="240">
        <v>0</v>
      </c>
      <c r="N26" s="239">
        <v>0</v>
      </c>
      <c r="O26" s="237">
        <v>0</v>
      </c>
      <c r="P26" s="240">
        <v>0</v>
      </c>
      <c r="Q26" s="238">
        <v>0</v>
      </c>
      <c r="R26" s="13">
        <v>0</v>
      </c>
      <c r="S26" s="9">
        <v>76</v>
      </c>
      <c r="T26" s="738">
        <v>9</v>
      </c>
      <c r="U26" s="14">
        <v>0</v>
      </c>
      <c r="V26" s="738">
        <v>0</v>
      </c>
      <c r="W26" s="10">
        <f t="shared" si="18"/>
        <v>85</v>
      </c>
    </row>
    <row r="27" spans="1:23">
      <c r="A27" s="1059"/>
      <c r="B27" s="1041"/>
      <c r="C27" s="389">
        <v>45157</v>
      </c>
      <c r="D27" s="390">
        <v>45157</v>
      </c>
      <c r="E27" s="11">
        <v>73</v>
      </c>
      <c r="F27" s="12">
        <v>218</v>
      </c>
      <c r="G27" s="11"/>
      <c r="H27" s="12"/>
      <c r="I27" s="237"/>
      <c r="J27" s="238"/>
      <c r="K27" s="13"/>
      <c r="L27" s="237">
        <v>9</v>
      </c>
      <c r="M27" s="240">
        <v>0</v>
      </c>
      <c r="N27" s="239">
        <v>0</v>
      </c>
      <c r="O27" s="237">
        <v>0</v>
      </c>
      <c r="P27" s="240">
        <v>9</v>
      </c>
      <c r="Q27" s="238">
        <v>0</v>
      </c>
      <c r="R27" s="13">
        <v>18</v>
      </c>
      <c r="S27" s="739">
        <v>390</v>
      </c>
      <c r="T27" s="740">
        <v>30</v>
      </c>
      <c r="U27" s="741">
        <v>0</v>
      </c>
      <c r="V27" s="740">
        <v>0</v>
      </c>
      <c r="W27" s="10">
        <f t="shared" si="18"/>
        <v>420</v>
      </c>
    </row>
    <row r="28" spans="1:23">
      <c r="A28" s="1059"/>
      <c r="B28" s="1042"/>
      <c r="C28" s="389">
        <v>45158</v>
      </c>
      <c r="D28" s="390">
        <v>45158</v>
      </c>
      <c r="E28" s="11">
        <v>88</v>
      </c>
      <c r="F28" s="12">
        <v>239</v>
      </c>
      <c r="G28" s="11"/>
      <c r="H28" s="12"/>
      <c r="I28" s="237"/>
      <c r="J28" s="238"/>
      <c r="K28" s="13"/>
      <c r="L28" s="237">
        <v>16</v>
      </c>
      <c r="M28" s="240">
        <v>0</v>
      </c>
      <c r="N28" s="239">
        <v>0</v>
      </c>
      <c r="O28" s="237">
        <v>4</v>
      </c>
      <c r="P28" s="240">
        <v>0</v>
      </c>
      <c r="Q28" s="238">
        <v>0</v>
      </c>
      <c r="R28" s="13">
        <v>20</v>
      </c>
      <c r="S28" s="730">
        <v>458</v>
      </c>
      <c r="T28" s="731">
        <v>287</v>
      </c>
      <c r="U28" s="732">
        <v>0</v>
      </c>
      <c r="V28" s="731">
        <v>0</v>
      </c>
      <c r="W28" s="10">
        <f t="shared" si="18"/>
        <v>745</v>
      </c>
    </row>
    <row r="29" spans="1:23">
      <c r="A29" s="1059"/>
      <c r="B29" s="1043">
        <v>35</v>
      </c>
      <c r="C29" s="389">
        <v>45159</v>
      </c>
      <c r="D29" s="390">
        <v>45162</v>
      </c>
      <c r="E29" s="11">
        <v>85</v>
      </c>
      <c r="F29" s="12">
        <v>212</v>
      </c>
      <c r="G29" s="11"/>
      <c r="H29" s="12"/>
      <c r="I29" s="237"/>
      <c r="J29" s="238"/>
      <c r="K29" s="13"/>
      <c r="L29" s="237">
        <v>0</v>
      </c>
      <c r="M29" s="240">
        <v>0</v>
      </c>
      <c r="N29" s="239">
        <v>0</v>
      </c>
      <c r="O29" s="237">
        <v>0</v>
      </c>
      <c r="P29" s="240">
        <v>12</v>
      </c>
      <c r="Q29" s="238">
        <v>0</v>
      </c>
      <c r="R29" s="13">
        <v>12</v>
      </c>
      <c r="S29" s="730">
        <v>314</v>
      </c>
      <c r="T29" s="731">
        <v>54</v>
      </c>
      <c r="U29" s="732">
        <v>0</v>
      </c>
      <c r="V29" s="731">
        <v>0</v>
      </c>
      <c r="W29" s="742">
        <f t="shared" si="18"/>
        <v>368</v>
      </c>
    </row>
    <row r="30" spans="1:23">
      <c r="A30" s="1059"/>
      <c r="B30" s="1041"/>
      <c r="C30" s="405">
        <v>45163</v>
      </c>
      <c r="D30" s="406">
        <v>45163</v>
      </c>
      <c r="E30" s="11">
        <v>48</v>
      </c>
      <c r="F30" s="12">
        <v>129</v>
      </c>
      <c r="G30" s="11"/>
      <c r="H30" s="12"/>
      <c r="I30" s="237"/>
      <c r="J30" s="238"/>
      <c r="K30" s="13"/>
      <c r="L30" s="237">
        <v>3</v>
      </c>
      <c r="M30" s="240">
        <v>0</v>
      </c>
      <c r="N30" s="239">
        <v>0</v>
      </c>
      <c r="O30" s="237">
        <v>0</v>
      </c>
      <c r="P30" s="240">
        <v>6</v>
      </c>
      <c r="Q30" s="238">
        <v>0</v>
      </c>
      <c r="R30" s="13">
        <v>9</v>
      </c>
      <c r="S30" s="730">
        <v>110</v>
      </c>
      <c r="T30" s="731">
        <v>6</v>
      </c>
      <c r="U30" s="732">
        <v>0</v>
      </c>
      <c r="V30" s="731">
        <v>0</v>
      </c>
      <c r="W30" s="742">
        <f t="shared" si="18"/>
        <v>116</v>
      </c>
    </row>
    <row r="31" spans="1:23">
      <c r="A31" s="1059"/>
      <c r="B31" s="1041"/>
      <c r="C31" s="405">
        <v>45164</v>
      </c>
      <c r="D31" s="406">
        <v>45164</v>
      </c>
      <c r="E31" s="11">
        <v>118</v>
      </c>
      <c r="F31" s="12">
        <v>295</v>
      </c>
      <c r="G31" s="11"/>
      <c r="H31" s="12"/>
      <c r="I31" s="237"/>
      <c r="J31" s="238"/>
      <c r="K31" s="13"/>
      <c r="L31" s="237">
        <v>12</v>
      </c>
      <c r="M31" s="240">
        <v>0</v>
      </c>
      <c r="N31" s="239">
        <v>0</v>
      </c>
      <c r="O31" s="237">
        <v>0</v>
      </c>
      <c r="P31" s="240">
        <v>40</v>
      </c>
      <c r="Q31" s="238">
        <v>0</v>
      </c>
      <c r="R31" s="13">
        <v>52</v>
      </c>
      <c r="S31" s="730">
        <v>434</v>
      </c>
      <c r="T31" s="731">
        <v>236</v>
      </c>
      <c r="U31" s="732">
        <v>0</v>
      </c>
      <c r="V31" s="731">
        <v>0</v>
      </c>
      <c r="W31" s="742">
        <f t="shared" si="18"/>
        <v>670</v>
      </c>
    </row>
    <row r="32" spans="1:23">
      <c r="A32" s="1059"/>
      <c r="B32" s="1042"/>
      <c r="C32" s="389">
        <v>45165</v>
      </c>
      <c r="D32" s="390">
        <v>45165</v>
      </c>
      <c r="E32" s="11">
        <v>91</v>
      </c>
      <c r="F32" s="12">
        <v>266</v>
      </c>
      <c r="G32" s="11"/>
      <c r="H32" s="12"/>
      <c r="I32" s="237"/>
      <c r="J32" s="238"/>
      <c r="K32" s="13"/>
      <c r="L32" s="237">
        <v>18</v>
      </c>
      <c r="M32" s="240">
        <v>0</v>
      </c>
      <c r="N32" s="239">
        <v>0</v>
      </c>
      <c r="O32" s="237">
        <v>0</v>
      </c>
      <c r="P32" s="240">
        <v>27</v>
      </c>
      <c r="Q32" s="238">
        <v>9</v>
      </c>
      <c r="R32" s="13">
        <v>54</v>
      </c>
      <c r="S32" s="730">
        <v>366</v>
      </c>
      <c r="T32" s="731">
        <v>221</v>
      </c>
      <c r="U32" s="732">
        <v>0</v>
      </c>
      <c r="V32" s="731">
        <v>0</v>
      </c>
      <c r="W32" s="742">
        <f t="shared" si="18"/>
        <v>587</v>
      </c>
    </row>
    <row r="33" spans="1:23" ht="13.5" thickBot="1">
      <c r="A33" s="1060"/>
      <c r="B33" s="891">
        <v>36</v>
      </c>
      <c r="C33" s="389">
        <v>45166</v>
      </c>
      <c r="D33" s="390">
        <v>45169</v>
      </c>
      <c r="E33" s="11">
        <v>54</v>
      </c>
      <c r="F33" s="12">
        <v>115</v>
      </c>
      <c r="G33" s="11"/>
      <c r="H33" s="12"/>
      <c r="I33" s="237"/>
      <c r="J33" s="238"/>
      <c r="K33" s="13"/>
      <c r="L33" s="237">
        <v>12</v>
      </c>
      <c r="M33" s="240">
        <v>0</v>
      </c>
      <c r="N33" s="239">
        <v>0</v>
      </c>
      <c r="O33" s="237">
        <v>0</v>
      </c>
      <c r="P33" s="240">
        <v>24</v>
      </c>
      <c r="Q33" s="238">
        <v>0</v>
      </c>
      <c r="R33" s="13">
        <v>36</v>
      </c>
      <c r="S33" s="730">
        <v>42</v>
      </c>
      <c r="T33" s="731">
        <v>30</v>
      </c>
      <c r="U33" s="733">
        <v>0</v>
      </c>
      <c r="V33" s="734">
        <v>0</v>
      </c>
      <c r="W33" s="736">
        <f t="shared" ref="W33" si="19">SUM(S33:V33)</f>
        <v>72</v>
      </c>
    </row>
    <row r="34" spans="1:23" ht="13.5" thickBot="1">
      <c r="A34" s="1037" t="s">
        <v>183</v>
      </c>
      <c r="B34" s="1038"/>
      <c r="C34" s="1038"/>
      <c r="D34" s="1039"/>
      <c r="E34" s="192">
        <f t="shared" ref="E34:W34" si="20">SUM(E17:E33)</f>
        <v>1404</v>
      </c>
      <c r="F34" s="193">
        <f t="shared" si="20"/>
        <v>3751</v>
      </c>
      <c r="G34" s="192">
        <f t="shared" si="20"/>
        <v>0</v>
      </c>
      <c r="H34" s="193">
        <f t="shared" si="20"/>
        <v>0</v>
      </c>
      <c r="I34" s="192">
        <f t="shared" si="20"/>
        <v>0</v>
      </c>
      <c r="J34" s="194">
        <f t="shared" si="20"/>
        <v>0</v>
      </c>
      <c r="K34" s="179">
        <f t="shared" si="20"/>
        <v>0</v>
      </c>
      <c r="L34" s="192">
        <f t="shared" si="20"/>
        <v>157</v>
      </c>
      <c r="M34" s="205">
        <f t="shared" si="20"/>
        <v>0</v>
      </c>
      <c r="N34" s="193">
        <f t="shared" si="20"/>
        <v>0</v>
      </c>
      <c r="O34" s="192">
        <f t="shared" si="20"/>
        <v>25</v>
      </c>
      <c r="P34" s="205">
        <f t="shared" si="20"/>
        <v>386</v>
      </c>
      <c r="Q34" s="194">
        <f t="shared" si="20"/>
        <v>12</v>
      </c>
      <c r="R34" s="179">
        <f t="shared" si="20"/>
        <v>580</v>
      </c>
      <c r="S34" s="707">
        <f t="shared" si="20"/>
        <v>4147</v>
      </c>
      <c r="T34" s="745">
        <f t="shared" si="20"/>
        <v>2134</v>
      </c>
      <c r="U34" s="710">
        <f t="shared" si="20"/>
        <v>0</v>
      </c>
      <c r="V34" s="743">
        <f t="shared" si="20"/>
        <v>0</v>
      </c>
      <c r="W34" s="744">
        <f t="shared" si="20"/>
        <v>6281</v>
      </c>
    </row>
    <row r="35" spans="1:23" s="185" customFormat="1">
      <c r="A35" s="1044" t="s">
        <v>72</v>
      </c>
      <c r="B35" s="1045"/>
      <c r="C35" s="1045"/>
      <c r="D35" s="1046"/>
      <c r="E35" s="195">
        <v>33077</v>
      </c>
      <c r="F35" s="196">
        <v>272816</v>
      </c>
      <c r="G35" s="195"/>
      <c r="H35" s="16"/>
      <c r="I35" s="195"/>
      <c r="J35" s="197"/>
      <c r="K35" s="17"/>
      <c r="L35" s="8">
        <v>712</v>
      </c>
      <c r="M35" s="750">
        <v>0</v>
      </c>
      <c r="N35" s="16">
        <v>0</v>
      </c>
      <c r="O35" s="8">
        <v>31</v>
      </c>
      <c r="P35" s="750">
        <v>19028</v>
      </c>
      <c r="Q35" s="751">
        <v>25</v>
      </c>
      <c r="R35" s="17">
        <v>19797</v>
      </c>
      <c r="S35" s="739">
        <v>394148</v>
      </c>
      <c r="T35" s="740">
        <v>147813</v>
      </c>
      <c r="U35" s="741">
        <v>0</v>
      </c>
      <c r="V35" s="740">
        <v>0</v>
      </c>
      <c r="W35" s="13">
        <v>35</v>
      </c>
    </row>
    <row r="36" spans="1:23">
      <c r="A36" s="1047" t="s">
        <v>73</v>
      </c>
      <c r="B36" s="1048"/>
      <c r="C36" s="1048"/>
      <c r="D36" s="1049"/>
      <c r="E36" s="198">
        <v>182</v>
      </c>
      <c r="F36" s="199">
        <v>522</v>
      </c>
      <c r="G36" s="198"/>
      <c r="H36" s="62"/>
      <c r="I36" s="190"/>
      <c r="J36" s="191"/>
      <c r="K36" s="10"/>
      <c r="L36" s="120">
        <v>27</v>
      </c>
      <c r="M36" s="122">
        <v>0</v>
      </c>
      <c r="N36" s="121">
        <v>0</v>
      </c>
      <c r="O36" s="120">
        <v>6</v>
      </c>
      <c r="P36" s="122">
        <v>138</v>
      </c>
      <c r="Q36" s="123">
        <v>5</v>
      </c>
      <c r="R36" s="127">
        <v>141</v>
      </c>
      <c r="S36" s="730">
        <v>628</v>
      </c>
      <c r="T36" s="731">
        <v>384</v>
      </c>
      <c r="U36" s="732">
        <v>0</v>
      </c>
      <c r="V36" s="731">
        <v>0</v>
      </c>
      <c r="W36" s="10">
        <f t="shared" ref="W36" si="21">SQRT(W35)</f>
        <v>5.9160797830996161</v>
      </c>
    </row>
    <row r="37" spans="1:23">
      <c r="A37" s="1047" t="s">
        <v>74</v>
      </c>
      <c r="B37" s="1048"/>
      <c r="C37" s="1048"/>
      <c r="D37" s="1049"/>
      <c r="E37" s="200">
        <v>0.13</v>
      </c>
      <c r="F37" s="201">
        <v>0.14000000000000001</v>
      </c>
      <c r="G37" s="200"/>
      <c r="H37" s="201"/>
      <c r="I37" s="200"/>
      <c r="J37" s="202"/>
      <c r="K37" s="110"/>
      <c r="L37" s="107">
        <v>0.17</v>
      </c>
      <c r="M37" s="118" t="s">
        <v>140</v>
      </c>
      <c r="N37" s="108" t="s">
        <v>140</v>
      </c>
      <c r="O37" s="107">
        <v>0.24</v>
      </c>
      <c r="P37" s="118">
        <v>0.35</v>
      </c>
      <c r="Q37" s="109">
        <v>0.42</v>
      </c>
      <c r="R37" s="110">
        <v>0.24</v>
      </c>
      <c r="S37" s="200">
        <v>0.15</v>
      </c>
      <c r="T37" s="720">
        <v>0.18</v>
      </c>
      <c r="U37" s="732" t="s">
        <v>140</v>
      </c>
      <c r="V37" s="731" t="s">
        <v>140</v>
      </c>
      <c r="W37" s="10">
        <f t="shared" ref="W37" si="22">W36/W34</f>
        <v>9.4190093665015378E-4</v>
      </c>
    </row>
    <row r="38" spans="1:23">
      <c r="A38" s="1052" t="s">
        <v>75</v>
      </c>
      <c r="B38" s="1053"/>
      <c r="C38" s="1053"/>
      <c r="D38" s="1054"/>
      <c r="E38" s="18" t="s">
        <v>184</v>
      </c>
      <c r="F38" s="19" t="s">
        <v>185</v>
      </c>
      <c r="G38" s="18"/>
      <c r="H38" s="204"/>
      <c r="I38" s="18"/>
      <c r="J38" s="20"/>
      <c r="K38" s="21"/>
      <c r="L38" s="18" t="s">
        <v>186</v>
      </c>
      <c r="M38" s="119" t="s">
        <v>151</v>
      </c>
      <c r="N38" s="20" t="s">
        <v>151</v>
      </c>
      <c r="O38" s="18" t="s">
        <v>187</v>
      </c>
      <c r="P38" s="119" t="s">
        <v>188</v>
      </c>
      <c r="Q38" s="20" t="s">
        <v>189</v>
      </c>
      <c r="R38" s="21" t="s">
        <v>190</v>
      </c>
      <c r="S38" s="733" t="s">
        <v>191</v>
      </c>
      <c r="T38" s="734" t="s">
        <v>192</v>
      </c>
      <c r="U38" s="735" t="s">
        <v>151</v>
      </c>
      <c r="V38" s="734" t="s">
        <v>151</v>
      </c>
      <c r="W38" s="736" t="str">
        <f t="shared" ref="W38" si="23">CONCATENATE(TEXT(ROUND(W34-1.96*SQRT(W35),0),"#,###"),"-",TEXT(ROUND(W34+1.96*SQRT(W35),0),"#,###"))</f>
        <v>6,269-6,293</v>
      </c>
    </row>
    <row r="39" spans="1:23">
      <c r="A39" s="1055" t="s">
        <v>97</v>
      </c>
      <c r="B39" s="1040">
        <v>36</v>
      </c>
      <c r="C39" s="757">
        <v>45170</v>
      </c>
      <c r="D39" s="758">
        <v>45170</v>
      </c>
      <c r="E39" s="8">
        <v>36</v>
      </c>
      <c r="F39" s="16">
        <v>88</v>
      </c>
      <c r="G39" s="8"/>
      <c r="H39" s="16"/>
      <c r="I39" s="195"/>
      <c r="J39" s="197"/>
      <c r="K39" s="17"/>
      <c r="L39" s="195">
        <v>13</v>
      </c>
      <c r="M39" s="211">
        <v>13</v>
      </c>
      <c r="N39" s="196">
        <v>0</v>
      </c>
      <c r="O39" s="195">
        <v>0</v>
      </c>
      <c r="P39" s="211">
        <v>0</v>
      </c>
      <c r="Q39" s="197">
        <v>0</v>
      </c>
      <c r="R39" s="17">
        <v>26</v>
      </c>
      <c r="S39" s="759">
        <v>49</v>
      </c>
      <c r="T39" s="760">
        <v>29</v>
      </c>
      <c r="U39" s="761">
        <v>0</v>
      </c>
      <c r="V39" s="760">
        <v>0</v>
      </c>
      <c r="W39" s="762">
        <f t="shared" ref="W39:W56" si="24">SUM(S39:V39)</f>
        <v>78</v>
      </c>
    </row>
    <row r="40" spans="1:23">
      <c r="A40" s="1056"/>
      <c r="B40" s="1041"/>
      <c r="C40" s="389">
        <v>45171</v>
      </c>
      <c r="D40" s="390">
        <v>45171</v>
      </c>
      <c r="E40" s="11">
        <v>85</v>
      </c>
      <c r="F40" s="12">
        <v>216</v>
      </c>
      <c r="G40" s="11"/>
      <c r="H40" s="12"/>
      <c r="I40" s="237"/>
      <c r="J40" s="238"/>
      <c r="K40" s="13"/>
      <c r="L40" s="237">
        <v>16</v>
      </c>
      <c r="M40" s="240">
        <v>29</v>
      </c>
      <c r="N40" s="239">
        <v>0</v>
      </c>
      <c r="O40" s="237">
        <v>0</v>
      </c>
      <c r="P40" s="240">
        <v>7</v>
      </c>
      <c r="Q40" s="238">
        <v>0</v>
      </c>
      <c r="R40" s="13">
        <v>52</v>
      </c>
      <c r="S40" s="730">
        <v>85</v>
      </c>
      <c r="T40" s="731">
        <v>59</v>
      </c>
      <c r="U40" s="732">
        <v>0</v>
      </c>
      <c r="V40" s="731">
        <v>0</v>
      </c>
      <c r="W40" s="742">
        <f t="shared" si="24"/>
        <v>144</v>
      </c>
    </row>
    <row r="41" spans="1:23">
      <c r="A41" s="1056"/>
      <c r="B41" s="1042"/>
      <c r="C41" s="405">
        <v>45172</v>
      </c>
      <c r="D41" s="406">
        <v>45173</v>
      </c>
      <c r="E41" s="11">
        <v>118</v>
      </c>
      <c r="F41" s="12">
        <v>307</v>
      </c>
      <c r="G41" s="11"/>
      <c r="H41" s="12"/>
      <c r="I41" s="237"/>
      <c r="J41" s="238"/>
      <c r="K41" s="13"/>
      <c r="L41" s="237">
        <v>13</v>
      </c>
      <c r="M41" s="240">
        <v>65</v>
      </c>
      <c r="N41" s="239">
        <v>7</v>
      </c>
      <c r="O41" s="237">
        <v>0</v>
      </c>
      <c r="P41" s="240">
        <v>0</v>
      </c>
      <c r="Q41" s="238">
        <v>26</v>
      </c>
      <c r="R41" s="13">
        <v>111</v>
      </c>
      <c r="S41" s="9">
        <v>268</v>
      </c>
      <c r="T41" s="738">
        <v>65</v>
      </c>
      <c r="U41" s="14">
        <v>0</v>
      </c>
      <c r="V41" s="738">
        <v>0</v>
      </c>
      <c r="W41" s="10">
        <f t="shared" si="24"/>
        <v>333</v>
      </c>
    </row>
    <row r="42" spans="1:23">
      <c r="A42" s="1056"/>
      <c r="B42" s="1041">
        <v>37</v>
      </c>
      <c r="C42" s="405">
        <v>45174</v>
      </c>
      <c r="D42" s="406">
        <v>45176</v>
      </c>
      <c r="E42" s="11">
        <v>78</v>
      </c>
      <c r="F42" s="12">
        <v>167</v>
      </c>
      <c r="G42" s="11"/>
      <c r="H42" s="12"/>
      <c r="I42" s="237"/>
      <c r="J42" s="238"/>
      <c r="K42" s="13"/>
      <c r="L42" s="237">
        <v>39</v>
      </c>
      <c r="M42" s="240">
        <v>49</v>
      </c>
      <c r="N42" s="239">
        <v>0</v>
      </c>
      <c r="O42" s="237">
        <v>0</v>
      </c>
      <c r="P42" s="240">
        <v>0</v>
      </c>
      <c r="Q42" s="238">
        <v>0</v>
      </c>
      <c r="R42" s="13">
        <v>88</v>
      </c>
      <c r="S42" s="739">
        <v>137</v>
      </c>
      <c r="T42" s="740">
        <v>20</v>
      </c>
      <c r="U42" s="741">
        <v>0</v>
      </c>
      <c r="V42" s="740">
        <v>0</v>
      </c>
      <c r="W42" s="806">
        <f t="shared" si="24"/>
        <v>157</v>
      </c>
    </row>
    <row r="43" spans="1:23">
      <c r="A43" s="1056"/>
      <c r="B43" s="1041"/>
      <c r="C43" s="389">
        <v>45177</v>
      </c>
      <c r="D43" s="390">
        <v>45177</v>
      </c>
      <c r="E43" s="9">
        <v>42</v>
      </c>
      <c r="F43" s="14">
        <v>95</v>
      </c>
      <c r="G43" s="9"/>
      <c r="H43" s="14"/>
      <c r="I43" s="190"/>
      <c r="J43" s="191"/>
      <c r="K43" s="10"/>
      <c r="L43" s="190">
        <v>13</v>
      </c>
      <c r="M43" s="216">
        <v>36</v>
      </c>
      <c r="N43" s="215">
        <v>0</v>
      </c>
      <c r="O43" s="190">
        <v>0</v>
      </c>
      <c r="P43" s="216">
        <v>0</v>
      </c>
      <c r="Q43" s="191">
        <v>0</v>
      </c>
      <c r="R43" s="10">
        <v>49</v>
      </c>
      <c r="S43" s="730">
        <v>56</v>
      </c>
      <c r="T43" s="731">
        <v>3</v>
      </c>
      <c r="U43" s="732">
        <v>0</v>
      </c>
      <c r="V43" s="731">
        <v>0</v>
      </c>
      <c r="W43" s="742">
        <f t="shared" si="24"/>
        <v>59</v>
      </c>
    </row>
    <row r="44" spans="1:23">
      <c r="A44" s="1056"/>
      <c r="B44" s="1041"/>
      <c r="C44" s="389">
        <v>45178</v>
      </c>
      <c r="D44" s="390">
        <v>45178</v>
      </c>
      <c r="E44" s="9">
        <v>154</v>
      </c>
      <c r="F44" s="14">
        <v>398</v>
      </c>
      <c r="G44" s="9"/>
      <c r="H44" s="14"/>
      <c r="I44" s="190"/>
      <c r="J44" s="191"/>
      <c r="K44" s="10"/>
      <c r="L44" s="190">
        <v>85</v>
      </c>
      <c r="M44" s="216">
        <v>111</v>
      </c>
      <c r="N44" s="215">
        <v>7</v>
      </c>
      <c r="O44" s="190">
        <v>0</v>
      </c>
      <c r="P44" s="216">
        <v>49</v>
      </c>
      <c r="Q44" s="191">
        <v>56</v>
      </c>
      <c r="R44" s="10">
        <v>308</v>
      </c>
      <c r="S44" s="9">
        <v>144</v>
      </c>
      <c r="T44" s="738">
        <v>91</v>
      </c>
      <c r="U44" s="14">
        <v>0</v>
      </c>
      <c r="V44" s="738">
        <v>0</v>
      </c>
      <c r="W44" s="10">
        <f t="shared" si="24"/>
        <v>235</v>
      </c>
    </row>
    <row r="45" spans="1:23">
      <c r="A45" s="1056"/>
      <c r="B45" s="1042"/>
      <c r="C45" s="389">
        <v>45179</v>
      </c>
      <c r="D45" s="390">
        <v>45179</v>
      </c>
      <c r="E45" s="9">
        <v>85</v>
      </c>
      <c r="F45" s="14">
        <v>262</v>
      </c>
      <c r="G45" s="9"/>
      <c r="H45" s="14"/>
      <c r="I45" s="190"/>
      <c r="J45" s="191"/>
      <c r="K45" s="10"/>
      <c r="L45" s="190">
        <v>48</v>
      </c>
      <c r="M45" s="216">
        <v>122</v>
      </c>
      <c r="N45" s="215">
        <v>0</v>
      </c>
      <c r="O45" s="190">
        <v>0</v>
      </c>
      <c r="P45" s="216">
        <v>0</v>
      </c>
      <c r="Q45" s="191">
        <v>14</v>
      </c>
      <c r="R45" s="10">
        <v>184</v>
      </c>
      <c r="S45" s="11">
        <v>102</v>
      </c>
      <c r="T45" s="807">
        <v>10</v>
      </c>
      <c r="U45" s="12">
        <v>0</v>
      </c>
      <c r="V45" s="807">
        <v>0</v>
      </c>
      <c r="W45" s="13">
        <f t="shared" si="24"/>
        <v>112</v>
      </c>
    </row>
    <row r="46" spans="1:23">
      <c r="A46" s="1056"/>
      <c r="B46" s="1050">
        <v>38</v>
      </c>
      <c r="C46" s="389">
        <v>45180</v>
      </c>
      <c r="D46" s="390">
        <v>45183</v>
      </c>
      <c r="E46" s="273">
        <v>144</v>
      </c>
      <c r="F46" s="274">
        <v>303</v>
      </c>
      <c r="G46" s="273"/>
      <c r="H46" s="274"/>
      <c r="I46" s="273"/>
      <c r="J46" s="275"/>
      <c r="K46" s="276"/>
      <c r="L46" s="273">
        <v>40</v>
      </c>
      <c r="M46" s="277">
        <v>77</v>
      </c>
      <c r="N46" s="274">
        <v>0</v>
      </c>
      <c r="O46" s="273">
        <v>0</v>
      </c>
      <c r="P46" s="277">
        <v>0</v>
      </c>
      <c r="Q46" s="275">
        <v>13</v>
      </c>
      <c r="R46" s="276">
        <v>130</v>
      </c>
      <c r="S46" s="9">
        <v>29</v>
      </c>
      <c r="T46" s="738">
        <v>0</v>
      </c>
      <c r="U46" s="12">
        <v>0</v>
      </c>
      <c r="V46" s="807">
        <v>0</v>
      </c>
      <c r="W46" s="10">
        <f t="shared" si="24"/>
        <v>29</v>
      </c>
    </row>
    <row r="47" spans="1:23">
      <c r="A47" s="1056"/>
      <c r="B47" s="1051"/>
      <c r="C47" s="389">
        <v>45184</v>
      </c>
      <c r="D47" s="390">
        <v>45184</v>
      </c>
      <c r="E47" s="268">
        <v>69</v>
      </c>
      <c r="F47" s="269">
        <v>170</v>
      </c>
      <c r="G47" s="268"/>
      <c r="H47" s="269"/>
      <c r="I47" s="268"/>
      <c r="J47" s="270"/>
      <c r="K47" s="271"/>
      <c r="L47" s="268">
        <v>13</v>
      </c>
      <c r="M47" s="272">
        <v>42</v>
      </c>
      <c r="N47" s="269">
        <v>0</v>
      </c>
      <c r="O47" s="268">
        <v>0</v>
      </c>
      <c r="P47" s="272">
        <v>26</v>
      </c>
      <c r="Q47" s="270">
        <v>16</v>
      </c>
      <c r="R47" s="271">
        <v>97</v>
      </c>
      <c r="S47" s="739">
        <v>13</v>
      </c>
      <c r="T47" s="740">
        <v>3</v>
      </c>
      <c r="U47" s="12">
        <v>0</v>
      </c>
      <c r="V47" s="807">
        <v>0</v>
      </c>
      <c r="W47" s="806">
        <f t="shared" si="24"/>
        <v>16</v>
      </c>
    </row>
    <row r="48" spans="1:23">
      <c r="A48" s="1056"/>
      <c r="B48" s="1051"/>
      <c r="C48" s="389">
        <v>45185</v>
      </c>
      <c r="D48" s="390">
        <v>45185</v>
      </c>
      <c r="E48" s="268">
        <v>95</v>
      </c>
      <c r="F48" s="269">
        <v>245</v>
      </c>
      <c r="G48" s="268"/>
      <c r="H48" s="269"/>
      <c r="I48" s="268"/>
      <c r="J48" s="270"/>
      <c r="K48" s="271"/>
      <c r="L48" s="268">
        <v>36</v>
      </c>
      <c r="M48" s="272">
        <v>91</v>
      </c>
      <c r="N48" s="269">
        <v>0</v>
      </c>
      <c r="O48" s="268">
        <v>0</v>
      </c>
      <c r="P48" s="272">
        <v>23</v>
      </c>
      <c r="Q48" s="270">
        <v>0</v>
      </c>
      <c r="R48" s="271">
        <v>150</v>
      </c>
      <c r="S48" s="730">
        <v>13</v>
      </c>
      <c r="T48" s="731">
        <v>3</v>
      </c>
      <c r="U48" s="12">
        <v>0</v>
      </c>
      <c r="V48" s="807">
        <v>0</v>
      </c>
      <c r="W48" s="742">
        <f t="shared" si="24"/>
        <v>16</v>
      </c>
    </row>
    <row r="49" spans="1:23">
      <c r="A49" s="1056"/>
      <c r="B49" s="1051"/>
      <c r="C49" s="389">
        <v>45186</v>
      </c>
      <c r="D49" s="390">
        <v>45186</v>
      </c>
      <c r="E49" s="268">
        <v>23</v>
      </c>
      <c r="F49" s="269">
        <v>52</v>
      </c>
      <c r="G49" s="268"/>
      <c r="H49" s="269"/>
      <c r="I49" s="268"/>
      <c r="J49" s="270"/>
      <c r="K49" s="271"/>
      <c r="L49" s="268">
        <v>0</v>
      </c>
      <c r="M49" s="272">
        <v>7</v>
      </c>
      <c r="N49" s="269">
        <v>0</v>
      </c>
      <c r="O49" s="268">
        <v>0</v>
      </c>
      <c r="P49" s="272">
        <v>16</v>
      </c>
      <c r="Q49" s="270">
        <v>0</v>
      </c>
      <c r="R49" s="271">
        <v>23</v>
      </c>
      <c r="S49" s="730">
        <v>0</v>
      </c>
      <c r="T49" s="731">
        <v>0</v>
      </c>
      <c r="U49" s="12">
        <v>0</v>
      </c>
      <c r="V49" s="807">
        <v>0</v>
      </c>
      <c r="W49" s="742">
        <f t="shared" si="24"/>
        <v>0</v>
      </c>
    </row>
    <row r="50" spans="1:23">
      <c r="A50" s="1056"/>
      <c r="B50" s="1051">
        <v>39</v>
      </c>
      <c r="C50" s="389">
        <v>45187</v>
      </c>
      <c r="D50" s="390">
        <v>45190</v>
      </c>
      <c r="E50" s="268">
        <v>26</v>
      </c>
      <c r="F50" s="269">
        <v>46</v>
      </c>
      <c r="G50" s="268"/>
      <c r="H50" s="269"/>
      <c r="I50" s="268"/>
      <c r="J50" s="270"/>
      <c r="K50" s="271"/>
      <c r="L50" s="268">
        <v>7</v>
      </c>
      <c r="M50" s="272">
        <v>26</v>
      </c>
      <c r="N50" s="269">
        <v>0</v>
      </c>
      <c r="O50" s="268">
        <v>0</v>
      </c>
      <c r="P50" s="272">
        <v>0</v>
      </c>
      <c r="Q50" s="270">
        <v>0</v>
      </c>
      <c r="R50" s="271">
        <v>33</v>
      </c>
      <c r="S50" s="730">
        <v>0</v>
      </c>
      <c r="T50" s="731">
        <v>0</v>
      </c>
      <c r="U50" s="12">
        <v>0</v>
      </c>
      <c r="V50" s="807">
        <v>0</v>
      </c>
      <c r="W50" s="742">
        <f t="shared" si="24"/>
        <v>0</v>
      </c>
    </row>
    <row r="51" spans="1:23">
      <c r="A51" s="1056"/>
      <c r="B51" s="1051"/>
      <c r="C51" s="389">
        <v>45191</v>
      </c>
      <c r="D51" s="390">
        <v>45191</v>
      </c>
      <c r="E51" s="268">
        <v>49</v>
      </c>
      <c r="F51" s="269">
        <v>108</v>
      </c>
      <c r="G51" s="268"/>
      <c r="H51" s="269"/>
      <c r="I51" s="268"/>
      <c r="J51" s="270"/>
      <c r="K51" s="271"/>
      <c r="L51" s="268">
        <v>26</v>
      </c>
      <c r="M51" s="272">
        <v>39</v>
      </c>
      <c r="N51" s="269">
        <v>0</v>
      </c>
      <c r="O51" s="268">
        <v>0</v>
      </c>
      <c r="P51" s="272">
        <v>0</v>
      </c>
      <c r="Q51" s="270">
        <v>7</v>
      </c>
      <c r="R51" s="271">
        <v>72</v>
      </c>
      <c r="S51" s="730">
        <v>7</v>
      </c>
      <c r="T51" s="731">
        <v>0</v>
      </c>
      <c r="U51" s="12">
        <v>0</v>
      </c>
      <c r="V51" s="807">
        <v>0</v>
      </c>
      <c r="W51" s="742">
        <f t="shared" si="24"/>
        <v>7</v>
      </c>
    </row>
    <row r="52" spans="1:23">
      <c r="A52" s="1056"/>
      <c r="B52" s="1051"/>
      <c r="C52" s="407">
        <v>45192</v>
      </c>
      <c r="D52" s="408">
        <v>45192</v>
      </c>
      <c r="E52" s="268">
        <v>42</v>
      </c>
      <c r="F52" s="269">
        <v>124</v>
      </c>
      <c r="G52" s="268"/>
      <c r="H52" s="269"/>
      <c r="I52" s="268"/>
      <c r="J52" s="270"/>
      <c r="K52" s="271"/>
      <c r="L52" s="268">
        <v>10</v>
      </c>
      <c r="M52" s="272">
        <v>69</v>
      </c>
      <c r="N52" s="269">
        <v>0</v>
      </c>
      <c r="O52" s="268">
        <v>0</v>
      </c>
      <c r="P52" s="272">
        <v>0</v>
      </c>
      <c r="Q52" s="270">
        <v>20</v>
      </c>
      <c r="R52" s="271">
        <v>99</v>
      </c>
      <c r="S52" s="730">
        <v>7</v>
      </c>
      <c r="T52" s="731">
        <v>0</v>
      </c>
      <c r="U52" s="12">
        <v>0</v>
      </c>
      <c r="V52" s="807">
        <v>0</v>
      </c>
      <c r="W52" s="742">
        <f t="shared" si="24"/>
        <v>7</v>
      </c>
    </row>
    <row r="53" spans="1:23">
      <c r="A53" s="1056"/>
      <c r="B53" s="1051"/>
      <c r="C53" s="407">
        <v>45193</v>
      </c>
      <c r="D53" s="408">
        <v>45193</v>
      </c>
      <c r="E53" s="268">
        <v>56</v>
      </c>
      <c r="F53" s="269">
        <v>144</v>
      </c>
      <c r="G53" s="268"/>
      <c r="H53" s="269"/>
      <c r="I53" s="268"/>
      <c r="J53" s="270"/>
      <c r="K53" s="271"/>
      <c r="L53" s="268">
        <v>20</v>
      </c>
      <c r="M53" s="272">
        <v>52</v>
      </c>
      <c r="N53" s="269">
        <v>7</v>
      </c>
      <c r="O53" s="268">
        <v>0</v>
      </c>
      <c r="P53" s="272">
        <v>7</v>
      </c>
      <c r="Q53" s="270">
        <v>39</v>
      </c>
      <c r="R53" s="271">
        <v>125</v>
      </c>
      <c r="S53" s="730">
        <v>0</v>
      </c>
      <c r="T53" s="731">
        <v>3</v>
      </c>
      <c r="U53" s="12">
        <v>0</v>
      </c>
      <c r="V53" s="807">
        <v>0</v>
      </c>
      <c r="W53" s="742">
        <f t="shared" si="24"/>
        <v>3</v>
      </c>
    </row>
    <row r="54" spans="1:23">
      <c r="A54" s="1056"/>
      <c r="B54" s="1062">
        <v>40</v>
      </c>
      <c r="C54" s="407">
        <v>45194</v>
      </c>
      <c r="D54" s="408">
        <v>45197</v>
      </c>
      <c r="E54" s="268">
        <v>52</v>
      </c>
      <c r="F54" s="269">
        <v>131</v>
      </c>
      <c r="G54" s="268"/>
      <c r="H54" s="269"/>
      <c r="I54" s="268"/>
      <c r="J54" s="270"/>
      <c r="K54" s="271"/>
      <c r="L54" s="268">
        <v>46</v>
      </c>
      <c r="M54" s="272">
        <v>52</v>
      </c>
      <c r="N54" s="269">
        <v>0</v>
      </c>
      <c r="O54" s="268">
        <v>13</v>
      </c>
      <c r="P54" s="272">
        <v>26</v>
      </c>
      <c r="Q54" s="270">
        <v>26</v>
      </c>
      <c r="R54" s="271">
        <v>163</v>
      </c>
      <c r="S54" s="730">
        <v>7</v>
      </c>
      <c r="T54" s="731">
        <v>0</v>
      </c>
      <c r="U54" s="732">
        <v>0</v>
      </c>
      <c r="V54" s="731">
        <v>0</v>
      </c>
      <c r="W54" s="742">
        <f t="shared" si="24"/>
        <v>7</v>
      </c>
    </row>
    <row r="55" spans="1:23">
      <c r="A55" s="1056"/>
      <c r="B55" s="1063"/>
      <c r="C55" s="407">
        <v>45198</v>
      </c>
      <c r="D55" s="408">
        <v>45198</v>
      </c>
      <c r="E55" s="518">
        <v>39</v>
      </c>
      <c r="F55" s="519">
        <v>85</v>
      </c>
      <c r="G55" s="518"/>
      <c r="H55" s="519"/>
      <c r="I55" s="518"/>
      <c r="J55" s="520"/>
      <c r="K55" s="521"/>
      <c r="L55" s="518">
        <v>20</v>
      </c>
      <c r="M55" s="272">
        <v>49</v>
      </c>
      <c r="N55" s="269">
        <v>0</v>
      </c>
      <c r="O55" s="268">
        <v>0</v>
      </c>
      <c r="P55" s="272">
        <v>0</v>
      </c>
      <c r="Q55" s="270">
        <v>10</v>
      </c>
      <c r="R55" s="271">
        <v>79</v>
      </c>
      <c r="S55" s="730">
        <v>0</v>
      </c>
      <c r="T55" s="731">
        <v>0</v>
      </c>
      <c r="U55" s="732">
        <v>0</v>
      </c>
      <c r="V55" s="731">
        <v>0</v>
      </c>
      <c r="W55" s="742">
        <f t="shared" si="24"/>
        <v>0</v>
      </c>
    </row>
    <row r="56" spans="1:23" ht="13.5" thickBot="1">
      <c r="A56" s="1057"/>
      <c r="B56" s="1064"/>
      <c r="C56" s="407">
        <v>45199</v>
      </c>
      <c r="D56" s="408">
        <v>45199</v>
      </c>
      <c r="E56" s="416">
        <v>62</v>
      </c>
      <c r="F56" s="417">
        <v>170</v>
      </c>
      <c r="G56" s="416"/>
      <c r="H56" s="417"/>
      <c r="I56" s="416"/>
      <c r="J56" s="418"/>
      <c r="K56" s="419"/>
      <c r="L56" s="416">
        <v>33</v>
      </c>
      <c r="M56" s="272">
        <v>101</v>
      </c>
      <c r="N56" s="269">
        <v>0</v>
      </c>
      <c r="O56" s="268">
        <v>3</v>
      </c>
      <c r="P56" s="272">
        <v>7</v>
      </c>
      <c r="Q56" s="270">
        <v>91</v>
      </c>
      <c r="R56" s="271">
        <v>235</v>
      </c>
      <c r="S56" s="733">
        <v>0</v>
      </c>
      <c r="T56" s="734">
        <v>3</v>
      </c>
      <c r="U56" s="735">
        <v>0</v>
      </c>
      <c r="V56" s="734">
        <v>0</v>
      </c>
      <c r="W56" s="736">
        <f t="shared" si="24"/>
        <v>3</v>
      </c>
    </row>
    <row r="57" spans="1:23" ht="13.5" thickBot="1">
      <c r="A57" s="1037" t="s">
        <v>193</v>
      </c>
      <c r="B57" s="1038"/>
      <c r="C57" s="1038"/>
      <c r="D57" s="1039"/>
      <c r="E57" s="192">
        <f t="shared" ref="E57:W57" si="25">SUM(E39:E56)</f>
        <v>1255</v>
      </c>
      <c r="F57" s="193">
        <f t="shared" si="25"/>
        <v>3111</v>
      </c>
      <c r="G57" s="192">
        <f t="shared" si="25"/>
        <v>0</v>
      </c>
      <c r="H57" s="193">
        <f t="shared" si="25"/>
        <v>0</v>
      </c>
      <c r="I57" s="192">
        <f t="shared" si="25"/>
        <v>0</v>
      </c>
      <c r="J57" s="194">
        <f t="shared" si="25"/>
        <v>0</v>
      </c>
      <c r="K57" s="179">
        <f t="shared" si="25"/>
        <v>0</v>
      </c>
      <c r="L57" s="192">
        <f t="shared" si="25"/>
        <v>478</v>
      </c>
      <c r="M57" s="205">
        <f t="shared" si="25"/>
        <v>1030</v>
      </c>
      <c r="N57" s="193">
        <f t="shared" si="25"/>
        <v>21</v>
      </c>
      <c r="O57" s="192">
        <f t="shared" si="25"/>
        <v>16</v>
      </c>
      <c r="P57" s="205">
        <f t="shared" si="25"/>
        <v>161</v>
      </c>
      <c r="Q57" s="194">
        <f t="shared" si="25"/>
        <v>318</v>
      </c>
      <c r="R57" s="179">
        <f t="shared" si="25"/>
        <v>2024</v>
      </c>
      <c r="S57" s="707">
        <f t="shared" si="25"/>
        <v>917</v>
      </c>
      <c r="T57" s="743">
        <f t="shared" si="25"/>
        <v>289</v>
      </c>
      <c r="U57" s="711">
        <f t="shared" si="25"/>
        <v>0</v>
      </c>
      <c r="V57" s="743">
        <f t="shared" si="25"/>
        <v>0</v>
      </c>
      <c r="W57" s="744">
        <f t="shared" si="25"/>
        <v>1206</v>
      </c>
    </row>
    <row r="58" spans="1:23" s="185" customFormat="1">
      <c r="A58" s="1044" t="s">
        <v>72</v>
      </c>
      <c r="B58" s="1045"/>
      <c r="C58" s="1045"/>
      <c r="D58" s="1046"/>
      <c r="E58" s="195">
        <v>20864</v>
      </c>
      <c r="F58" s="196">
        <v>136427</v>
      </c>
      <c r="G58" s="195"/>
      <c r="H58" s="16"/>
      <c r="I58" s="195"/>
      <c r="J58" s="197"/>
      <c r="K58" s="17"/>
      <c r="L58" s="8">
        <v>5050</v>
      </c>
      <c r="M58" s="750">
        <v>16969</v>
      </c>
      <c r="N58" s="16">
        <v>24</v>
      </c>
      <c r="O58" s="8">
        <v>107</v>
      </c>
      <c r="P58" s="750">
        <v>1314</v>
      </c>
      <c r="Q58" s="751">
        <v>3727</v>
      </c>
      <c r="R58" s="17">
        <v>27191</v>
      </c>
      <c r="S58" s="739">
        <v>19415</v>
      </c>
      <c r="T58" s="740">
        <v>3385</v>
      </c>
      <c r="U58" s="741">
        <v>0</v>
      </c>
      <c r="V58" s="740">
        <v>0</v>
      </c>
      <c r="W58" s="13">
        <f>SUM(S58:V58)</f>
        <v>22800</v>
      </c>
    </row>
    <row r="59" spans="1:23">
      <c r="A59" s="1047" t="s">
        <v>73</v>
      </c>
      <c r="B59" s="1048"/>
      <c r="C59" s="1048"/>
      <c r="D59" s="1049"/>
      <c r="E59" s="198">
        <v>144</v>
      </c>
      <c r="F59" s="199">
        <v>369</v>
      </c>
      <c r="G59" s="198"/>
      <c r="H59" s="62"/>
      <c r="I59" s="190"/>
      <c r="J59" s="191"/>
      <c r="K59" s="10"/>
      <c r="L59" s="120">
        <v>71</v>
      </c>
      <c r="M59" s="122">
        <v>130</v>
      </c>
      <c r="N59" s="121">
        <v>5</v>
      </c>
      <c r="O59" s="120">
        <v>10</v>
      </c>
      <c r="P59" s="122">
        <v>36</v>
      </c>
      <c r="Q59" s="123">
        <v>61</v>
      </c>
      <c r="R59" s="127">
        <v>165</v>
      </c>
      <c r="S59" s="730">
        <v>139</v>
      </c>
      <c r="T59" s="731">
        <v>58</v>
      </c>
      <c r="U59" s="732">
        <v>0</v>
      </c>
      <c r="V59" s="731">
        <v>0</v>
      </c>
      <c r="W59" s="10">
        <f>SQRT(W58)</f>
        <v>150.99668870541498</v>
      </c>
    </row>
    <row r="60" spans="1:23">
      <c r="A60" s="1047" t="s">
        <v>74</v>
      </c>
      <c r="B60" s="1048"/>
      <c r="C60" s="1048"/>
      <c r="D60" s="1049"/>
      <c r="E60" s="200">
        <v>0.11</v>
      </c>
      <c r="F60" s="201">
        <v>0.12</v>
      </c>
      <c r="G60" s="200"/>
      <c r="H60" s="201"/>
      <c r="I60" s="200"/>
      <c r="J60" s="202"/>
      <c r="K60" s="110"/>
      <c r="L60" s="107">
        <v>0.15</v>
      </c>
      <c r="M60" s="118">
        <v>0.13</v>
      </c>
      <c r="N60" s="108">
        <v>0.25</v>
      </c>
      <c r="O60" s="107">
        <v>0.62</v>
      </c>
      <c r="P60" s="118">
        <v>0.22</v>
      </c>
      <c r="Q60" s="109">
        <v>0.19</v>
      </c>
      <c r="R60" s="110">
        <v>0.08</v>
      </c>
      <c r="S60" s="200">
        <v>0.15</v>
      </c>
      <c r="T60" s="720">
        <v>0.2</v>
      </c>
      <c r="U60" s="732" t="s">
        <v>140</v>
      </c>
      <c r="V60" s="731" t="s">
        <v>140</v>
      </c>
      <c r="W60" s="720">
        <f>W59/W57</f>
        <v>0.1252045511653524</v>
      </c>
    </row>
    <row r="61" spans="1:23">
      <c r="A61" s="1052" t="s">
        <v>75</v>
      </c>
      <c r="B61" s="1053"/>
      <c r="C61" s="1053"/>
      <c r="D61" s="1054"/>
      <c r="E61" s="18" t="s">
        <v>194</v>
      </c>
      <c r="F61" s="19" t="s">
        <v>195</v>
      </c>
      <c r="G61" s="18"/>
      <c r="H61" s="204"/>
      <c r="I61" s="18"/>
      <c r="J61" s="20"/>
      <c r="K61" s="21"/>
      <c r="L61" s="18" t="s">
        <v>196</v>
      </c>
      <c r="M61" s="119" t="s">
        <v>197</v>
      </c>
      <c r="N61" s="20" t="s">
        <v>198</v>
      </c>
      <c r="O61" s="18" t="s">
        <v>199</v>
      </c>
      <c r="P61" s="119" t="s">
        <v>200</v>
      </c>
      <c r="Q61" s="20" t="s">
        <v>201</v>
      </c>
      <c r="R61" s="21" t="s">
        <v>202</v>
      </c>
      <c r="S61" s="733" t="s">
        <v>203</v>
      </c>
      <c r="T61" s="734" t="s">
        <v>204</v>
      </c>
      <c r="U61" s="735" t="s">
        <v>151</v>
      </c>
      <c r="V61" s="734" t="s">
        <v>151</v>
      </c>
      <c r="W61" s="736" t="str">
        <f t="shared" ref="W61" si="26">CONCATENATE(TEXT(ROUND(W57-1.96*SQRT(W58),0),"#,###"),"-",TEXT(ROUND(W57+1.96*SQRT(W58),0),"#,###"))</f>
        <v>910-1,502</v>
      </c>
    </row>
    <row r="62" spans="1:23">
      <c r="A62" s="1037" t="s">
        <v>205</v>
      </c>
      <c r="B62" s="1038"/>
      <c r="C62" s="1038"/>
      <c r="D62" s="1039"/>
      <c r="E62" s="192">
        <f t="shared" ref="E62:W62" si="27">SUM(E12,E34,E57)</f>
        <v>5332</v>
      </c>
      <c r="F62" s="193">
        <f t="shared" si="27"/>
        <v>13372</v>
      </c>
      <c r="G62" s="192">
        <f t="shared" si="27"/>
        <v>2078</v>
      </c>
      <c r="H62" s="193">
        <f t="shared" si="27"/>
        <v>10</v>
      </c>
      <c r="I62" s="192">
        <f t="shared" si="27"/>
        <v>2400</v>
      </c>
      <c r="J62" s="194">
        <f t="shared" si="27"/>
        <v>2677</v>
      </c>
      <c r="K62" s="179">
        <f t="shared" si="27"/>
        <v>7167</v>
      </c>
      <c r="L62" s="192">
        <f t="shared" si="27"/>
        <v>812</v>
      </c>
      <c r="M62" s="205">
        <f t="shared" si="27"/>
        <v>1030</v>
      </c>
      <c r="N62" s="193">
        <f t="shared" si="27"/>
        <v>21</v>
      </c>
      <c r="O62" s="192">
        <f t="shared" si="27"/>
        <v>95</v>
      </c>
      <c r="P62" s="205">
        <f t="shared" si="27"/>
        <v>910</v>
      </c>
      <c r="Q62" s="194">
        <f t="shared" si="27"/>
        <v>357</v>
      </c>
      <c r="R62" s="179">
        <f t="shared" si="27"/>
        <v>3227</v>
      </c>
      <c r="S62" s="205">
        <f t="shared" si="27"/>
        <v>5310</v>
      </c>
      <c r="T62" s="194">
        <f t="shared" si="27"/>
        <v>2535</v>
      </c>
      <c r="U62" s="205">
        <f t="shared" si="27"/>
        <v>9</v>
      </c>
      <c r="V62" s="194">
        <f t="shared" si="27"/>
        <v>0</v>
      </c>
      <c r="W62" s="179">
        <f t="shared" si="27"/>
        <v>7854</v>
      </c>
    </row>
    <row r="63" spans="1:23">
      <c r="A63" s="1028" t="s">
        <v>72</v>
      </c>
      <c r="B63" s="1029"/>
      <c r="C63" s="1029"/>
      <c r="D63" s="1030"/>
      <c r="E63" s="195">
        <f t="shared" ref="E63:W63" si="28">SUM(E13,E35,E58)</f>
        <v>91436</v>
      </c>
      <c r="F63" s="196">
        <f t="shared" si="28"/>
        <v>634523</v>
      </c>
      <c r="G63" s="195">
        <f t="shared" si="28"/>
        <v>25960</v>
      </c>
      <c r="H63" s="196">
        <f t="shared" si="28"/>
        <v>2</v>
      </c>
      <c r="I63" s="195">
        <f t="shared" si="28"/>
        <v>1831110</v>
      </c>
      <c r="J63" s="197">
        <f t="shared" si="28"/>
        <v>1012453</v>
      </c>
      <c r="K63" s="17">
        <f t="shared" si="28"/>
        <v>4774469</v>
      </c>
      <c r="L63" s="195">
        <f t="shared" si="28"/>
        <v>6189</v>
      </c>
      <c r="M63" s="211">
        <f t="shared" si="28"/>
        <v>16969</v>
      </c>
      <c r="N63" s="196">
        <f t="shared" si="28"/>
        <v>24</v>
      </c>
      <c r="O63" s="195">
        <f t="shared" si="28"/>
        <v>178</v>
      </c>
      <c r="P63" s="211">
        <f t="shared" si="28"/>
        <v>21498</v>
      </c>
      <c r="Q63" s="197">
        <f t="shared" si="28"/>
        <v>3770</v>
      </c>
      <c r="R63" s="17">
        <f t="shared" si="28"/>
        <v>48629</v>
      </c>
      <c r="S63" s="730">
        <f t="shared" si="28"/>
        <v>414170</v>
      </c>
      <c r="T63" s="731">
        <f t="shared" si="28"/>
        <v>151354</v>
      </c>
      <c r="U63" s="732">
        <f t="shared" si="28"/>
        <v>1</v>
      </c>
      <c r="V63" s="731">
        <f t="shared" si="28"/>
        <v>0</v>
      </c>
      <c r="W63" s="742">
        <f t="shared" si="28"/>
        <v>22870</v>
      </c>
    </row>
    <row r="64" spans="1:23">
      <c r="A64" s="1031" t="s">
        <v>73</v>
      </c>
      <c r="B64" s="1032"/>
      <c r="C64" s="1032"/>
      <c r="D64" s="1033"/>
      <c r="E64" s="206">
        <f>SQRT(E63)</f>
        <v>302.38386200324913</v>
      </c>
      <c r="F64" s="207">
        <f>SQRT(F63)</f>
        <v>796.56951987883645</v>
      </c>
      <c r="G64" s="206">
        <f t="shared" ref="G64:K64" si="29">SQRT(G63)</f>
        <v>161.12107248898263</v>
      </c>
      <c r="H64" s="207">
        <f t="shared" si="29"/>
        <v>1.4142135623730951</v>
      </c>
      <c r="I64" s="190">
        <f t="shared" si="29"/>
        <v>1353.1851314583678</v>
      </c>
      <c r="J64" s="191">
        <f t="shared" si="29"/>
        <v>1006.2072351161066</v>
      </c>
      <c r="K64" s="10">
        <f t="shared" si="29"/>
        <v>2185.0558345268892</v>
      </c>
      <c r="L64" s="206">
        <f t="shared" ref="L64:W64" si="30">SQRT(L63)</f>
        <v>78.670197660867743</v>
      </c>
      <c r="M64" s="208">
        <f t="shared" si="30"/>
        <v>130.26511428621248</v>
      </c>
      <c r="N64" s="207">
        <f t="shared" si="30"/>
        <v>4.8989794855663558</v>
      </c>
      <c r="O64" s="206">
        <f t="shared" si="30"/>
        <v>13.341664064126334</v>
      </c>
      <c r="P64" s="208">
        <f t="shared" si="30"/>
        <v>146.6219628841464</v>
      </c>
      <c r="Q64" s="209">
        <f t="shared" si="30"/>
        <v>61.400325732035007</v>
      </c>
      <c r="R64" s="127">
        <f t="shared" si="30"/>
        <v>220.51984037723227</v>
      </c>
      <c r="S64" s="730">
        <f t="shared" si="30"/>
        <v>643.5604089749462</v>
      </c>
      <c r="T64" s="731">
        <f t="shared" si="30"/>
        <v>389.04241414015519</v>
      </c>
      <c r="U64" s="732">
        <f t="shared" si="30"/>
        <v>1</v>
      </c>
      <c r="V64" s="731">
        <f t="shared" si="30"/>
        <v>0</v>
      </c>
      <c r="W64" s="742">
        <f t="shared" si="30"/>
        <v>151.22830422906949</v>
      </c>
    </row>
    <row r="65" spans="1:23">
      <c r="A65" s="1031" t="s">
        <v>74</v>
      </c>
      <c r="B65" s="1032"/>
      <c r="C65" s="1032"/>
      <c r="D65" s="1033"/>
      <c r="E65" s="200">
        <f>E64/E62</f>
        <v>5.671115191358761E-2</v>
      </c>
      <c r="F65" s="201">
        <f>F64/F62</f>
        <v>5.9569961103711967E-2</v>
      </c>
      <c r="G65" s="200">
        <f t="shared" ref="G65:K65" si="31">G64/G62</f>
        <v>7.7536608512503671E-2</v>
      </c>
      <c r="H65" s="201">
        <f t="shared" si="31"/>
        <v>0.1414213562373095</v>
      </c>
      <c r="I65" s="200">
        <f t="shared" si="31"/>
        <v>0.56382713810765328</v>
      </c>
      <c r="J65" s="202">
        <f t="shared" si="31"/>
        <v>0.37587121222118292</v>
      </c>
      <c r="K65" s="110">
        <f t="shared" si="31"/>
        <v>0.30487733145345181</v>
      </c>
      <c r="L65" s="200">
        <f t="shared" ref="L65:W65" si="32">L64/L62</f>
        <v>9.6884479877915944E-2</v>
      </c>
      <c r="M65" s="210">
        <f t="shared" si="32"/>
        <v>0.12647098474389562</v>
      </c>
      <c r="N65" s="201">
        <f t="shared" si="32"/>
        <v>0.23328473740792172</v>
      </c>
      <c r="O65" s="200">
        <f t="shared" si="32"/>
        <v>0.14043856909606667</v>
      </c>
      <c r="P65" s="210">
        <f t="shared" si="32"/>
        <v>0.16112303613642462</v>
      </c>
      <c r="Q65" s="202">
        <f t="shared" si="32"/>
        <v>0.17198970793287116</v>
      </c>
      <c r="R65" s="110">
        <f t="shared" si="32"/>
        <v>6.8335866246430829E-2</v>
      </c>
      <c r="S65" s="9">
        <f t="shared" si="32"/>
        <v>0.12119781713275823</v>
      </c>
      <c r="T65" s="738">
        <f t="shared" si="32"/>
        <v>0.15346840794483441</v>
      </c>
      <c r="U65" s="14">
        <f t="shared" si="32"/>
        <v>0.1111111111111111</v>
      </c>
      <c r="V65" s="738" t="e">
        <f t="shared" si="32"/>
        <v>#DIV/0!</v>
      </c>
      <c r="W65" s="10">
        <f t="shared" si="32"/>
        <v>1.9254940696341927E-2</v>
      </c>
    </row>
    <row r="66" spans="1:23" ht="13.5" thickBot="1">
      <c r="A66" s="1034" t="s">
        <v>75</v>
      </c>
      <c r="B66" s="1035"/>
      <c r="C66" s="1035"/>
      <c r="D66" s="1036"/>
      <c r="E66" s="18" t="str">
        <f>CONCATENATE(TEXT(ROUND(E62-1.96*SQRT(E63),0),"#,###"),"-",TEXT(ROUND(E62+1.96*SQRT(E63),0),"#,###"))</f>
        <v>4,739-5,925</v>
      </c>
      <c r="F66" s="19" t="str">
        <f>CONCATENATE(TEXT(ROUND(F62-1.96*SQRT(F63),0),"#,###"),"-",TEXT(ROUND(F62+1.96*SQRT(F63),0),"#,###"))</f>
        <v>11,811-14,933</v>
      </c>
      <c r="G66" s="18" t="str">
        <f t="shared" ref="G66:K66" si="33">CONCATENATE(TEXT(ROUND(G62-1.96*SQRT(G63),0),"#,###"),"-",TEXT(ROUND(G62+1.96*SQRT(G63),0),"#,###"))</f>
        <v>1,762-2,394</v>
      </c>
      <c r="H66" s="20" t="str">
        <f t="shared" si="33"/>
        <v>7-13</v>
      </c>
      <c r="I66" s="18" t="str">
        <f t="shared" si="33"/>
        <v>-252-5,052</v>
      </c>
      <c r="J66" s="20" t="str">
        <f t="shared" si="33"/>
        <v>705-4,649</v>
      </c>
      <c r="K66" s="21" t="str">
        <f t="shared" si="33"/>
        <v>2,884-11,450</v>
      </c>
      <c r="L66" s="18" t="str">
        <f t="shared" ref="L66:W66" si="34">CONCATENATE(TEXT(ROUND(L62-1.96*SQRT(L63),0),"#,###"),"-",TEXT(ROUND(L62+1.96*SQRT(L63),0),"#,###"))</f>
        <v>658-966</v>
      </c>
      <c r="M66" s="119" t="str">
        <f t="shared" si="34"/>
        <v>775-1,285</v>
      </c>
      <c r="N66" s="20" t="str">
        <f t="shared" si="34"/>
        <v>11-31</v>
      </c>
      <c r="O66" s="203" t="str">
        <f t="shared" si="34"/>
        <v>69-121</v>
      </c>
      <c r="P66" s="119" t="str">
        <f t="shared" si="34"/>
        <v>623-1,197</v>
      </c>
      <c r="Q66" s="20" t="str">
        <f t="shared" si="34"/>
        <v>237-477</v>
      </c>
      <c r="R66" s="21" t="str">
        <f t="shared" si="34"/>
        <v>2,795-3,659</v>
      </c>
      <c r="S66" s="739" t="str">
        <f t="shared" si="34"/>
        <v>4,049-6,571</v>
      </c>
      <c r="T66" s="740" t="str">
        <f t="shared" si="34"/>
        <v>1,772-3,298</v>
      </c>
      <c r="U66" s="741" t="str">
        <f t="shared" si="34"/>
        <v>7-11</v>
      </c>
      <c r="V66" s="740" t="str">
        <f t="shared" si="34"/>
        <v>-</v>
      </c>
      <c r="W66" s="806" t="str">
        <f t="shared" si="34"/>
        <v>7,558-8,150</v>
      </c>
    </row>
    <row r="67" spans="1:23" ht="14.25">
      <c r="S67" s="557"/>
      <c r="T67" s="557"/>
      <c r="U67" s="557"/>
      <c r="V67" s="557"/>
      <c r="W67" s="558"/>
    </row>
    <row r="68" spans="1:23" ht="15">
      <c r="J68" t="s">
        <v>206</v>
      </c>
      <c r="S68" s="559"/>
      <c r="T68" s="559"/>
      <c r="U68" s="559"/>
      <c r="V68" s="559"/>
      <c r="W68" s="559"/>
    </row>
    <row r="69" spans="1:23" ht="14.25">
      <c r="F69" s="185"/>
      <c r="J69" t="s">
        <v>42</v>
      </c>
      <c r="K69" s="185">
        <f>K12</f>
        <v>7167</v>
      </c>
      <c r="L69">
        <f>G12/'Area7 test fishing'!$C$9/0.87</f>
        <v>7165.5172413793107</v>
      </c>
      <c r="S69" s="560"/>
      <c r="T69" s="560"/>
      <c r="U69" s="560"/>
      <c r="V69" s="560"/>
      <c r="W69" s="560"/>
    </row>
    <row r="70" spans="1:23" ht="14.25">
      <c r="J70" t="s">
        <v>43</v>
      </c>
      <c r="K70" s="185">
        <f>K34</f>
        <v>0</v>
      </c>
      <c r="L70">
        <f>G34/'Area7 test fishing'!$C$9/0.87</f>
        <v>0</v>
      </c>
      <c r="S70" s="560"/>
      <c r="T70" s="560"/>
      <c r="U70" s="560"/>
      <c r="V70" s="560"/>
      <c r="W70" s="560"/>
    </row>
    <row r="71" spans="1:23" ht="14.25">
      <c r="J71" t="s">
        <v>44</v>
      </c>
      <c r="K71" s="185">
        <f>K57</f>
        <v>0</v>
      </c>
      <c r="L71">
        <f>G57/'Area7 test fishing'!$C$9/0.87</f>
        <v>0</v>
      </c>
      <c r="S71" s="561"/>
      <c r="T71" s="561"/>
      <c r="U71" s="561"/>
      <c r="V71" s="561"/>
      <c r="W71" s="561"/>
    </row>
    <row r="72" spans="1:23" ht="14.25">
      <c r="S72" s="562"/>
      <c r="T72" s="563"/>
      <c r="U72" s="563"/>
      <c r="V72" s="563"/>
      <c r="W72" s="562"/>
    </row>
  </sheetData>
  <mergeCells count="55">
    <mergeCell ref="A58:D58"/>
    <mergeCell ref="A59:D59"/>
    <mergeCell ref="A60:D60"/>
    <mergeCell ref="A61:D61"/>
    <mergeCell ref="B21:B24"/>
    <mergeCell ref="B54:B56"/>
    <mergeCell ref="B6:B8"/>
    <mergeCell ref="A16:D16"/>
    <mergeCell ref="A12:D12"/>
    <mergeCell ref="A13:D13"/>
    <mergeCell ref="A14:D14"/>
    <mergeCell ref="A15:D15"/>
    <mergeCell ref="A6:A11"/>
    <mergeCell ref="B10:B11"/>
    <mergeCell ref="S3:W3"/>
    <mergeCell ref="S4:S5"/>
    <mergeCell ref="T4:T5"/>
    <mergeCell ref="U4:U5"/>
    <mergeCell ref="V4:V5"/>
    <mergeCell ref="W4:W5"/>
    <mergeCell ref="B17:B20"/>
    <mergeCell ref="B25:B28"/>
    <mergeCell ref="B29:B32"/>
    <mergeCell ref="A57:D57"/>
    <mergeCell ref="A35:D35"/>
    <mergeCell ref="A36:D36"/>
    <mergeCell ref="A37:D37"/>
    <mergeCell ref="A34:D34"/>
    <mergeCell ref="B42:B45"/>
    <mergeCell ref="B46:B49"/>
    <mergeCell ref="B50:B53"/>
    <mergeCell ref="A38:D38"/>
    <mergeCell ref="B39:B41"/>
    <mergeCell ref="A39:A56"/>
    <mergeCell ref="A17:A33"/>
    <mergeCell ref="A63:D63"/>
    <mergeCell ref="A64:D64"/>
    <mergeCell ref="A65:D65"/>
    <mergeCell ref="A66:D66"/>
    <mergeCell ref="A62:D62"/>
    <mergeCell ref="A1:R1"/>
    <mergeCell ref="A2:R2"/>
    <mergeCell ref="I4:J4"/>
    <mergeCell ref="K4:K5"/>
    <mergeCell ref="E3:K3"/>
    <mergeCell ref="R4:R5"/>
    <mergeCell ref="L3:Q3"/>
    <mergeCell ref="O4:Q4"/>
    <mergeCell ref="A4:A5"/>
    <mergeCell ref="B4:B5"/>
    <mergeCell ref="C4:C5"/>
    <mergeCell ref="D4:D5"/>
    <mergeCell ref="E4:F4"/>
    <mergeCell ref="G4:H4"/>
    <mergeCell ref="L4:N4"/>
  </mergeCells>
  <pageMargins left="0.7" right="0.7" top="0.75" bottom="0.75" header="0.3" footer="0.3"/>
  <pageSetup scale="6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25"/>
  <sheetViews>
    <sheetView workbookViewId="0">
      <selection sqref="A1:I2"/>
    </sheetView>
  </sheetViews>
  <sheetFormatPr defaultRowHeight="12.75"/>
  <cols>
    <col min="1" max="1" width="10" style="50" customWidth="1"/>
    <col min="2" max="2" width="16.5" style="50" customWidth="1"/>
    <col min="3" max="3" width="11.33203125" style="50" customWidth="1"/>
    <col min="4" max="8" width="10" style="50" customWidth="1"/>
    <col min="9" max="9" width="12.1640625" style="50" customWidth="1"/>
    <col min="10" max="10" width="8.83203125" style="50"/>
    <col min="11" max="11" width="18.1640625" style="50" customWidth="1"/>
    <col min="12" max="12" width="13.1640625" style="50" customWidth="1"/>
    <col min="13" max="13" width="12.6640625" style="50" customWidth="1"/>
    <col min="14" max="17" width="10" style="50" customWidth="1"/>
    <col min="18" max="19" width="10.83203125" style="50" customWidth="1"/>
    <col min="20" max="241" width="8.83203125" style="50"/>
    <col min="242" max="242" width="9.83203125" style="50" customWidth="1"/>
    <col min="243" max="243" width="8.33203125" style="50" customWidth="1"/>
    <col min="244" max="244" width="9" style="50" customWidth="1"/>
    <col min="245" max="245" width="7.33203125" style="50" customWidth="1"/>
    <col min="246" max="246" width="8.1640625" style="50" customWidth="1"/>
    <col min="247" max="247" width="8.83203125" style="50" customWidth="1"/>
    <col min="248" max="248" width="7.33203125" style="50" customWidth="1"/>
    <col min="249" max="249" width="2.33203125" style="50" customWidth="1"/>
    <col min="250" max="250" width="9.5" style="50" customWidth="1"/>
    <col min="251" max="251" width="8.83203125" style="50" customWidth="1"/>
    <col min="252" max="252" width="8.5" style="50" customWidth="1"/>
    <col min="253" max="253" width="11" style="50" customWidth="1"/>
    <col min="254" max="254" width="8.83203125" style="50"/>
    <col min="255" max="255" width="9.33203125" style="50" customWidth="1"/>
    <col min="256" max="256" width="10.5" style="50" customWidth="1"/>
    <col min="257" max="257" width="8.83203125" style="50" customWidth="1"/>
    <col min="258" max="497" width="8.83203125" style="50"/>
    <col min="498" max="498" width="9.83203125" style="50" customWidth="1"/>
    <col min="499" max="499" width="8.33203125" style="50" customWidth="1"/>
    <col min="500" max="500" width="9" style="50" customWidth="1"/>
    <col min="501" max="501" width="7.33203125" style="50" customWidth="1"/>
    <col min="502" max="502" width="8.1640625" style="50" customWidth="1"/>
    <col min="503" max="503" width="8.83203125" style="50" customWidth="1"/>
    <col min="504" max="504" width="7.33203125" style="50" customWidth="1"/>
    <col min="505" max="505" width="2.33203125" style="50" customWidth="1"/>
    <col min="506" max="506" width="9.5" style="50" customWidth="1"/>
    <col min="507" max="507" width="8.83203125" style="50" customWidth="1"/>
    <col min="508" max="508" width="8.5" style="50" customWidth="1"/>
    <col min="509" max="509" width="11" style="50" customWidth="1"/>
    <col min="510" max="510" width="8.83203125" style="50"/>
    <col min="511" max="511" width="9.33203125" style="50" customWidth="1"/>
    <col min="512" max="512" width="10.5" style="50" customWidth="1"/>
    <col min="513" max="513" width="8.83203125" style="50" customWidth="1"/>
    <col min="514" max="753" width="8.83203125" style="50"/>
    <col min="754" max="754" width="9.83203125" style="50" customWidth="1"/>
    <col min="755" max="755" width="8.33203125" style="50" customWidth="1"/>
    <col min="756" max="756" width="9" style="50" customWidth="1"/>
    <col min="757" max="757" width="7.33203125" style="50" customWidth="1"/>
    <col min="758" max="758" width="8.1640625" style="50" customWidth="1"/>
    <col min="759" max="759" width="8.83203125" style="50" customWidth="1"/>
    <col min="760" max="760" width="7.33203125" style="50" customWidth="1"/>
    <col min="761" max="761" width="2.33203125" style="50" customWidth="1"/>
    <col min="762" max="762" width="9.5" style="50" customWidth="1"/>
    <col min="763" max="763" width="8.83203125" style="50" customWidth="1"/>
    <col min="764" max="764" width="8.5" style="50" customWidth="1"/>
    <col min="765" max="765" width="11" style="50" customWidth="1"/>
    <col min="766" max="766" width="8.83203125" style="50"/>
    <col min="767" max="767" width="9.33203125" style="50" customWidth="1"/>
    <col min="768" max="768" width="10.5" style="50" customWidth="1"/>
    <col min="769" max="769" width="8.83203125" style="50" customWidth="1"/>
    <col min="770" max="1009" width="8.83203125" style="50"/>
    <col min="1010" max="1010" width="9.83203125" style="50" customWidth="1"/>
    <col min="1011" max="1011" width="8.33203125" style="50" customWidth="1"/>
    <col min="1012" max="1012" width="9" style="50" customWidth="1"/>
    <col min="1013" max="1013" width="7.33203125" style="50" customWidth="1"/>
    <col min="1014" max="1014" width="8.1640625" style="50" customWidth="1"/>
    <col min="1015" max="1015" width="8.83203125" style="50" customWidth="1"/>
    <col min="1016" max="1016" width="7.33203125" style="50" customWidth="1"/>
    <col min="1017" max="1017" width="2.33203125" style="50" customWidth="1"/>
    <col min="1018" max="1018" width="9.5" style="50" customWidth="1"/>
    <col min="1019" max="1019" width="8.83203125" style="50" customWidth="1"/>
    <col min="1020" max="1020" width="8.5" style="50" customWidth="1"/>
    <col min="1021" max="1021" width="11" style="50" customWidth="1"/>
    <col min="1022" max="1022" width="8.83203125" style="50"/>
    <col min="1023" max="1023" width="9.33203125" style="50" customWidth="1"/>
    <col min="1024" max="1024" width="10.5" style="50" customWidth="1"/>
    <col min="1025" max="1025" width="8.83203125" style="50" customWidth="1"/>
    <col min="1026" max="1265" width="8.83203125" style="50"/>
    <col min="1266" max="1266" width="9.83203125" style="50" customWidth="1"/>
    <col min="1267" max="1267" width="8.33203125" style="50" customWidth="1"/>
    <col min="1268" max="1268" width="9" style="50" customWidth="1"/>
    <col min="1269" max="1269" width="7.33203125" style="50" customWidth="1"/>
    <col min="1270" max="1270" width="8.1640625" style="50" customWidth="1"/>
    <col min="1271" max="1271" width="8.83203125" style="50" customWidth="1"/>
    <col min="1272" max="1272" width="7.33203125" style="50" customWidth="1"/>
    <col min="1273" max="1273" width="2.33203125" style="50" customWidth="1"/>
    <col min="1274" max="1274" width="9.5" style="50" customWidth="1"/>
    <col min="1275" max="1275" width="8.83203125" style="50" customWidth="1"/>
    <col min="1276" max="1276" width="8.5" style="50" customWidth="1"/>
    <col min="1277" max="1277" width="11" style="50" customWidth="1"/>
    <col min="1278" max="1278" width="8.83203125" style="50"/>
    <col min="1279" max="1279" width="9.33203125" style="50" customWidth="1"/>
    <col min="1280" max="1280" width="10.5" style="50" customWidth="1"/>
    <col min="1281" max="1281" width="8.83203125" style="50" customWidth="1"/>
    <col min="1282" max="1521" width="8.83203125" style="50"/>
    <col min="1522" max="1522" width="9.83203125" style="50" customWidth="1"/>
    <col min="1523" max="1523" width="8.33203125" style="50" customWidth="1"/>
    <col min="1524" max="1524" width="9" style="50" customWidth="1"/>
    <col min="1525" max="1525" width="7.33203125" style="50" customWidth="1"/>
    <col min="1526" max="1526" width="8.1640625" style="50" customWidth="1"/>
    <col min="1527" max="1527" width="8.83203125" style="50" customWidth="1"/>
    <col min="1528" max="1528" width="7.33203125" style="50" customWidth="1"/>
    <col min="1529" max="1529" width="2.33203125" style="50" customWidth="1"/>
    <col min="1530" max="1530" width="9.5" style="50" customWidth="1"/>
    <col min="1531" max="1531" width="8.83203125" style="50" customWidth="1"/>
    <col min="1532" max="1532" width="8.5" style="50" customWidth="1"/>
    <col min="1533" max="1533" width="11" style="50" customWidth="1"/>
    <col min="1534" max="1534" width="8.83203125" style="50"/>
    <col min="1535" max="1535" width="9.33203125" style="50" customWidth="1"/>
    <col min="1536" max="1536" width="10.5" style="50" customWidth="1"/>
    <col min="1537" max="1537" width="8.83203125" style="50" customWidth="1"/>
    <col min="1538" max="1777" width="8.83203125" style="50"/>
    <col min="1778" max="1778" width="9.83203125" style="50" customWidth="1"/>
    <col min="1779" max="1779" width="8.33203125" style="50" customWidth="1"/>
    <col min="1780" max="1780" width="9" style="50" customWidth="1"/>
    <col min="1781" max="1781" width="7.33203125" style="50" customWidth="1"/>
    <col min="1782" max="1782" width="8.1640625" style="50" customWidth="1"/>
    <col min="1783" max="1783" width="8.83203125" style="50" customWidth="1"/>
    <col min="1784" max="1784" width="7.33203125" style="50" customWidth="1"/>
    <col min="1785" max="1785" width="2.33203125" style="50" customWidth="1"/>
    <col min="1786" max="1786" width="9.5" style="50" customWidth="1"/>
    <col min="1787" max="1787" width="8.83203125" style="50" customWidth="1"/>
    <col min="1788" max="1788" width="8.5" style="50" customWidth="1"/>
    <col min="1789" max="1789" width="11" style="50" customWidth="1"/>
    <col min="1790" max="1790" width="8.83203125" style="50"/>
    <col min="1791" max="1791" width="9.33203125" style="50" customWidth="1"/>
    <col min="1792" max="1792" width="10.5" style="50" customWidth="1"/>
    <col min="1793" max="1793" width="8.83203125" style="50" customWidth="1"/>
    <col min="1794" max="2033" width="8.83203125" style="50"/>
    <col min="2034" max="2034" width="9.83203125" style="50" customWidth="1"/>
    <col min="2035" max="2035" width="8.33203125" style="50" customWidth="1"/>
    <col min="2036" max="2036" width="9" style="50" customWidth="1"/>
    <col min="2037" max="2037" width="7.33203125" style="50" customWidth="1"/>
    <col min="2038" max="2038" width="8.1640625" style="50" customWidth="1"/>
    <col min="2039" max="2039" width="8.83203125" style="50" customWidth="1"/>
    <col min="2040" max="2040" width="7.33203125" style="50" customWidth="1"/>
    <col min="2041" max="2041" width="2.33203125" style="50" customWidth="1"/>
    <col min="2042" max="2042" width="9.5" style="50" customWidth="1"/>
    <col min="2043" max="2043" width="8.83203125" style="50" customWidth="1"/>
    <col min="2044" max="2044" width="8.5" style="50" customWidth="1"/>
    <col min="2045" max="2045" width="11" style="50" customWidth="1"/>
    <col min="2046" max="2046" width="8.83203125" style="50"/>
    <col min="2047" max="2047" width="9.33203125" style="50" customWidth="1"/>
    <col min="2048" max="2048" width="10.5" style="50" customWidth="1"/>
    <col min="2049" max="2049" width="8.83203125" style="50" customWidth="1"/>
    <col min="2050" max="2289" width="8.83203125" style="50"/>
    <col min="2290" max="2290" width="9.83203125" style="50" customWidth="1"/>
    <col min="2291" max="2291" width="8.33203125" style="50" customWidth="1"/>
    <col min="2292" max="2292" width="9" style="50" customWidth="1"/>
    <col min="2293" max="2293" width="7.33203125" style="50" customWidth="1"/>
    <col min="2294" max="2294" width="8.1640625" style="50" customWidth="1"/>
    <col min="2295" max="2295" width="8.83203125" style="50" customWidth="1"/>
    <col min="2296" max="2296" width="7.33203125" style="50" customWidth="1"/>
    <col min="2297" max="2297" width="2.33203125" style="50" customWidth="1"/>
    <col min="2298" max="2298" width="9.5" style="50" customWidth="1"/>
    <col min="2299" max="2299" width="8.83203125" style="50" customWidth="1"/>
    <col min="2300" max="2300" width="8.5" style="50" customWidth="1"/>
    <col min="2301" max="2301" width="11" style="50" customWidth="1"/>
    <col min="2302" max="2302" width="8.83203125" style="50"/>
    <col min="2303" max="2303" width="9.33203125" style="50" customWidth="1"/>
    <col min="2304" max="2304" width="10.5" style="50" customWidth="1"/>
    <col min="2305" max="2305" width="8.83203125" style="50" customWidth="1"/>
    <col min="2306" max="2545" width="8.83203125" style="50"/>
    <col min="2546" max="2546" width="9.83203125" style="50" customWidth="1"/>
    <col min="2547" max="2547" width="8.33203125" style="50" customWidth="1"/>
    <col min="2548" max="2548" width="9" style="50" customWidth="1"/>
    <col min="2549" max="2549" width="7.33203125" style="50" customWidth="1"/>
    <col min="2550" max="2550" width="8.1640625" style="50" customWidth="1"/>
    <col min="2551" max="2551" width="8.83203125" style="50" customWidth="1"/>
    <col min="2552" max="2552" width="7.33203125" style="50" customWidth="1"/>
    <col min="2553" max="2553" width="2.33203125" style="50" customWidth="1"/>
    <col min="2554" max="2554" width="9.5" style="50" customWidth="1"/>
    <col min="2555" max="2555" width="8.83203125" style="50" customWidth="1"/>
    <col min="2556" max="2556" width="8.5" style="50" customWidth="1"/>
    <col min="2557" max="2557" width="11" style="50" customWidth="1"/>
    <col min="2558" max="2558" width="8.83203125" style="50"/>
    <col min="2559" max="2559" width="9.33203125" style="50" customWidth="1"/>
    <col min="2560" max="2560" width="10.5" style="50" customWidth="1"/>
    <col min="2561" max="2561" width="8.83203125" style="50" customWidth="1"/>
    <col min="2562" max="2801" width="8.83203125" style="50"/>
    <col min="2802" max="2802" width="9.83203125" style="50" customWidth="1"/>
    <col min="2803" max="2803" width="8.33203125" style="50" customWidth="1"/>
    <col min="2804" max="2804" width="9" style="50" customWidth="1"/>
    <col min="2805" max="2805" width="7.33203125" style="50" customWidth="1"/>
    <col min="2806" max="2806" width="8.1640625" style="50" customWidth="1"/>
    <col min="2807" max="2807" width="8.83203125" style="50" customWidth="1"/>
    <col min="2808" max="2808" width="7.33203125" style="50" customWidth="1"/>
    <col min="2809" max="2809" width="2.33203125" style="50" customWidth="1"/>
    <col min="2810" max="2810" width="9.5" style="50" customWidth="1"/>
    <col min="2811" max="2811" width="8.83203125" style="50" customWidth="1"/>
    <col min="2812" max="2812" width="8.5" style="50" customWidth="1"/>
    <col min="2813" max="2813" width="11" style="50" customWidth="1"/>
    <col min="2814" max="2814" width="8.83203125" style="50"/>
    <col min="2815" max="2815" width="9.33203125" style="50" customWidth="1"/>
    <col min="2816" max="2816" width="10.5" style="50" customWidth="1"/>
    <col min="2817" max="2817" width="8.83203125" style="50" customWidth="1"/>
    <col min="2818" max="3057" width="8.83203125" style="50"/>
    <col min="3058" max="3058" width="9.83203125" style="50" customWidth="1"/>
    <col min="3059" max="3059" width="8.33203125" style="50" customWidth="1"/>
    <col min="3060" max="3060" width="9" style="50" customWidth="1"/>
    <col min="3061" max="3061" width="7.33203125" style="50" customWidth="1"/>
    <col min="3062" max="3062" width="8.1640625" style="50" customWidth="1"/>
    <col min="3063" max="3063" width="8.83203125" style="50" customWidth="1"/>
    <col min="3064" max="3064" width="7.33203125" style="50" customWidth="1"/>
    <col min="3065" max="3065" width="2.33203125" style="50" customWidth="1"/>
    <col min="3066" max="3066" width="9.5" style="50" customWidth="1"/>
    <col min="3067" max="3067" width="8.83203125" style="50" customWidth="1"/>
    <col min="3068" max="3068" width="8.5" style="50" customWidth="1"/>
    <col min="3069" max="3069" width="11" style="50" customWidth="1"/>
    <col min="3070" max="3070" width="8.83203125" style="50"/>
    <col min="3071" max="3071" width="9.33203125" style="50" customWidth="1"/>
    <col min="3072" max="3072" width="10.5" style="50" customWidth="1"/>
    <col min="3073" max="3073" width="8.83203125" style="50" customWidth="1"/>
    <col min="3074" max="3313" width="8.83203125" style="50"/>
    <col min="3314" max="3314" width="9.83203125" style="50" customWidth="1"/>
    <col min="3315" max="3315" width="8.33203125" style="50" customWidth="1"/>
    <col min="3316" max="3316" width="9" style="50" customWidth="1"/>
    <col min="3317" max="3317" width="7.33203125" style="50" customWidth="1"/>
    <col min="3318" max="3318" width="8.1640625" style="50" customWidth="1"/>
    <col min="3319" max="3319" width="8.83203125" style="50" customWidth="1"/>
    <col min="3320" max="3320" width="7.33203125" style="50" customWidth="1"/>
    <col min="3321" max="3321" width="2.33203125" style="50" customWidth="1"/>
    <col min="3322" max="3322" width="9.5" style="50" customWidth="1"/>
    <col min="3323" max="3323" width="8.83203125" style="50" customWidth="1"/>
    <col min="3324" max="3324" width="8.5" style="50" customWidth="1"/>
    <col min="3325" max="3325" width="11" style="50" customWidth="1"/>
    <col min="3326" max="3326" width="8.83203125" style="50"/>
    <col min="3327" max="3327" width="9.33203125" style="50" customWidth="1"/>
    <col min="3328" max="3328" width="10.5" style="50" customWidth="1"/>
    <col min="3329" max="3329" width="8.83203125" style="50" customWidth="1"/>
    <col min="3330" max="3569" width="8.83203125" style="50"/>
    <col min="3570" max="3570" width="9.83203125" style="50" customWidth="1"/>
    <col min="3571" max="3571" width="8.33203125" style="50" customWidth="1"/>
    <col min="3572" max="3572" width="9" style="50" customWidth="1"/>
    <col min="3573" max="3573" width="7.33203125" style="50" customWidth="1"/>
    <col min="3574" max="3574" width="8.1640625" style="50" customWidth="1"/>
    <col min="3575" max="3575" width="8.83203125" style="50" customWidth="1"/>
    <col min="3576" max="3576" width="7.33203125" style="50" customWidth="1"/>
    <col min="3577" max="3577" width="2.33203125" style="50" customWidth="1"/>
    <col min="3578" max="3578" width="9.5" style="50" customWidth="1"/>
    <col min="3579" max="3579" width="8.83203125" style="50" customWidth="1"/>
    <col min="3580" max="3580" width="8.5" style="50" customWidth="1"/>
    <col min="3581" max="3581" width="11" style="50" customWidth="1"/>
    <col min="3582" max="3582" width="8.83203125" style="50"/>
    <col min="3583" max="3583" width="9.33203125" style="50" customWidth="1"/>
    <col min="3584" max="3584" width="10.5" style="50" customWidth="1"/>
    <col min="3585" max="3585" width="8.83203125" style="50" customWidth="1"/>
    <col min="3586" max="3825" width="8.83203125" style="50"/>
    <col min="3826" max="3826" width="9.83203125" style="50" customWidth="1"/>
    <col min="3827" max="3827" width="8.33203125" style="50" customWidth="1"/>
    <col min="3828" max="3828" width="9" style="50" customWidth="1"/>
    <col min="3829" max="3829" width="7.33203125" style="50" customWidth="1"/>
    <col min="3830" max="3830" width="8.1640625" style="50" customWidth="1"/>
    <col min="3831" max="3831" width="8.83203125" style="50" customWidth="1"/>
    <col min="3832" max="3832" width="7.33203125" style="50" customWidth="1"/>
    <col min="3833" max="3833" width="2.33203125" style="50" customWidth="1"/>
    <col min="3834" max="3834" width="9.5" style="50" customWidth="1"/>
    <col min="3835" max="3835" width="8.83203125" style="50" customWidth="1"/>
    <col min="3836" max="3836" width="8.5" style="50" customWidth="1"/>
    <col min="3837" max="3837" width="11" style="50" customWidth="1"/>
    <col min="3838" max="3838" width="8.83203125" style="50"/>
    <col min="3839" max="3839" width="9.33203125" style="50" customWidth="1"/>
    <col min="3840" max="3840" width="10.5" style="50" customWidth="1"/>
    <col min="3841" max="3841" width="8.83203125" style="50" customWidth="1"/>
    <col min="3842" max="4081" width="8.83203125" style="50"/>
    <col min="4082" max="4082" width="9.83203125" style="50" customWidth="1"/>
    <col min="4083" max="4083" width="8.33203125" style="50" customWidth="1"/>
    <col min="4084" max="4084" width="9" style="50" customWidth="1"/>
    <col min="4085" max="4085" width="7.33203125" style="50" customWidth="1"/>
    <col min="4086" max="4086" width="8.1640625" style="50" customWidth="1"/>
    <col min="4087" max="4087" width="8.83203125" style="50" customWidth="1"/>
    <col min="4088" max="4088" width="7.33203125" style="50" customWidth="1"/>
    <col min="4089" max="4089" width="2.33203125" style="50" customWidth="1"/>
    <col min="4090" max="4090" width="9.5" style="50" customWidth="1"/>
    <col min="4091" max="4091" width="8.83203125" style="50" customWidth="1"/>
    <col min="4092" max="4092" width="8.5" style="50" customWidth="1"/>
    <col min="4093" max="4093" width="11" style="50" customWidth="1"/>
    <col min="4094" max="4094" width="8.83203125" style="50"/>
    <col min="4095" max="4095" width="9.33203125" style="50" customWidth="1"/>
    <col min="4096" max="4096" width="10.5" style="50" customWidth="1"/>
    <col min="4097" max="4097" width="8.83203125" style="50" customWidth="1"/>
    <col min="4098" max="4337" width="8.83203125" style="50"/>
    <col min="4338" max="4338" width="9.83203125" style="50" customWidth="1"/>
    <col min="4339" max="4339" width="8.33203125" style="50" customWidth="1"/>
    <col min="4340" max="4340" width="9" style="50" customWidth="1"/>
    <col min="4341" max="4341" width="7.33203125" style="50" customWidth="1"/>
    <col min="4342" max="4342" width="8.1640625" style="50" customWidth="1"/>
    <col min="4343" max="4343" width="8.83203125" style="50" customWidth="1"/>
    <col min="4344" max="4344" width="7.33203125" style="50" customWidth="1"/>
    <col min="4345" max="4345" width="2.33203125" style="50" customWidth="1"/>
    <col min="4346" max="4346" width="9.5" style="50" customWidth="1"/>
    <col min="4347" max="4347" width="8.83203125" style="50" customWidth="1"/>
    <col min="4348" max="4348" width="8.5" style="50" customWidth="1"/>
    <col min="4349" max="4349" width="11" style="50" customWidth="1"/>
    <col min="4350" max="4350" width="8.83203125" style="50"/>
    <col min="4351" max="4351" width="9.33203125" style="50" customWidth="1"/>
    <col min="4352" max="4352" width="10.5" style="50" customWidth="1"/>
    <col min="4353" max="4353" width="8.83203125" style="50" customWidth="1"/>
    <col min="4354" max="4593" width="8.83203125" style="50"/>
    <col min="4594" max="4594" width="9.83203125" style="50" customWidth="1"/>
    <col min="4595" max="4595" width="8.33203125" style="50" customWidth="1"/>
    <col min="4596" max="4596" width="9" style="50" customWidth="1"/>
    <col min="4597" max="4597" width="7.33203125" style="50" customWidth="1"/>
    <col min="4598" max="4598" width="8.1640625" style="50" customWidth="1"/>
    <col min="4599" max="4599" width="8.83203125" style="50" customWidth="1"/>
    <col min="4600" max="4600" width="7.33203125" style="50" customWidth="1"/>
    <col min="4601" max="4601" width="2.33203125" style="50" customWidth="1"/>
    <col min="4602" max="4602" width="9.5" style="50" customWidth="1"/>
    <col min="4603" max="4603" width="8.83203125" style="50" customWidth="1"/>
    <col min="4604" max="4604" width="8.5" style="50" customWidth="1"/>
    <col min="4605" max="4605" width="11" style="50" customWidth="1"/>
    <col min="4606" max="4606" width="8.83203125" style="50"/>
    <col min="4607" max="4607" width="9.33203125" style="50" customWidth="1"/>
    <col min="4608" max="4608" width="10.5" style="50" customWidth="1"/>
    <col min="4609" max="4609" width="8.83203125" style="50" customWidth="1"/>
    <col min="4610" max="4849" width="8.83203125" style="50"/>
    <col min="4850" max="4850" width="9.83203125" style="50" customWidth="1"/>
    <col min="4851" max="4851" width="8.33203125" style="50" customWidth="1"/>
    <col min="4852" max="4852" width="9" style="50" customWidth="1"/>
    <col min="4853" max="4853" width="7.33203125" style="50" customWidth="1"/>
    <col min="4854" max="4854" width="8.1640625" style="50" customWidth="1"/>
    <col min="4855" max="4855" width="8.83203125" style="50" customWidth="1"/>
    <col min="4856" max="4856" width="7.33203125" style="50" customWidth="1"/>
    <col min="4857" max="4857" width="2.33203125" style="50" customWidth="1"/>
    <col min="4858" max="4858" width="9.5" style="50" customWidth="1"/>
    <col min="4859" max="4859" width="8.83203125" style="50" customWidth="1"/>
    <col min="4860" max="4860" width="8.5" style="50" customWidth="1"/>
    <col min="4861" max="4861" width="11" style="50" customWidth="1"/>
    <col min="4862" max="4862" width="8.83203125" style="50"/>
    <col min="4863" max="4863" width="9.33203125" style="50" customWidth="1"/>
    <col min="4864" max="4864" width="10.5" style="50" customWidth="1"/>
    <col min="4865" max="4865" width="8.83203125" style="50" customWidth="1"/>
    <col min="4866" max="5105" width="8.83203125" style="50"/>
    <col min="5106" max="5106" width="9.83203125" style="50" customWidth="1"/>
    <col min="5107" max="5107" width="8.33203125" style="50" customWidth="1"/>
    <col min="5108" max="5108" width="9" style="50" customWidth="1"/>
    <col min="5109" max="5109" width="7.33203125" style="50" customWidth="1"/>
    <col min="5110" max="5110" width="8.1640625" style="50" customWidth="1"/>
    <col min="5111" max="5111" width="8.83203125" style="50" customWidth="1"/>
    <col min="5112" max="5112" width="7.33203125" style="50" customWidth="1"/>
    <col min="5113" max="5113" width="2.33203125" style="50" customWidth="1"/>
    <col min="5114" max="5114" width="9.5" style="50" customWidth="1"/>
    <col min="5115" max="5115" width="8.83203125" style="50" customWidth="1"/>
    <col min="5116" max="5116" width="8.5" style="50" customWidth="1"/>
    <col min="5117" max="5117" width="11" style="50" customWidth="1"/>
    <col min="5118" max="5118" width="8.83203125" style="50"/>
    <col min="5119" max="5119" width="9.33203125" style="50" customWidth="1"/>
    <col min="5120" max="5120" width="10.5" style="50" customWidth="1"/>
    <col min="5121" max="5121" width="8.83203125" style="50" customWidth="1"/>
    <col min="5122" max="5361" width="8.83203125" style="50"/>
    <col min="5362" max="5362" width="9.83203125" style="50" customWidth="1"/>
    <col min="5363" max="5363" width="8.33203125" style="50" customWidth="1"/>
    <col min="5364" max="5364" width="9" style="50" customWidth="1"/>
    <col min="5365" max="5365" width="7.33203125" style="50" customWidth="1"/>
    <col min="5366" max="5366" width="8.1640625" style="50" customWidth="1"/>
    <col min="5367" max="5367" width="8.83203125" style="50" customWidth="1"/>
    <col min="5368" max="5368" width="7.33203125" style="50" customWidth="1"/>
    <col min="5369" max="5369" width="2.33203125" style="50" customWidth="1"/>
    <col min="5370" max="5370" width="9.5" style="50" customWidth="1"/>
    <col min="5371" max="5371" width="8.83203125" style="50" customWidth="1"/>
    <col min="5372" max="5372" width="8.5" style="50" customWidth="1"/>
    <col min="5373" max="5373" width="11" style="50" customWidth="1"/>
    <col min="5374" max="5374" width="8.83203125" style="50"/>
    <col min="5375" max="5375" width="9.33203125" style="50" customWidth="1"/>
    <col min="5376" max="5376" width="10.5" style="50" customWidth="1"/>
    <col min="5377" max="5377" width="8.83203125" style="50" customWidth="1"/>
    <col min="5378" max="5617" width="8.83203125" style="50"/>
    <col min="5618" max="5618" width="9.83203125" style="50" customWidth="1"/>
    <col min="5619" max="5619" width="8.33203125" style="50" customWidth="1"/>
    <col min="5620" max="5620" width="9" style="50" customWidth="1"/>
    <col min="5621" max="5621" width="7.33203125" style="50" customWidth="1"/>
    <col min="5622" max="5622" width="8.1640625" style="50" customWidth="1"/>
    <col min="5623" max="5623" width="8.83203125" style="50" customWidth="1"/>
    <col min="5624" max="5624" width="7.33203125" style="50" customWidth="1"/>
    <col min="5625" max="5625" width="2.33203125" style="50" customWidth="1"/>
    <col min="5626" max="5626" width="9.5" style="50" customWidth="1"/>
    <col min="5627" max="5627" width="8.83203125" style="50" customWidth="1"/>
    <col min="5628" max="5628" width="8.5" style="50" customWidth="1"/>
    <col min="5629" max="5629" width="11" style="50" customWidth="1"/>
    <col min="5630" max="5630" width="8.83203125" style="50"/>
    <col min="5631" max="5631" width="9.33203125" style="50" customWidth="1"/>
    <col min="5632" max="5632" width="10.5" style="50" customWidth="1"/>
    <col min="5633" max="5633" width="8.83203125" style="50" customWidth="1"/>
    <col min="5634" max="5873" width="8.83203125" style="50"/>
    <col min="5874" max="5874" width="9.83203125" style="50" customWidth="1"/>
    <col min="5875" max="5875" width="8.33203125" style="50" customWidth="1"/>
    <col min="5876" max="5876" width="9" style="50" customWidth="1"/>
    <col min="5877" max="5877" width="7.33203125" style="50" customWidth="1"/>
    <col min="5878" max="5878" width="8.1640625" style="50" customWidth="1"/>
    <col min="5879" max="5879" width="8.83203125" style="50" customWidth="1"/>
    <col min="5880" max="5880" width="7.33203125" style="50" customWidth="1"/>
    <col min="5881" max="5881" width="2.33203125" style="50" customWidth="1"/>
    <col min="5882" max="5882" width="9.5" style="50" customWidth="1"/>
    <col min="5883" max="5883" width="8.83203125" style="50" customWidth="1"/>
    <col min="5884" max="5884" width="8.5" style="50" customWidth="1"/>
    <col min="5885" max="5885" width="11" style="50" customWidth="1"/>
    <col min="5886" max="5886" width="8.83203125" style="50"/>
    <col min="5887" max="5887" width="9.33203125" style="50" customWidth="1"/>
    <col min="5888" max="5888" width="10.5" style="50" customWidth="1"/>
    <col min="5889" max="5889" width="8.83203125" style="50" customWidth="1"/>
    <col min="5890" max="6129" width="8.83203125" style="50"/>
    <col min="6130" max="6130" width="9.83203125" style="50" customWidth="1"/>
    <col min="6131" max="6131" width="8.33203125" style="50" customWidth="1"/>
    <col min="6132" max="6132" width="9" style="50" customWidth="1"/>
    <col min="6133" max="6133" width="7.33203125" style="50" customWidth="1"/>
    <col min="6134" max="6134" width="8.1640625" style="50" customWidth="1"/>
    <col min="6135" max="6135" width="8.83203125" style="50" customWidth="1"/>
    <col min="6136" max="6136" width="7.33203125" style="50" customWidth="1"/>
    <col min="6137" max="6137" width="2.33203125" style="50" customWidth="1"/>
    <col min="6138" max="6138" width="9.5" style="50" customWidth="1"/>
    <col min="6139" max="6139" width="8.83203125" style="50" customWidth="1"/>
    <col min="6140" max="6140" width="8.5" style="50" customWidth="1"/>
    <col min="6141" max="6141" width="11" style="50" customWidth="1"/>
    <col min="6142" max="6142" width="8.83203125" style="50"/>
    <col min="6143" max="6143" width="9.33203125" style="50" customWidth="1"/>
    <col min="6144" max="6144" width="10.5" style="50" customWidth="1"/>
    <col min="6145" max="6145" width="8.83203125" style="50" customWidth="1"/>
    <col min="6146" max="6385" width="8.83203125" style="50"/>
    <col min="6386" max="6386" width="9.83203125" style="50" customWidth="1"/>
    <col min="6387" max="6387" width="8.33203125" style="50" customWidth="1"/>
    <col min="6388" max="6388" width="9" style="50" customWidth="1"/>
    <col min="6389" max="6389" width="7.33203125" style="50" customWidth="1"/>
    <col min="6390" max="6390" width="8.1640625" style="50" customWidth="1"/>
    <col min="6391" max="6391" width="8.83203125" style="50" customWidth="1"/>
    <col min="6392" max="6392" width="7.33203125" style="50" customWidth="1"/>
    <col min="6393" max="6393" width="2.33203125" style="50" customWidth="1"/>
    <col min="6394" max="6394" width="9.5" style="50" customWidth="1"/>
    <col min="6395" max="6395" width="8.83203125" style="50" customWidth="1"/>
    <col min="6396" max="6396" width="8.5" style="50" customWidth="1"/>
    <col min="6397" max="6397" width="11" style="50" customWidth="1"/>
    <col min="6398" max="6398" width="8.83203125" style="50"/>
    <col min="6399" max="6399" width="9.33203125" style="50" customWidth="1"/>
    <col min="6400" max="6400" width="10.5" style="50" customWidth="1"/>
    <col min="6401" max="6401" width="8.83203125" style="50" customWidth="1"/>
    <col min="6402" max="6641" width="8.83203125" style="50"/>
    <col min="6642" max="6642" width="9.83203125" style="50" customWidth="1"/>
    <col min="6643" max="6643" width="8.33203125" style="50" customWidth="1"/>
    <col min="6644" max="6644" width="9" style="50" customWidth="1"/>
    <col min="6645" max="6645" width="7.33203125" style="50" customWidth="1"/>
    <col min="6646" max="6646" width="8.1640625" style="50" customWidth="1"/>
    <col min="6647" max="6647" width="8.83203125" style="50" customWidth="1"/>
    <col min="6648" max="6648" width="7.33203125" style="50" customWidth="1"/>
    <col min="6649" max="6649" width="2.33203125" style="50" customWidth="1"/>
    <col min="6650" max="6650" width="9.5" style="50" customWidth="1"/>
    <col min="6651" max="6651" width="8.83203125" style="50" customWidth="1"/>
    <col min="6652" max="6652" width="8.5" style="50" customWidth="1"/>
    <col min="6653" max="6653" width="11" style="50" customWidth="1"/>
    <col min="6654" max="6654" width="8.83203125" style="50"/>
    <col min="6655" max="6655" width="9.33203125" style="50" customWidth="1"/>
    <col min="6656" max="6656" width="10.5" style="50" customWidth="1"/>
    <col min="6657" max="6657" width="8.83203125" style="50" customWidth="1"/>
    <col min="6658" max="6897" width="8.83203125" style="50"/>
    <col min="6898" max="6898" width="9.83203125" style="50" customWidth="1"/>
    <col min="6899" max="6899" width="8.33203125" style="50" customWidth="1"/>
    <col min="6900" max="6900" width="9" style="50" customWidth="1"/>
    <col min="6901" max="6901" width="7.33203125" style="50" customWidth="1"/>
    <col min="6902" max="6902" width="8.1640625" style="50" customWidth="1"/>
    <col min="6903" max="6903" width="8.83203125" style="50" customWidth="1"/>
    <col min="6904" max="6904" width="7.33203125" style="50" customWidth="1"/>
    <col min="6905" max="6905" width="2.33203125" style="50" customWidth="1"/>
    <col min="6906" max="6906" width="9.5" style="50" customWidth="1"/>
    <col min="6907" max="6907" width="8.83203125" style="50" customWidth="1"/>
    <col min="6908" max="6908" width="8.5" style="50" customWidth="1"/>
    <col min="6909" max="6909" width="11" style="50" customWidth="1"/>
    <col min="6910" max="6910" width="8.83203125" style="50"/>
    <col min="6911" max="6911" width="9.33203125" style="50" customWidth="1"/>
    <col min="6912" max="6912" width="10.5" style="50" customWidth="1"/>
    <col min="6913" max="6913" width="8.83203125" style="50" customWidth="1"/>
    <col min="6914" max="7153" width="8.83203125" style="50"/>
    <col min="7154" max="7154" width="9.83203125" style="50" customWidth="1"/>
    <col min="7155" max="7155" width="8.33203125" style="50" customWidth="1"/>
    <col min="7156" max="7156" width="9" style="50" customWidth="1"/>
    <col min="7157" max="7157" width="7.33203125" style="50" customWidth="1"/>
    <col min="7158" max="7158" width="8.1640625" style="50" customWidth="1"/>
    <col min="7159" max="7159" width="8.83203125" style="50" customWidth="1"/>
    <col min="7160" max="7160" width="7.33203125" style="50" customWidth="1"/>
    <col min="7161" max="7161" width="2.33203125" style="50" customWidth="1"/>
    <col min="7162" max="7162" width="9.5" style="50" customWidth="1"/>
    <col min="7163" max="7163" width="8.83203125" style="50" customWidth="1"/>
    <col min="7164" max="7164" width="8.5" style="50" customWidth="1"/>
    <col min="7165" max="7165" width="11" style="50" customWidth="1"/>
    <col min="7166" max="7166" width="8.83203125" style="50"/>
    <col min="7167" max="7167" width="9.33203125" style="50" customWidth="1"/>
    <col min="7168" max="7168" width="10.5" style="50" customWidth="1"/>
    <col min="7169" max="7169" width="8.83203125" style="50" customWidth="1"/>
    <col min="7170" max="7409" width="8.83203125" style="50"/>
    <col min="7410" max="7410" width="9.83203125" style="50" customWidth="1"/>
    <col min="7411" max="7411" width="8.33203125" style="50" customWidth="1"/>
    <col min="7412" max="7412" width="9" style="50" customWidth="1"/>
    <col min="7413" max="7413" width="7.33203125" style="50" customWidth="1"/>
    <col min="7414" max="7414" width="8.1640625" style="50" customWidth="1"/>
    <col min="7415" max="7415" width="8.83203125" style="50" customWidth="1"/>
    <col min="7416" max="7416" width="7.33203125" style="50" customWidth="1"/>
    <col min="7417" max="7417" width="2.33203125" style="50" customWidth="1"/>
    <col min="7418" max="7418" width="9.5" style="50" customWidth="1"/>
    <col min="7419" max="7419" width="8.83203125" style="50" customWidth="1"/>
    <col min="7420" max="7420" width="8.5" style="50" customWidth="1"/>
    <col min="7421" max="7421" width="11" style="50" customWidth="1"/>
    <col min="7422" max="7422" width="8.83203125" style="50"/>
    <col min="7423" max="7423" width="9.33203125" style="50" customWidth="1"/>
    <col min="7424" max="7424" width="10.5" style="50" customWidth="1"/>
    <col min="7425" max="7425" width="8.83203125" style="50" customWidth="1"/>
    <col min="7426" max="7665" width="8.83203125" style="50"/>
    <col min="7666" max="7666" width="9.83203125" style="50" customWidth="1"/>
    <col min="7667" max="7667" width="8.33203125" style="50" customWidth="1"/>
    <col min="7668" max="7668" width="9" style="50" customWidth="1"/>
    <col min="7669" max="7669" width="7.33203125" style="50" customWidth="1"/>
    <col min="7670" max="7670" width="8.1640625" style="50" customWidth="1"/>
    <col min="7671" max="7671" width="8.83203125" style="50" customWidth="1"/>
    <col min="7672" max="7672" width="7.33203125" style="50" customWidth="1"/>
    <col min="7673" max="7673" width="2.33203125" style="50" customWidth="1"/>
    <col min="7674" max="7674" width="9.5" style="50" customWidth="1"/>
    <col min="7675" max="7675" width="8.83203125" style="50" customWidth="1"/>
    <col min="7676" max="7676" width="8.5" style="50" customWidth="1"/>
    <col min="7677" max="7677" width="11" style="50" customWidth="1"/>
    <col min="7678" max="7678" width="8.83203125" style="50"/>
    <col min="7679" max="7679" width="9.33203125" style="50" customWidth="1"/>
    <col min="7680" max="7680" width="10.5" style="50" customWidth="1"/>
    <col min="7681" max="7681" width="8.83203125" style="50" customWidth="1"/>
    <col min="7682" max="7921" width="8.83203125" style="50"/>
    <col min="7922" max="7922" width="9.83203125" style="50" customWidth="1"/>
    <col min="7923" max="7923" width="8.33203125" style="50" customWidth="1"/>
    <col min="7924" max="7924" width="9" style="50" customWidth="1"/>
    <col min="7925" max="7925" width="7.33203125" style="50" customWidth="1"/>
    <col min="7926" max="7926" width="8.1640625" style="50" customWidth="1"/>
    <col min="7927" max="7927" width="8.83203125" style="50" customWidth="1"/>
    <col min="7928" max="7928" width="7.33203125" style="50" customWidth="1"/>
    <col min="7929" max="7929" width="2.33203125" style="50" customWidth="1"/>
    <col min="7930" max="7930" width="9.5" style="50" customWidth="1"/>
    <col min="7931" max="7931" width="8.83203125" style="50" customWidth="1"/>
    <col min="7932" max="7932" width="8.5" style="50" customWidth="1"/>
    <col min="7933" max="7933" width="11" style="50" customWidth="1"/>
    <col min="7934" max="7934" width="8.83203125" style="50"/>
    <col min="7935" max="7935" width="9.33203125" style="50" customWidth="1"/>
    <col min="7936" max="7936" width="10.5" style="50" customWidth="1"/>
    <col min="7937" max="7937" width="8.83203125" style="50" customWidth="1"/>
    <col min="7938" max="8177" width="8.83203125" style="50"/>
    <col min="8178" max="8178" width="9.83203125" style="50" customWidth="1"/>
    <col min="8179" max="8179" width="8.33203125" style="50" customWidth="1"/>
    <col min="8180" max="8180" width="9" style="50" customWidth="1"/>
    <col min="8181" max="8181" width="7.33203125" style="50" customWidth="1"/>
    <col min="8182" max="8182" width="8.1640625" style="50" customWidth="1"/>
    <col min="8183" max="8183" width="8.83203125" style="50" customWidth="1"/>
    <col min="8184" max="8184" width="7.33203125" style="50" customWidth="1"/>
    <col min="8185" max="8185" width="2.33203125" style="50" customWidth="1"/>
    <col min="8186" max="8186" width="9.5" style="50" customWidth="1"/>
    <col min="8187" max="8187" width="8.83203125" style="50" customWidth="1"/>
    <col min="8188" max="8188" width="8.5" style="50" customWidth="1"/>
    <col min="8189" max="8189" width="11" style="50" customWidth="1"/>
    <col min="8190" max="8190" width="8.83203125" style="50"/>
    <col min="8191" max="8191" width="9.33203125" style="50" customWidth="1"/>
    <col min="8192" max="8192" width="10.5" style="50" customWidth="1"/>
    <col min="8193" max="8193" width="8.83203125" style="50" customWidth="1"/>
    <col min="8194" max="8433" width="8.83203125" style="50"/>
    <col min="8434" max="8434" width="9.83203125" style="50" customWidth="1"/>
    <col min="8435" max="8435" width="8.33203125" style="50" customWidth="1"/>
    <col min="8436" max="8436" width="9" style="50" customWidth="1"/>
    <col min="8437" max="8437" width="7.33203125" style="50" customWidth="1"/>
    <col min="8438" max="8438" width="8.1640625" style="50" customWidth="1"/>
    <col min="8439" max="8439" width="8.83203125" style="50" customWidth="1"/>
    <col min="8440" max="8440" width="7.33203125" style="50" customWidth="1"/>
    <col min="8441" max="8441" width="2.33203125" style="50" customWidth="1"/>
    <col min="8442" max="8442" width="9.5" style="50" customWidth="1"/>
    <col min="8443" max="8443" width="8.83203125" style="50" customWidth="1"/>
    <col min="8444" max="8444" width="8.5" style="50" customWidth="1"/>
    <col min="8445" max="8445" width="11" style="50" customWidth="1"/>
    <col min="8446" max="8446" width="8.83203125" style="50"/>
    <col min="8447" max="8447" width="9.33203125" style="50" customWidth="1"/>
    <col min="8448" max="8448" width="10.5" style="50" customWidth="1"/>
    <col min="8449" max="8449" width="8.83203125" style="50" customWidth="1"/>
    <col min="8450" max="8689" width="8.83203125" style="50"/>
    <col min="8690" max="8690" width="9.83203125" style="50" customWidth="1"/>
    <col min="8691" max="8691" width="8.33203125" style="50" customWidth="1"/>
    <col min="8692" max="8692" width="9" style="50" customWidth="1"/>
    <col min="8693" max="8693" width="7.33203125" style="50" customWidth="1"/>
    <col min="8694" max="8694" width="8.1640625" style="50" customWidth="1"/>
    <col min="8695" max="8695" width="8.83203125" style="50" customWidth="1"/>
    <col min="8696" max="8696" width="7.33203125" style="50" customWidth="1"/>
    <col min="8697" max="8697" width="2.33203125" style="50" customWidth="1"/>
    <col min="8698" max="8698" width="9.5" style="50" customWidth="1"/>
    <col min="8699" max="8699" width="8.83203125" style="50" customWidth="1"/>
    <col min="8700" max="8700" width="8.5" style="50" customWidth="1"/>
    <col min="8701" max="8701" width="11" style="50" customWidth="1"/>
    <col min="8702" max="8702" width="8.83203125" style="50"/>
    <col min="8703" max="8703" width="9.33203125" style="50" customWidth="1"/>
    <col min="8704" max="8704" width="10.5" style="50" customWidth="1"/>
    <col min="8705" max="8705" width="8.83203125" style="50" customWidth="1"/>
    <col min="8706" max="8945" width="8.83203125" style="50"/>
    <col min="8946" max="8946" width="9.83203125" style="50" customWidth="1"/>
    <col min="8947" max="8947" width="8.33203125" style="50" customWidth="1"/>
    <col min="8948" max="8948" width="9" style="50" customWidth="1"/>
    <col min="8949" max="8949" width="7.33203125" style="50" customWidth="1"/>
    <col min="8950" max="8950" width="8.1640625" style="50" customWidth="1"/>
    <col min="8951" max="8951" width="8.83203125" style="50" customWidth="1"/>
    <col min="8952" max="8952" width="7.33203125" style="50" customWidth="1"/>
    <col min="8953" max="8953" width="2.33203125" style="50" customWidth="1"/>
    <col min="8954" max="8954" width="9.5" style="50" customWidth="1"/>
    <col min="8955" max="8955" width="8.83203125" style="50" customWidth="1"/>
    <col min="8956" max="8956" width="8.5" style="50" customWidth="1"/>
    <col min="8957" max="8957" width="11" style="50" customWidth="1"/>
    <col min="8958" max="8958" width="8.83203125" style="50"/>
    <col min="8959" max="8959" width="9.33203125" style="50" customWidth="1"/>
    <col min="8960" max="8960" width="10.5" style="50" customWidth="1"/>
    <col min="8961" max="8961" width="8.83203125" style="50" customWidth="1"/>
    <col min="8962" max="9201" width="8.83203125" style="50"/>
    <col min="9202" max="9202" width="9.83203125" style="50" customWidth="1"/>
    <col min="9203" max="9203" width="8.33203125" style="50" customWidth="1"/>
    <col min="9204" max="9204" width="9" style="50" customWidth="1"/>
    <col min="9205" max="9205" width="7.33203125" style="50" customWidth="1"/>
    <col min="9206" max="9206" width="8.1640625" style="50" customWidth="1"/>
    <col min="9207" max="9207" width="8.83203125" style="50" customWidth="1"/>
    <col min="9208" max="9208" width="7.33203125" style="50" customWidth="1"/>
    <col min="9209" max="9209" width="2.33203125" style="50" customWidth="1"/>
    <col min="9210" max="9210" width="9.5" style="50" customWidth="1"/>
    <col min="9211" max="9211" width="8.83203125" style="50" customWidth="1"/>
    <col min="9212" max="9212" width="8.5" style="50" customWidth="1"/>
    <col min="9213" max="9213" width="11" style="50" customWidth="1"/>
    <col min="9214" max="9214" width="8.83203125" style="50"/>
    <col min="9215" max="9215" width="9.33203125" style="50" customWidth="1"/>
    <col min="9216" max="9216" width="10.5" style="50" customWidth="1"/>
    <col min="9217" max="9217" width="8.83203125" style="50" customWidth="1"/>
    <col min="9218" max="9457" width="8.83203125" style="50"/>
    <col min="9458" max="9458" width="9.83203125" style="50" customWidth="1"/>
    <col min="9459" max="9459" width="8.33203125" style="50" customWidth="1"/>
    <col min="9460" max="9460" width="9" style="50" customWidth="1"/>
    <col min="9461" max="9461" width="7.33203125" style="50" customWidth="1"/>
    <col min="9462" max="9462" width="8.1640625" style="50" customWidth="1"/>
    <col min="9463" max="9463" width="8.83203125" style="50" customWidth="1"/>
    <col min="9464" max="9464" width="7.33203125" style="50" customWidth="1"/>
    <col min="9465" max="9465" width="2.33203125" style="50" customWidth="1"/>
    <col min="9466" max="9466" width="9.5" style="50" customWidth="1"/>
    <col min="9467" max="9467" width="8.83203125" style="50" customWidth="1"/>
    <col min="9468" max="9468" width="8.5" style="50" customWidth="1"/>
    <col min="9469" max="9469" width="11" style="50" customWidth="1"/>
    <col min="9470" max="9470" width="8.83203125" style="50"/>
    <col min="9471" max="9471" width="9.33203125" style="50" customWidth="1"/>
    <col min="9472" max="9472" width="10.5" style="50" customWidth="1"/>
    <col min="9473" max="9473" width="8.83203125" style="50" customWidth="1"/>
    <col min="9474" max="9713" width="8.83203125" style="50"/>
    <col min="9714" max="9714" width="9.83203125" style="50" customWidth="1"/>
    <col min="9715" max="9715" width="8.33203125" style="50" customWidth="1"/>
    <col min="9716" max="9716" width="9" style="50" customWidth="1"/>
    <col min="9717" max="9717" width="7.33203125" style="50" customWidth="1"/>
    <col min="9718" max="9718" width="8.1640625" style="50" customWidth="1"/>
    <col min="9719" max="9719" width="8.83203125" style="50" customWidth="1"/>
    <col min="9720" max="9720" width="7.33203125" style="50" customWidth="1"/>
    <col min="9721" max="9721" width="2.33203125" style="50" customWidth="1"/>
    <col min="9722" max="9722" width="9.5" style="50" customWidth="1"/>
    <col min="9723" max="9723" width="8.83203125" style="50" customWidth="1"/>
    <col min="9724" max="9724" width="8.5" style="50" customWidth="1"/>
    <col min="9725" max="9725" width="11" style="50" customWidth="1"/>
    <col min="9726" max="9726" width="8.83203125" style="50"/>
    <col min="9727" max="9727" width="9.33203125" style="50" customWidth="1"/>
    <col min="9728" max="9728" width="10.5" style="50" customWidth="1"/>
    <col min="9729" max="9729" width="8.83203125" style="50" customWidth="1"/>
    <col min="9730" max="9969" width="8.83203125" style="50"/>
    <col min="9970" max="9970" width="9.83203125" style="50" customWidth="1"/>
    <col min="9971" max="9971" width="8.33203125" style="50" customWidth="1"/>
    <col min="9972" max="9972" width="9" style="50" customWidth="1"/>
    <col min="9973" max="9973" width="7.33203125" style="50" customWidth="1"/>
    <col min="9974" max="9974" width="8.1640625" style="50" customWidth="1"/>
    <col min="9975" max="9975" width="8.83203125" style="50" customWidth="1"/>
    <col min="9976" max="9976" width="7.33203125" style="50" customWidth="1"/>
    <col min="9977" max="9977" width="2.33203125" style="50" customWidth="1"/>
    <col min="9978" max="9978" width="9.5" style="50" customWidth="1"/>
    <col min="9979" max="9979" width="8.83203125" style="50" customWidth="1"/>
    <col min="9980" max="9980" width="8.5" style="50" customWidth="1"/>
    <col min="9981" max="9981" width="11" style="50" customWidth="1"/>
    <col min="9982" max="9982" width="8.83203125" style="50"/>
    <col min="9983" max="9983" width="9.33203125" style="50" customWidth="1"/>
    <col min="9984" max="9984" width="10.5" style="50" customWidth="1"/>
    <col min="9985" max="9985" width="8.83203125" style="50" customWidth="1"/>
    <col min="9986" max="10225" width="8.83203125" style="50"/>
    <col min="10226" max="10226" width="9.83203125" style="50" customWidth="1"/>
    <col min="10227" max="10227" width="8.33203125" style="50" customWidth="1"/>
    <col min="10228" max="10228" width="9" style="50" customWidth="1"/>
    <col min="10229" max="10229" width="7.33203125" style="50" customWidth="1"/>
    <col min="10230" max="10230" width="8.1640625" style="50" customWidth="1"/>
    <col min="10231" max="10231" width="8.83203125" style="50" customWidth="1"/>
    <col min="10232" max="10232" width="7.33203125" style="50" customWidth="1"/>
    <col min="10233" max="10233" width="2.33203125" style="50" customWidth="1"/>
    <col min="10234" max="10234" width="9.5" style="50" customWidth="1"/>
    <col min="10235" max="10235" width="8.83203125" style="50" customWidth="1"/>
    <col min="10236" max="10236" width="8.5" style="50" customWidth="1"/>
    <col min="10237" max="10237" width="11" style="50" customWidth="1"/>
    <col min="10238" max="10238" width="8.83203125" style="50"/>
    <col min="10239" max="10239" width="9.33203125" style="50" customWidth="1"/>
    <col min="10240" max="10240" width="10.5" style="50" customWidth="1"/>
    <col min="10241" max="10241" width="8.83203125" style="50" customWidth="1"/>
    <col min="10242" max="10481" width="8.83203125" style="50"/>
    <col min="10482" max="10482" width="9.83203125" style="50" customWidth="1"/>
    <col min="10483" max="10483" width="8.33203125" style="50" customWidth="1"/>
    <col min="10484" max="10484" width="9" style="50" customWidth="1"/>
    <col min="10485" max="10485" width="7.33203125" style="50" customWidth="1"/>
    <col min="10486" max="10486" width="8.1640625" style="50" customWidth="1"/>
    <col min="10487" max="10487" width="8.83203125" style="50" customWidth="1"/>
    <col min="10488" max="10488" width="7.33203125" style="50" customWidth="1"/>
    <col min="10489" max="10489" width="2.33203125" style="50" customWidth="1"/>
    <col min="10490" max="10490" width="9.5" style="50" customWidth="1"/>
    <col min="10491" max="10491" width="8.83203125" style="50" customWidth="1"/>
    <col min="10492" max="10492" width="8.5" style="50" customWidth="1"/>
    <col min="10493" max="10493" width="11" style="50" customWidth="1"/>
    <col min="10494" max="10494" width="8.83203125" style="50"/>
    <col min="10495" max="10495" width="9.33203125" style="50" customWidth="1"/>
    <col min="10496" max="10496" width="10.5" style="50" customWidth="1"/>
    <col min="10497" max="10497" width="8.83203125" style="50" customWidth="1"/>
    <col min="10498" max="10737" width="8.83203125" style="50"/>
    <col min="10738" max="10738" width="9.83203125" style="50" customWidth="1"/>
    <col min="10739" max="10739" width="8.33203125" style="50" customWidth="1"/>
    <col min="10740" max="10740" width="9" style="50" customWidth="1"/>
    <col min="10741" max="10741" width="7.33203125" style="50" customWidth="1"/>
    <col min="10742" max="10742" width="8.1640625" style="50" customWidth="1"/>
    <col min="10743" max="10743" width="8.83203125" style="50" customWidth="1"/>
    <col min="10744" max="10744" width="7.33203125" style="50" customWidth="1"/>
    <col min="10745" max="10745" width="2.33203125" style="50" customWidth="1"/>
    <col min="10746" max="10746" width="9.5" style="50" customWidth="1"/>
    <col min="10747" max="10747" width="8.83203125" style="50" customWidth="1"/>
    <col min="10748" max="10748" width="8.5" style="50" customWidth="1"/>
    <col min="10749" max="10749" width="11" style="50" customWidth="1"/>
    <col min="10750" max="10750" width="8.83203125" style="50"/>
    <col min="10751" max="10751" width="9.33203125" style="50" customWidth="1"/>
    <col min="10752" max="10752" width="10.5" style="50" customWidth="1"/>
    <col min="10753" max="10753" width="8.83203125" style="50" customWidth="1"/>
    <col min="10754" max="10993" width="8.83203125" style="50"/>
    <col min="10994" max="10994" width="9.83203125" style="50" customWidth="1"/>
    <col min="10995" max="10995" width="8.33203125" style="50" customWidth="1"/>
    <col min="10996" max="10996" width="9" style="50" customWidth="1"/>
    <col min="10997" max="10997" width="7.33203125" style="50" customWidth="1"/>
    <col min="10998" max="10998" width="8.1640625" style="50" customWidth="1"/>
    <col min="10999" max="10999" width="8.83203125" style="50" customWidth="1"/>
    <col min="11000" max="11000" width="7.33203125" style="50" customWidth="1"/>
    <col min="11001" max="11001" width="2.33203125" style="50" customWidth="1"/>
    <col min="11002" max="11002" width="9.5" style="50" customWidth="1"/>
    <col min="11003" max="11003" width="8.83203125" style="50" customWidth="1"/>
    <col min="11004" max="11004" width="8.5" style="50" customWidth="1"/>
    <col min="11005" max="11005" width="11" style="50" customWidth="1"/>
    <col min="11006" max="11006" width="8.83203125" style="50"/>
    <col min="11007" max="11007" width="9.33203125" style="50" customWidth="1"/>
    <col min="11008" max="11008" width="10.5" style="50" customWidth="1"/>
    <col min="11009" max="11009" width="8.83203125" style="50" customWidth="1"/>
    <col min="11010" max="11249" width="8.83203125" style="50"/>
    <col min="11250" max="11250" width="9.83203125" style="50" customWidth="1"/>
    <col min="11251" max="11251" width="8.33203125" style="50" customWidth="1"/>
    <col min="11252" max="11252" width="9" style="50" customWidth="1"/>
    <col min="11253" max="11253" width="7.33203125" style="50" customWidth="1"/>
    <col min="11254" max="11254" width="8.1640625" style="50" customWidth="1"/>
    <col min="11255" max="11255" width="8.83203125" style="50" customWidth="1"/>
    <col min="11256" max="11256" width="7.33203125" style="50" customWidth="1"/>
    <col min="11257" max="11257" width="2.33203125" style="50" customWidth="1"/>
    <col min="11258" max="11258" width="9.5" style="50" customWidth="1"/>
    <col min="11259" max="11259" width="8.83203125" style="50" customWidth="1"/>
    <col min="11260" max="11260" width="8.5" style="50" customWidth="1"/>
    <col min="11261" max="11261" width="11" style="50" customWidth="1"/>
    <col min="11262" max="11262" width="8.83203125" style="50"/>
    <col min="11263" max="11263" width="9.33203125" style="50" customWidth="1"/>
    <col min="11264" max="11264" width="10.5" style="50" customWidth="1"/>
    <col min="11265" max="11265" width="8.83203125" style="50" customWidth="1"/>
    <col min="11266" max="11505" width="8.83203125" style="50"/>
    <col min="11506" max="11506" width="9.83203125" style="50" customWidth="1"/>
    <col min="11507" max="11507" width="8.33203125" style="50" customWidth="1"/>
    <col min="11508" max="11508" width="9" style="50" customWidth="1"/>
    <col min="11509" max="11509" width="7.33203125" style="50" customWidth="1"/>
    <col min="11510" max="11510" width="8.1640625" style="50" customWidth="1"/>
    <col min="11511" max="11511" width="8.83203125" style="50" customWidth="1"/>
    <col min="11512" max="11512" width="7.33203125" style="50" customWidth="1"/>
    <col min="11513" max="11513" width="2.33203125" style="50" customWidth="1"/>
    <col min="11514" max="11514" width="9.5" style="50" customWidth="1"/>
    <col min="11515" max="11515" width="8.83203125" style="50" customWidth="1"/>
    <col min="11516" max="11516" width="8.5" style="50" customWidth="1"/>
    <col min="11517" max="11517" width="11" style="50" customWidth="1"/>
    <col min="11518" max="11518" width="8.83203125" style="50"/>
    <col min="11519" max="11519" width="9.33203125" style="50" customWidth="1"/>
    <col min="11520" max="11520" width="10.5" style="50" customWidth="1"/>
    <col min="11521" max="11521" width="8.83203125" style="50" customWidth="1"/>
    <col min="11522" max="11761" width="8.83203125" style="50"/>
    <col min="11762" max="11762" width="9.83203125" style="50" customWidth="1"/>
    <col min="11763" max="11763" width="8.33203125" style="50" customWidth="1"/>
    <col min="11764" max="11764" width="9" style="50" customWidth="1"/>
    <col min="11765" max="11765" width="7.33203125" style="50" customWidth="1"/>
    <col min="11766" max="11766" width="8.1640625" style="50" customWidth="1"/>
    <col min="11767" max="11767" width="8.83203125" style="50" customWidth="1"/>
    <col min="11768" max="11768" width="7.33203125" style="50" customWidth="1"/>
    <col min="11769" max="11769" width="2.33203125" style="50" customWidth="1"/>
    <col min="11770" max="11770" width="9.5" style="50" customWidth="1"/>
    <col min="11771" max="11771" width="8.83203125" style="50" customWidth="1"/>
    <col min="11772" max="11772" width="8.5" style="50" customWidth="1"/>
    <col min="11773" max="11773" width="11" style="50" customWidth="1"/>
    <col min="11774" max="11774" width="8.83203125" style="50"/>
    <col min="11775" max="11775" width="9.33203125" style="50" customWidth="1"/>
    <col min="11776" max="11776" width="10.5" style="50" customWidth="1"/>
    <col min="11777" max="11777" width="8.83203125" style="50" customWidth="1"/>
    <col min="11778" max="12017" width="8.83203125" style="50"/>
    <col min="12018" max="12018" width="9.83203125" style="50" customWidth="1"/>
    <col min="12019" max="12019" width="8.33203125" style="50" customWidth="1"/>
    <col min="12020" max="12020" width="9" style="50" customWidth="1"/>
    <col min="12021" max="12021" width="7.33203125" style="50" customWidth="1"/>
    <col min="12022" max="12022" width="8.1640625" style="50" customWidth="1"/>
    <col min="12023" max="12023" width="8.83203125" style="50" customWidth="1"/>
    <col min="12024" max="12024" width="7.33203125" style="50" customWidth="1"/>
    <col min="12025" max="12025" width="2.33203125" style="50" customWidth="1"/>
    <col min="12026" max="12026" width="9.5" style="50" customWidth="1"/>
    <col min="12027" max="12027" width="8.83203125" style="50" customWidth="1"/>
    <col min="12028" max="12028" width="8.5" style="50" customWidth="1"/>
    <col min="12029" max="12029" width="11" style="50" customWidth="1"/>
    <col min="12030" max="12030" width="8.83203125" style="50"/>
    <col min="12031" max="12031" width="9.33203125" style="50" customWidth="1"/>
    <col min="12032" max="12032" width="10.5" style="50" customWidth="1"/>
    <col min="12033" max="12033" width="8.83203125" style="50" customWidth="1"/>
    <col min="12034" max="12273" width="8.83203125" style="50"/>
    <col min="12274" max="12274" width="9.83203125" style="50" customWidth="1"/>
    <col min="12275" max="12275" width="8.33203125" style="50" customWidth="1"/>
    <col min="12276" max="12276" width="9" style="50" customWidth="1"/>
    <col min="12277" max="12277" width="7.33203125" style="50" customWidth="1"/>
    <col min="12278" max="12278" width="8.1640625" style="50" customWidth="1"/>
    <col min="12279" max="12279" width="8.83203125" style="50" customWidth="1"/>
    <col min="12280" max="12280" width="7.33203125" style="50" customWidth="1"/>
    <col min="12281" max="12281" width="2.33203125" style="50" customWidth="1"/>
    <col min="12282" max="12282" width="9.5" style="50" customWidth="1"/>
    <col min="12283" max="12283" width="8.83203125" style="50" customWidth="1"/>
    <col min="12284" max="12284" width="8.5" style="50" customWidth="1"/>
    <col min="12285" max="12285" width="11" style="50" customWidth="1"/>
    <col min="12286" max="12286" width="8.83203125" style="50"/>
    <col min="12287" max="12287" width="9.33203125" style="50" customWidth="1"/>
    <col min="12288" max="12288" width="10.5" style="50" customWidth="1"/>
    <col min="12289" max="12289" width="8.83203125" style="50" customWidth="1"/>
    <col min="12290" max="12529" width="8.83203125" style="50"/>
    <col min="12530" max="12530" width="9.83203125" style="50" customWidth="1"/>
    <col min="12531" max="12531" width="8.33203125" style="50" customWidth="1"/>
    <col min="12532" max="12532" width="9" style="50" customWidth="1"/>
    <col min="12533" max="12533" width="7.33203125" style="50" customWidth="1"/>
    <col min="12534" max="12534" width="8.1640625" style="50" customWidth="1"/>
    <col min="12535" max="12535" width="8.83203125" style="50" customWidth="1"/>
    <col min="12536" max="12536" width="7.33203125" style="50" customWidth="1"/>
    <col min="12537" max="12537" width="2.33203125" style="50" customWidth="1"/>
    <col min="12538" max="12538" width="9.5" style="50" customWidth="1"/>
    <col min="12539" max="12539" width="8.83203125" style="50" customWidth="1"/>
    <col min="12540" max="12540" width="8.5" style="50" customWidth="1"/>
    <col min="12541" max="12541" width="11" style="50" customWidth="1"/>
    <col min="12542" max="12542" width="8.83203125" style="50"/>
    <col min="12543" max="12543" width="9.33203125" style="50" customWidth="1"/>
    <col min="12544" max="12544" width="10.5" style="50" customWidth="1"/>
    <col min="12545" max="12545" width="8.83203125" style="50" customWidth="1"/>
    <col min="12546" max="12785" width="8.83203125" style="50"/>
    <col min="12786" max="12786" width="9.83203125" style="50" customWidth="1"/>
    <col min="12787" max="12787" width="8.33203125" style="50" customWidth="1"/>
    <col min="12788" max="12788" width="9" style="50" customWidth="1"/>
    <col min="12789" max="12789" width="7.33203125" style="50" customWidth="1"/>
    <col min="12790" max="12790" width="8.1640625" style="50" customWidth="1"/>
    <col min="12791" max="12791" width="8.83203125" style="50" customWidth="1"/>
    <col min="12792" max="12792" width="7.33203125" style="50" customWidth="1"/>
    <col min="12793" max="12793" width="2.33203125" style="50" customWidth="1"/>
    <col min="12794" max="12794" width="9.5" style="50" customWidth="1"/>
    <col min="12795" max="12795" width="8.83203125" style="50" customWidth="1"/>
    <col min="12796" max="12796" width="8.5" style="50" customWidth="1"/>
    <col min="12797" max="12797" width="11" style="50" customWidth="1"/>
    <col min="12798" max="12798" width="8.83203125" style="50"/>
    <col min="12799" max="12799" width="9.33203125" style="50" customWidth="1"/>
    <col min="12800" max="12800" width="10.5" style="50" customWidth="1"/>
    <col min="12801" max="12801" width="8.83203125" style="50" customWidth="1"/>
    <col min="12802" max="13041" width="8.83203125" style="50"/>
    <col min="13042" max="13042" width="9.83203125" style="50" customWidth="1"/>
    <col min="13043" max="13043" width="8.33203125" style="50" customWidth="1"/>
    <col min="13044" max="13044" width="9" style="50" customWidth="1"/>
    <col min="13045" max="13045" width="7.33203125" style="50" customWidth="1"/>
    <col min="13046" max="13046" width="8.1640625" style="50" customWidth="1"/>
    <col min="13047" max="13047" width="8.83203125" style="50" customWidth="1"/>
    <col min="13048" max="13048" width="7.33203125" style="50" customWidth="1"/>
    <col min="13049" max="13049" width="2.33203125" style="50" customWidth="1"/>
    <col min="13050" max="13050" width="9.5" style="50" customWidth="1"/>
    <col min="13051" max="13051" width="8.83203125" style="50" customWidth="1"/>
    <col min="13052" max="13052" width="8.5" style="50" customWidth="1"/>
    <col min="13053" max="13053" width="11" style="50" customWidth="1"/>
    <col min="13054" max="13054" width="8.83203125" style="50"/>
    <col min="13055" max="13055" width="9.33203125" style="50" customWidth="1"/>
    <col min="13056" max="13056" width="10.5" style="50" customWidth="1"/>
    <col min="13057" max="13057" width="8.83203125" style="50" customWidth="1"/>
    <col min="13058" max="13297" width="8.83203125" style="50"/>
    <col min="13298" max="13298" width="9.83203125" style="50" customWidth="1"/>
    <col min="13299" max="13299" width="8.33203125" style="50" customWidth="1"/>
    <col min="13300" max="13300" width="9" style="50" customWidth="1"/>
    <col min="13301" max="13301" width="7.33203125" style="50" customWidth="1"/>
    <col min="13302" max="13302" width="8.1640625" style="50" customWidth="1"/>
    <col min="13303" max="13303" width="8.83203125" style="50" customWidth="1"/>
    <col min="13304" max="13304" width="7.33203125" style="50" customWidth="1"/>
    <col min="13305" max="13305" width="2.33203125" style="50" customWidth="1"/>
    <col min="13306" max="13306" width="9.5" style="50" customWidth="1"/>
    <col min="13307" max="13307" width="8.83203125" style="50" customWidth="1"/>
    <col min="13308" max="13308" width="8.5" style="50" customWidth="1"/>
    <col min="13309" max="13309" width="11" style="50" customWidth="1"/>
    <col min="13310" max="13310" width="8.83203125" style="50"/>
    <col min="13311" max="13311" width="9.33203125" style="50" customWidth="1"/>
    <col min="13312" max="13312" width="10.5" style="50" customWidth="1"/>
    <col min="13313" max="13313" width="8.83203125" style="50" customWidth="1"/>
    <col min="13314" max="13553" width="8.83203125" style="50"/>
    <col min="13554" max="13554" width="9.83203125" style="50" customWidth="1"/>
    <col min="13555" max="13555" width="8.33203125" style="50" customWidth="1"/>
    <col min="13556" max="13556" width="9" style="50" customWidth="1"/>
    <col min="13557" max="13557" width="7.33203125" style="50" customWidth="1"/>
    <col min="13558" max="13558" width="8.1640625" style="50" customWidth="1"/>
    <col min="13559" max="13559" width="8.83203125" style="50" customWidth="1"/>
    <col min="13560" max="13560" width="7.33203125" style="50" customWidth="1"/>
    <col min="13561" max="13561" width="2.33203125" style="50" customWidth="1"/>
    <col min="13562" max="13562" width="9.5" style="50" customWidth="1"/>
    <col min="13563" max="13563" width="8.83203125" style="50" customWidth="1"/>
    <col min="13564" max="13564" width="8.5" style="50" customWidth="1"/>
    <col min="13565" max="13565" width="11" style="50" customWidth="1"/>
    <col min="13566" max="13566" width="8.83203125" style="50"/>
    <col min="13567" max="13567" width="9.33203125" style="50" customWidth="1"/>
    <col min="13568" max="13568" width="10.5" style="50" customWidth="1"/>
    <col min="13569" max="13569" width="8.83203125" style="50" customWidth="1"/>
    <col min="13570" max="13809" width="8.83203125" style="50"/>
    <col min="13810" max="13810" width="9.83203125" style="50" customWidth="1"/>
    <col min="13811" max="13811" width="8.33203125" style="50" customWidth="1"/>
    <col min="13812" max="13812" width="9" style="50" customWidth="1"/>
    <col min="13813" max="13813" width="7.33203125" style="50" customWidth="1"/>
    <col min="13814" max="13814" width="8.1640625" style="50" customWidth="1"/>
    <col min="13815" max="13815" width="8.83203125" style="50" customWidth="1"/>
    <col min="13816" max="13816" width="7.33203125" style="50" customWidth="1"/>
    <col min="13817" max="13817" width="2.33203125" style="50" customWidth="1"/>
    <col min="13818" max="13818" width="9.5" style="50" customWidth="1"/>
    <col min="13819" max="13819" width="8.83203125" style="50" customWidth="1"/>
    <col min="13820" max="13820" width="8.5" style="50" customWidth="1"/>
    <col min="13821" max="13821" width="11" style="50" customWidth="1"/>
    <col min="13822" max="13822" width="8.83203125" style="50"/>
    <col min="13823" max="13823" width="9.33203125" style="50" customWidth="1"/>
    <col min="13824" max="13824" width="10.5" style="50" customWidth="1"/>
    <col min="13825" max="13825" width="8.83203125" style="50" customWidth="1"/>
    <col min="13826" max="14065" width="8.83203125" style="50"/>
    <col min="14066" max="14066" width="9.83203125" style="50" customWidth="1"/>
    <col min="14067" max="14067" width="8.33203125" style="50" customWidth="1"/>
    <col min="14068" max="14068" width="9" style="50" customWidth="1"/>
    <col min="14069" max="14069" width="7.33203125" style="50" customWidth="1"/>
    <col min="14070" max="14070" width="8.1640625" style="50" customWidth="1"/>
    <col min="14071" max="14071" width="8.83203125" style="50" customWidth="1"/>
    <col min="14072" max="14072" width="7.33203125" style="50" customWidth="1"/>
    <col min="14073" max="14073" width="2.33203125" style="50" customWidth="1"/>
    <col min="14074" max="14074" width="9.5" style="50" customWidth="1"/>
    <col min="14075" max="14075" width="8.83203125" style="50" customWidth="1"/>
    <col min="14076" max="14076" width="8.5" style="50" customWidth="1"/>
    <col min="14077" max="14077" width="11" style="50" customWidth="1"/>
    <col min="14078" max="14078" width="8.83203125" style="50"/>
    <col min="14079" max="14079" width="9.33203125" style="50" customWidth="1"/>
    <col min="14080" max="14080" width="10.5" style="50" customWidth="1"/>
    <col min="14081" max="14081" width="8.83203125" style="50" customWidth="1"/>
    <col min="14082" max="14321" width="8.83203125" style="50"/>
    <col min="14322" max="14322" width="9.83203125" style="50" customWidth="1"/>
    <col min="14323" max="14323" width="8.33203125" style="50" customWidth="1"/>
    <col min="14324" max="14324" width="9" style="50" customWidth="1"/>
    <col min="14325" max="14325" width="7.33203125" style="50" customWidth="1"/>
    <col min="14326" max="14326" width="8.1640625" style="50" customWidth="1"/>
    <col min="14327" max="14327" width="8.83203125" style="50" customWidth="1"/>
    <col min="14328" max="14328" width="7.33203125" style="50" customWidth="1"/>
    <col min="14329" max="14329" width="2.33203125" style="50" customWidth="1"/>
    <col min="14330" max="14330" width="9.5" style="50" customWidth="1"/>
    <col min="14331" max="14331" width="8.83203125" style="50" customWidth="1"/>
    <col min="14332" max="14332" width="8.5" style="50" customWidth="1"/>
    <col min="14333" max="14333" width="11" style="50" customWidth="1"/>
    <col min="14334" max="14334" width="8.83203125" style="50"/>
    <col min="14335" max="14335" width="9.33203125" style="50" customWidth="1"/>
    <col min="14336" max="14336" width="10.5" style="50" customWidth="1"/>
    <col min="14337" max="14337" width="8.83203125" style="50" customWidth="1"/>
    <col min="14338" max="14577" width="8.83203125" style="50"/>
    <col min="14578" max="14578" width="9.83203125" style="50" customWidth="1"/>
    <col min="14579" max="14579" width="8.33203125" style="50" customWidth="1"/>
    <col min="14580" max="14580" width="9" style="50" customWidth="1"/>
    <col min="14581" max="14581" width="7.33203125" style="50" customWidth="1"/>
    <col min="14582" max="14582" width="8.1640625" style="50" customWidth="1"/>
    <col min="14583" max="14583" width="8.83203125" style="50" customWidth="1"/>
    <col min="14584" max="14584" width="7.33203125" style="50" customWidth="1"/>
    <col min="14585" max="14585" width="2.33203125" style="50" customWidth="1"/>
    <col min="14586" max="14586" width="9.5" style="50" customWidth="1"/>
    <col min="14587" max="14587" width="8.83203125" style="50" customWidth="1"/>
    <col min="14588" max="14588" width="8.5" style="50" customWidth="1"/>
    <col min="14589" max="14589" width="11" style="50" customWidth="1"/>
    <col min="14590" max="14590" width="8.83203125" style="50"/>
    <col min="14591" max="14591" width="9.33203125" style="50" customWidth="1"/>
    <col min="14592" max="14592" width="10.5" style="50" customWidth="1"/>
    <col min="14593" max="14593" width="8.83203125" style="50" customWidth="1"/>
    <col min="14594" max="14833" width="8.83203125" style="50"/>
    <col min="14834" max="14834" width="9.83203125" style="50" customWidth="1"/>
    <col min="14835" max="14835" width="8.33203125" style="50" customWidth="1"/>
    <col min="14836" max="14836" width="9" style="50" customWidth="1"/>
    <col min="14837" max="14837" width="7.33203125" style="50" customWidth="1"/>
    <col min="14838" max="14838" width="8.1640625" style="50" customWidth="1"/>
    <col min="14839" max="14839" width="8.83203125" style="50" customWidth="1"/>
    <col min="14840" max="14840" width="7.33203125" style="50" customWidth="1"/>
    <col min="14841" max="14841" width="2.33203125" style="50" customWidth="1"/>
    <col min="14842" max="14842" width="9.5" style="50" customWidth="1"/>
    <col min="14843" max="14843" width="8.83203125" style="50" customWidth="1"/>
    <col min="14844" max="14844" width="8.5" style="50" customWidth="1"/>
    <col min="14845" max="14845" width="11" style="50" customWidth="1"/>
    <col min="14846" max="14846" width="8.83203125" style="50"/>
    <col min="14847" max="14847" width="9.33203125" style="50" customWidth="1"/>
    <col min="14848" max="14848" width="10.5" style="50" customWidth="1"/>
    <col min="14849" max="14849" width="8.83203125" style="50" customWidth="1"/>
    <col min="14850" max="15089" width="8.83203125" style="50"/>
    <col min="15090" max="15090" width="9.83203125" style="50" customWidth="1"/>
    <col min="15091" max="15091" width="8.33203125" style="50" customWidth="1"/>
    <col min="15092" max="15092" width="9" style="50" customWidth="1"/>
    <col min="15093" max="15093" width="7.33203125" style="50" customWidth="1"/>
    <col min="15094" max="15094" width="8.1640625" style="50" customWidth="1"/>
    <col min="15095" max="15095" width="8.83203125" style="50" customWidth="1"/>
    <col min="15096" max="15096" width="7.33203125" style="50" customWidth="1"/>
    <col min="15097" max="15097" width="2.33203125" style="50" customWidth="1"/>
    <col min="15098" max="15098" width="9.5" style="50" customWidth="1"/>
    <col min="15099" max="15099" width="8.83203125" style="50" customWidth="1"/>
    <col min="15100" max="15100" width="8.5" style="50" customWidth="1"/>
    <col min="15101" max="15101" width="11" style="50" customWidth="1"/>
    <col min="15102" max="15102" width="8.83203125" style="50"/>
    <col min="15103" max="15103" width="9.33203125" style="50" customWidth="1"/>
    <col min="15104" max="15104" width="10.5" style="50" customWidth="1"/>
    <col min="15105" max="15105" width="8.83203125" style="50" customWidth="1"/>
    <col min="15106" max="15345" width="8.83203125" style="50"/>
    <col min="15346" max="15346" width="9.83203125" style="50" customWidth="1"/>
    <col min="15347" max="15347" width="8.33203125" style="50" customWidth="1"/>
    <col min="15348" max="15348" width="9" style="50" customWidth="1"/>
    <col min="15349" max="15349" width="7.33203125" style="50" customWidth="1"/>
    <col min="15350" max="15350" width="8.1640625" style="50" customWidth="1"/>
    <col min="15351" max="15351" width="8.83203125" style="50" customWidth="1"/>
    <col min="15352" max="15352" width="7.33203125" style="50" customWidth="1"/>
    <col min="15353" max="15353" width="2.33203125" style="50" customWidth="1"/>
    <col min="15354" max="15354" width="9.5" style="50" customWidth="1"/>
    <col min="15355" max="15355" width="8.83203125" style="50" customWidth="1"/>
    <col min="15356" max="15356" width="8.5" style="50" customWidth="1"/>
    <col min="15357" max="15357" width="11" style="50" customWidth="1"/>
    <col min="15358" max="15358" width="8.83203125" style="50"/>
    <col min="15359" max="15359" width="9.33203125" style="50" customWidth="1"/>
    <col min="15360" max="15360" width="10.5" style="50" customWidth="1"/>
    <col min="15361" max="15361" width="8.83203125" style="50" customWidth="1"/>
    <col min="15362" max="15601" width="8.83203125" style="50"/>
    <col min="15602" max="15602" width="9.83203125" style="50" customWidth="1"/>
    <col min="15603" max="15603" width="8.33203125" style="50" customWidth="1"/>
    <col min="15604" max="15604" width="9" style="50" customWidth="1"/>
    <col min="15605" max="15605" width="7.33203125" style="50" customWidth="1"/>
    <col min="15606" max="15606" width="8.1640625" style="50" customWidth="1"/>
    <col min="15607" max="15607" width="8.83203125" style="50" customWidth="1"/>
    <col min="15608" max="15608" width="7.33203125" style="50" customWidth="1"/>
    <col min="15609" max="15609" width="2.33203125" style="50" customWidth="1"/>
    <col min="15610" max="15610" width="9.5" style="50" customWidth="1"/>
    <col min="15611" max="15611" width="8.83203125" style="50" customWidth="1"/>
    <col min="15612" max="15612" width="8.5" style="50" customWidth="1"/>
    <col min="15613" max="15613" width="11" style="50" customWidth="1"/>
    <col min="15614" max="15614" width="8.83203125" style="50"/>
    <col min="15615" max="15615" width="9.33203125" style="50" customWidth="1"/>
    <col min="15616" max="15616" width="10.5" style="50" customWidth="1"/>
    <col min="15617" max="15617" width="8.83203125" style="50" customWidth="1"/>
    <col min="15618" max="15857" width="8.83203125" style="50"/>
    <col min="15858" max="15858" width="9.83203125" style="50" customWidth="1"/>
    <col min="15859" max="15859" width="8.33203125" style="50" customWidth="1"/>
    <col min="15860" max="15860" width="9" style="50" customWidth="1"/>
    <col min="15861" max="15861" width="7.33203125" style="50" customWidth="1"/>
    <col min="15862" max="15862" width="8.1640625" style="50" customWidth="1"/>
    <col min="15863" max="15863" width="8.83203125" style="50" customWidth="1"/>
    <col min="15864" max="15864" width="7.33203125" style="50" customWidth="1"/>
    <col min="15865" max="15865" width="2.33203125" style="50" customWidth="1"/>
    <col min="15866" max="15866" width="9.5" style="50" customWidth="1"/>
    <col min="15867" max="15867" width="8.83203125" style="50" customWidth="1"/>
    <col min="15868" max="15868" width="8.5" style="50" customWidth="1"/>
    <col min="15869" max="15869" width="11" style="50" customWidth="1"/>
    <col min="15870" max="15870" width="8.83203125" style="50"/>
    <col min="15871" max="15871" width="9.33203125" style="50" customWidth="1"/>
    <col min="15872" max="15872" width="10.5" style="50" customWidth="1"/>
    <col min="15873" max="15873" width="8.83203125" style="50" customWidth="1"/>
    <col min="15874" max="16113" width="8.83203125" style="50"/>
    <col min="16114" max="16114" width="9.83203125" style="50" customWidth="1"/>
    <col min="16115" max="16115" width="8.33203125" style="50" customWidth="1"/>
    <col min="16116" max="16116" width="9" style="50" customWidth="1"/>
    <col min="16117" max="16117" width="7.33203125" style="50" customWidth="1"/>
    <col min="16118" max="16118" width="8.1640625" style="50" customWidth="1"/>
    <col min="16119" max="16119" width="8.83203125" style="50" customWidth="1"/>
    <col min="16120" max="16120" width="7.33203125" style="50" customWidth="1"/>
    <col min="16121" max="16121" width="2.33203125" style="50" customWidth="1"/>
    <col min="16122" max="16122" width="9.5" style="50" customWidth="1"/>
    <col min="16123" max="16123" width="8.83203125" style="50" customWidth="1"/>
    <col min="16124" max="16124" width="8.5" style="50" customWidth="1"/>
    <col min="16125" max="16125" width="11" style="50" customWidth="1"/>
    <col min="16126" max="16126" width="8.83203125" style="50"/>
    <col min="16127" max="16127" width="9.33203125" style="50" customWidth="1"/>
    <col min="16128" max="16128" width="10.5" style="50" customWidth="1"/>
    <col min="16129" max="16129" width="8.83203125" style="50" customWidth="1"/>
    <col min="16130" max="16363" width="8.83203125" style="50"/>
    <col min="16364" max="16384" width="8.83203125" style="50" customWidth="1"/>
  </cols>
  <sheetData>
    <row r="1" spans="1:19" ht="12.75" customHeight="1">
      <c r="A1" s="998" t="s">
        <v>207</v>
      </c>
      <c r="B1" s="998"/>
      <c r="C1" s="998"/>
      <c r="D1" s="998"/>
      <c r="E1" s="998"/>
      <c r="F1" s="998"/>
      <c r="G1" s="998"/>
      <c r="H1" s="998"/>
      <c r="I1" s="998"/>
      <c r="J1" s="214"/>
    </row>
    <row r="2" spans="1:19" ht="12.75" customHeight="1">
      <c r="A2" s="998"/>
      <c r="B2" s="998"/>
      <c r="C2" s="998"/>
      <c r="D2" s="998"/>
      <c r="E2" s="998"/>
      <c r="F2" s="998"/>
      <c r="G2" s="998"/>
      <c r="H2" s="998"/>
      <c r="I2" s="998"/>
      <c r="J2" s="214"/>
    </row>
    <row r="3" spans="1:19" ht="18" customHeight="1">
      <c r="A3" s="998" t="s">
        <v>208</v>
      </c>
      <c r="B3" s="998"/>
      <c r="C3" s="998"/>
      <c r="D3" s="998"/>
      <c r="E3" s="998"/>
      <c r="F3" s="998"/>
      <c r="G3" s="998"/>
      <c r="H3" s="998"/>
      <c r="I3" s="998"/>
    </row>
    <row r="4" spans="1:19" ht="12.75" customHeight="1" thickBot="1">
      <c r="A4" s="3"/>
      <c r="B4" s="3"/>
      <c r="C4" s="3"/>
      <c r="D4" s="3"/>
      <c r="E4" s="3"/>
      <c r="F4" s="3"/>
      <c r="G4" s="3"/>
      <c r="H4" s="3"/>
    </row>
    <row r="5" spans="1:19" ht="12.75" customHeight="1">
      <c r="A5" s="967" t="s">
        <v>109</v>
      </c>
      <c r="B5" s="968"/>
      <c r="C5" s="973" t="s">
        <v>110</v>
      </c>
      <c r="D5" s="973"/>
      <c r="E5" s="973"/>
      <c r="F5" s="973"/>
      <c r="G5" s="974"/>
      <c r="H5" s="975" t="s">
        <v>111</v>
      </c>
      <c r="I5" s="978" t="s">
        <v>112</v>
      </c>
      <c r="R5" s="214"/>
      <c r="S5" s="214"/>
    </row>
    <row r="6" spans="1:19" ht="12.75" customHeight="1">
      <c r="A6" s="969"/>
      <c r="B6" s="970"/>
      <c r="C6" s="981" t="s">
        <v>113</v>
      </c>
      <c r="D6" s="948" t="s">
        <v>114</v>
      </c>
      <c r="E6" s="948" t="s">
        <v>115</v>
      </c>
      <c r="F6" s="950" t="s">
        <v>116</v>
      </c>
      <c r="G6" s="952" t="s">
        <v>117</v>
      </c>
      <c r="H6" s="976"/>
      <c r="I6" s="979"/>
    </row>
    <row r="7" spans="1:19" ht="12.75" customHeight="1" thickBot="1">
      <c r="A7" s="971"/>
      <c r="B7" s="972"/>
      <c r="C7" s="982"/>
      <c r="D7" s="949"/>
      <c r="E7" s="949"/>
      <c r="F7" s="951"/>
      <c r="G7" s="953"/>
      <c r="H7" s="977"/>
      <c r="I7" s="980"/>
    </row>
    <row r="8" spans="1:19" ht="51" customHeight="1" thickBot="1">
      <c r="A8" s="1068" t="s">
        <v>209</v>
      </c>
      <c r="B8" s="1069"/>
      <c r="C8" s="34">
        <v>8</v>
      </c>
      <c r="D8" s="35">
        <v>7</v>
      </c>
      <c r="E8" s="35">
        <v>7</v>
      </c>
      <c r="F8" s="36">
        <v>2</v>
      </c>
      <c r="G8" s="51">
        <f>SUM(C8:F8)</f>
        <v>24</v>
      </c>
      <c r="H8" s="38">
        <f>C8/(SUM(C8:D8))</f>
        <v>0.53333333333333333</v>
      </c>
      <c r="I8" s="899">
        <f>SUM(C8,E8)/G8</f>
        <v>0.625</v>
      </c>
    </row>
    <row r="9" spans="1:19" ht="51" customHeight="1" thickBot="1">
      <c r="A9" s="1070" t="s">
        <v>124</v>
      </c>
      <c r="B9" s="1071"/>
      <c r="C9" s="39">
        <f>C8/$G$8</f>
        <v>0.33333333333333331</v>
      </c>
      <c r="D9" s="40">
        <f>D8/$G$8</f>
        <v>0.29166666666666669</v>
      </c>
      <c r="E9" s="40">
        <f>E8/$G$8</f>
        <v>0.29166666666666669</v>
      </c>
      <c r="F9" s="41">
        <f>F8/$G$8</f>
        <v>8.3333333333333329E-2</v>
      </c>
      <c r="G9" s="899">
        <f>SUM(C9:F9)</f>
        <v>1</v>
      </c>
      <c r="H9" s="943"/>
      <c r="I9" s="944"/>
    </row>
    <row r="10" spans="1:19" ht="41.25" customHeight="1" thickBot="1">
      <c r="A10" s="1065" t="s">
        <v>120</v>
      </c>
      <c r="B10" s="1066"/>
      <c r="C10" s="1066"/>
      <c r="D10" s="1066"/>
      <c r="E10" s="1066"/>
      <c r="F10" s="1066"/>
      <c r="G10" s="1066"/>
      <c r="H10" s="1066"/>
      <c r="I10" s="1067"/>
    </row>
    <row r="11" spans="1:19" ht="51" customHeight="1">
      <c r="A11" s="212"/>
      <c r="B11" s="212"/>
      <c r="C11" s="212"/>
      <c r="D11" s="212"/>
      <c r="E11" s="212"/>
      <c r="F11" s="212"/>
      <c r="G11" s="212"/>
      <c r="H11" s="212"/>
      <c r="I11" s="212"/>
    </row>
    <row r="12" spans="1:19" ht="31.5" customHeight="1">
      <c r="A12" s="1072" t="s">
        <v>210</v>
      </c>
      <c r="B12" s="1072"/>
      <c r="C12" s="1072"/>
      <c r="D12" s="1072"/>
      <c r="E12" s="1072"/>
      <c r="F12" s="1072"/>
      <c r="G12" s="1072"/>
      <c r="H12" s="1072"/>
      <c r="I12" s="1072"/>
    </row>
    <row r="13" spans="1:19" ht="25.5" customHeight="1" thickBot="1">
      <c r="A13" s="286" t="s">
        <v>126</v>
      </c>
      <c r="B13" s="286"/>
      <c r="C13" s="286"/>
      <c r="D13" s="286"/>
      <c r="E13" s="286"/>
      <c r="F13" s="286"/>
      <c r="G13" s="286"/>
      <c r="H13" s="286"/>
      <c r="I13" s="286"/>
    </row>
    <row r="14" spans="1:19" ht="14.25">
      <c r="A14" s="967" t="s">
        <v>109</v>
      </c>
      <c r="B14" s="968"/>
      <c r="C14" s="973" t="s">
        <v>110</v>
      </c>
      <c r="D14" s="973"/>
      <c r="E14" s="973"/>
      <c r="F14" s="973"/>
      <c r="G14" s="974"/>
      <c r="H14" s="975" t="s">
        <v>111</v>
      </c>
      <c r="I14" s="978" t="s">
        <v>112</v>
      </c>
    </row>
    <row r="15" spans="1:19">
      <c r="A15" s="969"/>
      <c r="B15" s="970"/>
      <c r="C15" s="981" t="s">
        <v>113</v>
      </c>
      <c r="D15" s="948" t="s">
        <v>114</v>
      </c>
      <c r="E15" s="948" t="s">
        <v>115</v>
      </c>
      <c r="F15" s="950" t="s">
        <v>116</v>
      </c>
      <c r="G15" s="952" t="s">
        <v>117</v>
      </c>
      <c r="H15" s="976"/>
      <c r="I15" s="979"/>
    </row>
    <row r="16" spans="1:19" ht="21" customHeight="1" thickBot="1">
      <c r="A16" s="971"/>
      <c r="B16" s="972"/>
      <c r="C16" s="982"/>
      <c r="D16" s="949"/>
      <c r="E16" s="949"/>
      <c r="F16" s="951"/>
      <c r="G16" s="953"/>
      <c r="H16" s="977"/>
      <c r="I16" s="980"/>
    </row>
    <row r="17" spans="1:9" ht="34.5" customHeight="1" thickBot="1">
      <c r="A17" s="954" t="s">
        <v>127</v>
      </c>
      <c r="B17" s="955"/>
      <c r="C17" s="250"/>
      <c r="D17" s="251"/>
      <c r="E17" s="252"/>
      <c r="F17" s="253"/>
      <c r="G17" s="285">
        <f>SUM(C17:F17)</f>
        <v>0</v>
      </c>
      <c r="H17" s="38" t="e">
        <f>C17/(SUM(C17:D17))</f>
        <v>#DIV/0!</v>
      </c>
      <c r="I17" s="38" t="e">
        <f>SUM(C17,E17)/G17</f>
        <v>#DIV/0!</v>
      </c>
    </row>
    <row r="18" spans="1:9" ht="31.5" customHeight="1" thickBot="1">
      <c r="A18" s="954" t="s">
        <v>128</v>
      </c>
      <c r="B18" s="955"/>
      <c r="C18" s="250"/>
      <c r="D18" s="251"/>
      <c r="E18" s="252"/>
      <c r="F18" s="253"/>
      <c r="G18" s="285">
        <f>SUM(C18:F18)</f>
        <v>0</v>
      </c>
      <c r="H18" s="38" t="e">
        <f>C18/(SUM(C18:D18))</f>
        <v>#DIV/0!</v>
      </c>
      <c r="I18" s="38" t="e">
        <f>SUM(C18,E18)/G18</f>
        <v>#DIV/0!</v>
      </c>
    </row>
    <row r="19" spans="1:9" ht="29.25" customHeight="1" thickBot="1">
      <c r="A19" s="954" t="s">
        <v>117</v>
      </c>
      <c r="B19" s="955"/>
      <c r="C19" s="250">
        <f>SUM(C17:C18)</f>
        <v>0</v>
      </c>
      <c r="D19" s="251">
        <f>SUM(D17:D18)</f>
        <v>0</v>
      </c>
      <c r="E19" s="252">
        <f>SUM(E17:E18)</f>
        <v>0</v>
      </c>
      <c r="F19" s="253">
        <f>SUM(F17:F18)</f>
        <v>0</v>
      </c>
      <c r="G19" s="285">
        <f>SUM(G17:G18)</f>
        <v>0</v>
      </c>
      <c r="H19" s="38" t="e">
        <f>C19/(SUM(C19:D19))</f>
        <v>#DIV/0!</v>
      </c>
      <c r="I19" s="38" t="e">
        <f>SUM(C19,E19)/G19</f>
        <v>#DIV/0!</v>
      </c>
    </row>
    <row r="20" spans="1:9" ht="34.5" customHeight="1" thickBot="1">
      <c r="A20" s="956" t="s">
        <v>129</v>
      </c>
      <c r="B20" s="957"/>
      <c r="C20" s="898" t="e">
        <f>C19/$G$19</f>
        <v>#DIV/0!</v>
      </c>
      <c r="D20" s="40" t="e">
        <f t="shared" ref="D20:F20" si="0">D19/$G$19</f>
        <v>#DIV/0!</v>
      </c>
      <c r="E20" s="40" t="e">
        <f t="shared" si="0"/>
        <v>#DIV/0!</v>
      </c>
      <c r="F20" s="41" t="e">
        <f t="shared" si="0"/>
        <v>#DIV/0!</v>
      </c>
      <c r="G20" s="899" t="e">
        <f>SUM(C20:F20)</f>
        <v>#DIV/0!</v>
      </c>
      <c r="H20" s="943"/>
      <c r="I20" s="944"/>
    </row>
    <row r="21" spans="1:9" ht="39" customHeight="1" thickBot="1">
      <c r="A21" s="956" t="s">
        <v>130</v>
      </c>
      <c r="B21" s="957"/>
      <c r="C21" s="280" t="e">
        <f>C20*0.89</f>
        <v>#DIV/0!</v>
      </c>
      <c r="D21" s="280" t="e">
        <f>D20</f>
        <v>#DIV/0!</v>
      </c>
      <c r="E21" s="280" t="e">
        <f>E20</f>
        <v>#DIV/0!</v>
      </c>
      <c r="F21" s="281" t="e">
        <f>F20 + (C20*0.11)</f>
        <v>#DIV/0!</v>
      </c>
      <c r="G21" s="899" t="e">
        <f>SUM(C21:F21)</f>
        <v>#DIV/0!</v>
      </c>
      <c r="H21" s="943"/>
      <c r="I21" s="944"/>
    </row>
    <row r="22" spans="1:9">
      <c r="A22" s="958" t="s">
        <v>120</v>
      </c>
      <c r="B22" s="959"/>
      <c r="C22" s="959"/>
      <c r="D22" s="959"/>
      <c r="E22" s="959"/>
      <c r="F22" s="959"/>
      <c r="G22" s="959"/>
      <c r="H22" s="959"/>
      <c r="I22" s="960"/>
    </row>
    <row r="23" spans="1:9" ht="13.5" thickBot="1">
      <c r="A23" s="961"/>
      <c r="B23" s="962"/>
      <c r="C23" s="962"/>
      <c r="D23" s="962"/>
      <c r="E23" s="962"/>
      <c r="F23" s="962"/>
      <c r="G23" s="962"/>
      <c r="H23" s="962"/>
      <c r="I23" s="963"/>
    </row>
    <row r="24" spans="1:9">
      <c r="A24" s="958" t="s">
        <v>131</v>
      </c>
      <c r="B24" s="959"/>
      <c r="C24" s="959"/>
      <c r="D24" s="959"/>
      <c r="E24" s="959"/>
      <c r="F24" s="959"/>
      <c r="G24" s="959"/>
      <c r="H24" s="959"/>
      <c r="I24" s="960"/>
    </row>
    <row r="25" spans="1:9" ht="13.5" thickBot="1">
      <c r="A25" s="964"/>
      <c r="B25" s="965"/>
      <c r="C25" s="965"/>
      <c r="D25" s="965"/>
      <c r="E25" s="965"/>
      <c r="F25" s="965"/>
      <c r="G25" s="965"/>
      <c r="H25" s="965"/>
      <c r="I25" s="966"/>
    </row>
  </sheetData>
  <mergeCells count="34">
    <mergeCell ref="H20:I20"/>
    <mergeCell ref="A21:B21"/>
    <mergeCell ref="H21:I21"/>
    <mergeCell ref="A22:I23"/>
    <mergeCell ref="A24:I25"/>
    <mergeCell ref="A17:B17"/>
    <mergeCell ref="A18:B18"/>
    <mergeCell ref="A19:B19"/>
    <mergeCell ref="A20:B20"/>
    <mergeCell ref="A14:B16"/>
    <mergeCell ref="A10:I10"/>
    <mergeCell ref="A8:B8"/>
    <mergeCell ref="A9:B9"/>
    <mergeCell ref="H9:I9"/>
    <mergeCell ref="A12:I12"/>
    <mergeCell ref="H14:H16"/>
    <mergeCell ref="I14:I16"/>
    <mergeCell ref="C15:C16"/>
    <mergeCell ref="D15:D16"/>
    <mergeCell ref="E15:E16"/>
    <mergeCell ref="F15:F16"/>
    <mergeCell ref="G15:G16"/>
    <mergeCell ref="C14:G14"/>
    <mergeCell ref="A3:I3"/>
    <mergeCell ref="A1:I2"/>
    <mergeCell ref="A5:B7"/>
    <mergeCell ref="C5:G5"/>
    <mergeCell ref="H5:H7"/>
    <mergeCell ref="I5:I7"/>
    <mergeCell ref="C6:C7"/>
    <mergeCell ref="D6:D7"/>
    <mergeCell ref="E6:E7"/>
    <mergeCell ref="F6:F7"/>
    <mergeCell ref="G6:G7"/>
  </mergeCells>
  <pageMargins left="0.35" right="0.25" top="0.75" bottom="0.75" header="0.3" footer="0.56999999999999995"/>
  <pageSetup orientation="landscape" verticalDpi="1200" r:id="rId1"/>
  <headerFooter alignWithMargins="0">
    <oddHeader>&amp;C&amp;"Arial,Bold Italic"&amp;11WDFW Puget Sound Sampling Unit, In-season Test Fishery Results</oddHeader>
    <oddFooter>&amp;L&amp;9&amp;D&amp;R&amp;9&amp;F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3524-38C8-40C7-9126-7E2EA57E58DE}">
  <dimension ref="A1:AA56"/>
  <sheetViews>
    <sheetView workbookViewId="0">
      <selection activeCell="G12" sqref="G12:H15"/>
    </sheetView>
  </sheetViews>
  <sheetFormatPr defaultColWidth="8.83203125" defaultRowHeight="12.75"/>
  <cols>
    <col min="1" max="1" width="13.33203125" style="33" customWidth="1"/>
    <col min="2" max="2" width="16.5" style="33" customWidth="1"/>
    <col min="3" max="3" width="12.83203125" style="33" customWidth="1"/>
    <col min="4" max="4" width="13.1640625" style="33" customWidth="1"/>
    <col min="5" max="5" width="14.6640625" style="33" customWidth="1"/>
    <col min="6" max="6" width="15.83203125" style="33" customWidth="1"/>
    <col min="7" max="7" width="16.6640625" style="33" customWidth="1"/>
    <col min="8" max="8" width="15.1640625" style="33" customWidth="1"/>
    <col min="9" max="9" width="12" style="33" customWidth="1"/>
    <col min="10" max="10" width="12.83203125" style="33" customWidth="1"/>
    <col min="11" max="11" width="13.1640625" style="33" customWidth="1"/>
    <col min="12" max="12" width="14.33203125" style="33" customWidth="1"/>
    <col min="13" max="13" width="16.33203125" style="33" customWidth="1"/>
    <col min="14" max="14" width="14.6640625" style="33" customWidth="1"/>
    <col min="15" max="15" width="14" style="33" customWidth="1"/>
    <col min="16" max="16" width="14.1640625" style="217" customWidth="1"/>
    <col min="17" max="20" width="14.1640625" style="33" customWidth="1"/>
    <col min="21" max="21" width="12.83203125" style="33" customWidth="1"/>
    <col min="22" max="25" width="14.1640625" style="33" customWidth="1"/>
    <col min="26" max="26" width="14.1640625" style="33" bestFit="1" customWidth="1"/>
    <col min="27" max="27" width="13.1640625" style="33" bestFit="1" customWidth="1"/>
    <col min="28" max="16384" width="8.83203125" style="33"/>
  </cols>
  <sheetData>
    <row r="1" spans="1:27" ht="15" customHeight="1">
      <c r="A1" s="902" t="s">
        <v>54</v>
      </c>
      <c r="B1" s="902"/>
      <c r="C1" s="902"/>
      <c r="D1" s="902"/>
      <c r="E1" s="902"/>
      <c r="F1" s="902"/>
      <c r="G1" s="902"/>
      <c r="H1" s="902"/>
      <c r="I1" s="902"/>
      <c r="J1" s="902"/>
      <c r="K1" s="902"/>
    </row>
    <row r="2" spans="1:27" ht="15.75">
      <c r="A2" s="902" t="s">
        <v>211</v>
      </c>
      <c r="B2" s="902"/>
      <c r="C2" s="902"/>
      <c r="D2" s="902"/>
      <c r="E2" s="902"/>
      <c r="F2" s="902"/>
      <c r="G2" s="902"/>
      <c r="H2" s="902"/>
      <c r="I2" s="902"/>
      <c r="J2" s="902"/>
      <c r="K2" s="902"/>
    </row>
    <row r="3" spans="1:27" ht="12.6" customHeight="1">
      <c r="A3" s="874"/>
      <c r="B3" s="874"/>
      <c r="C3" s="874"/>
      <c r="D3" s="874"/>
      <c r="E3" s="874"/>
      <c r="F3" s="874"/>
      <c r="G3" s="874"/>
      <c r="H3" s="874"/>
      <c r="I3" s="874"/>
      <c r="J3" s="874"/>
    </row>
    <row r="4" spans="1:27" ht="17.649999999999999" customHeight="1" thickBot="1">
      <c r="A4" s="42"/>
      <c r="B4" s="43"/>
      <c r="C4" s="43"/>
      <c r="D4" s="43"/>
      <c r="E4" s="43"/>
      <c r="F4" s="43"/>
      <c r="G4" s="903" t="s">
        <v>86</v>
      </c>
      <c r="H4" s="904"/>
      <c r="I4" s="904"/>
      <c r="J4" s="904"/>
      <c r="K4" s="904"/>
      <c r="L4" s="904"/>
      <c r="M4" s="905"/>
      <c r="N4" s="938" t="s">
        <v>87</v>
      </c>
      <c r="O4" s="939"/>
      <c r="P4" s="939"/>
      <c r="Q4" s="939"/>
      <c r="R4" s="939"/>
    </row>
    <row r="5" spans="1:27" ht="19.149999999999999" customHeight="1">
      <c r="A5" s="906" t="s">
        <v>57</v>
      </c>
      <c r="B5" s="906" t="s">
        <v>58</v>
      </c>
      <c r="C5" s="906" t="s">
        <v>59</v>
      </c>
      <c r="D5" s="908" t="s">
        <v>60</v>
      </c>
      <c r="E5" s="910" t="s">
        <v>61</v>
      </c>
      <c r="F5" s="911"/>
      <c r="G5" s="910" t="s">
        <v>88</v>
      </c>
      <c r="H5" s="936"/>
      <c r="I5" s="911"/>
      <c r="J5" s="910" t="s">
        <v>89</v>
      </c>
      <c r="K5" s="936"/>
      <c r="L5" s="911"/>
      <c r="M5" s="912" t="s">
        <v>90</v>
      </c>
      <c r="N5" s="906" t="s">
        <v>91</v>
      </c>
      <c r="O5" s="940" t="s">
        <v>92</v>
      </c>
      <c r="P5" s="906" t="s">
        <v>93</v>
      </c>
      <c r="Q5" s="942" t="s">
        <v>94</v>
      </c>
      <c r="R5" s="912" t="s">
        <v>95</v>
      </c>
    </row>
    <row r="6" spans="1:27" ht="19.149999999999999" customHeight="1">
      <c r="A6" s="907"/>
      <c r="B6" s="907"/>
      <c r="C6" s="907"/>
      <c r="D6" s="909"/>
      <c r="E6" s="44" t="s">
        <v>65</v>
      </c>
      <c r="F6" s="45" t="s">
        <v>66</v>
      </c>
      <c r="G6" s="44" t="s">
        <v>67</v>
      </c>
      <c r="H6" s="158" t="s">
        <v>68</v>
      </c>
      <c r="I6" s="876" t="s">
        <v>96</v>
      </c>
      <c r="J6" s="887" t="s">
        <v>67</v>
      </c>
      <c r="K6" s="875" t="s">
        <v>68</v>
      </c>
      <c r="L6" s="876" t="s">
        <v>96</v>
      </c>
      <c r="M6" s="937"/>
      <c r="N6" s="907"/>
      <c r="O6" s="941"/>
      <c r="P6" s="907"/>
      <c r="Q6" s="913"/>
      <c r="R6" s="937"/>
    </row>
    <row r="7" spans="1:27" ht="15.75" customHeight="1">
      <c r="A7" s="1080" t="s">
        <v>70</v>
      </c>
      <c r="B7" s="394">
        <v>32</v>
      </c>
      <c r="C7" s="377">
        <v>45139</v>
      </c>
      <c r="D7" s="378">
        <v>45144</v>
      </c>
      <c r="E7" s="421">
        <v>95</v>
      </c>
      <c r="F7" s="613">
        <v>181</v>
      </c>
      <c r="G7" s="295">
        <v>0</v>
      </c>
      <c r="H7" s="837">
        <v>2</v>
      </c>
      <c r="I7" s="77">
        <v>0</v>
      </c>
      <c r="J7" s="114">
        <v>0</v>
      </c>
      <c r="K7" s="77">
        <v>0</v>
      </c>
      <c r="L7" s="220">
        <v>0</v>
      </c>
      <c r="M7" s="229">
        <f>SUM(G7:L7)</f>
        <v>2</v>
      </c>
      <c r="N7" s="618">
        <v>15</v>
      </c>
      <c r="O7" s="622">
        <v>0</v>
      </c>
      <c r="P7" s="627">
        <v>0</v>
      </c>
      <c r="Q7" s="622">
        <v>0</v>
      </c>
      <c r="R7" s="284">
        <f t="shared" ref="R7:R15" si="0">SUM(N7:Q7)</f>
        <v>15</v>
      </c>
    </row>
    <row r="8" spans="1:27" s="217" customFormat="1" ht="16.149999999999999" customHeight="1">
      <c r="A8" s="1081"/>
      <c r="B8" s="393">
        <v>33</v>
      </c>
      <c r="C8" s="667">
        <v>45145</v>
      </c>
      <c r="D8" s="668">
        <v>45151</v>
      </c>
      <c r="E8" s="421">
        <v>105</v>
      </c>
      <c r="F8" s="613">
        <v>196</v>
      </c>
      <c r="G8" s="295">
        <v>5</v>
      </c>
      <c r="H8" s="837">
        <v>3</v>
      </c>
      <c r="I8" s="77">
        <v>0</v>
      </c>
      <c r="J8" s="114">
        <v>0</v>
      </c>
      <c r="K8" s="77">
        <v>0</v>
      </c>
      <c r="L8" s="220">
        <v>0</v>
      </c>
      <c r="M8" s="229">
        <f t="shared" ref="M8:M15" si="1">SUM(G8:L8)</f>
        <v>8</v>
      </c>
      <c r="N8" s="619">
        <v>47</v>
      </c>
      <c r="O8" s="623">
        <v>0</v>
      </c>
      <c r="P8" s="629">
        <v>0</v>
      </c>
      <c r="Q8" s="623">
        <v>0</v>
      </c>
      <c r="R8" s="402">
        <f t="shared" si="0"/>
        <v>47</v>
      </c>
      <c r="S8" s="33"/>
      <c r="T8" s="33"/>
      <c r="U8" s="33"/>
      <c r="V8" s="33"/>
      <c r="W8" s="33"/>
      <c r="X8" s="33"/>
      <c r="Y8" s="33"/>
      <c r="Z8" s="33"/>
      <c r="AA8" s="33"/>
    </row>
    <row r="9" spans="1:27" s="217" customFormat="1" ht="14.65" customHeight="1">
      <c r="A9" s="1081"/>
      <c r="B9" s="393">
        <v>34</v>
      </c>
      <c r="C9" s="667">
        <v>45152</v>
      </c>
      <c r="D9" s="668">
        <v>45158</v>
      </c>
      <c r="E9" s="99">
        <v>159</v>
      </c>
      <c r="F9" s="101">
        <v>327</v>
      </c>
      <c r="G9" s="83">
        <v>50</v>
      </c>
      <c r="H9" s="84">
        <v>51</v>
      </c>
      <c r="I9" s="85">
        <v>0</v>
      </c>
      <c r="J9" s="221">
        <v>0</v>
      </c>
      <c r="K9" s="85">
        <v>0</v>
      </c>
      <c r="L9" s="220">
        <v>0</v>
      </c>
      <c r="M9" s="229">
        <f t="shared" si="1"/>
        <v>101</v>
      </c>
      <c r="N9" s="619">
        <v>124</v>
      </c>
      <c r="O9" s="623">
        <v>35</v>
      </c>
      <c r="P9" s="629">
        <v>0</v>
      </c>
      <c r="Q9" s="623">
        <v>0</v>
      </c>
      <c r="R9" s="402">
        <f t="shared" si="0"/>
        <v>159</v>
      </c>
      <c r="S9" s="33"/>
      <c r="T9" s="33"/>
      <c r="U9" s="33"/>
      <c r="V9" s="33"/>
      <c r="W9" s="33"/>
      <c r="X9" s="33"/>
      <c r="Y9" s="33"/>
      <c r="Z9" s="33"/>
      <c r="AA9" s="33"/>
    </row>
    <row r="10" spans="1:27" s="217" customFormat="1" ht="14.65" customHeight="1">
      <c r="A10" s="1081"/>
      <c r="B10" s="393">
        <v>35</v>
      </c>
      <c r="C10" s="667">
        <v>45159</v>
      </c>
      <c r="D10" s="668">
        <v>45165</v>
      </c>
      <c r="E10" s="99">
        <v>168</v>
      </c>
      <c r="F10" s="100">
        <v>374</v>
      </c>
      <c r="G10" s="83">
        <v>60</v>
      </c>
      <c r="H10" s="84">
        <v>19</v>
      </c>
      <c r="I10" s="85">
        <v>0</v>
      </c>
      <c r="J10" s="221">
        <v>0</v>
      </c>
      <c r="K10" s="85">
        <v>2</v>
      </c>
      <c r="L10" s="220">
        <v>0</v>
      </c>
      <c r="M10" s="229">
        <f>SUM(G10:L10)</f>
        <v>81</v>
      </c>
      <c r="N10" s="619">
        <v>105</v>
      </c>
      <c r="O10" s="623">
        <v>19</v>
      </c>
      <c r="P10" s="629">
        <v>0</v>
      </c>
      <c r="Q10" s="623">
        <v>0</v>
      </c>
      <c r="R10" s="402">
        <f t="shared" si="0"/>
        <v>124</v>
      </c>
      <c r="S10" s="33"/>
      <c r="T10" s="33"/>
      <c r="U10" s="33"/>
      <c r="V10" s="33"/>
      <c r="W10" s="33"/>
      <c r="X10" s="33"/>
      <c r="Y10" s="33"/>
      <c r="Z10" s="33"/>
      <c r="AA10" s="33"/>
    </row>
    <row r="11" spans="1:27" s="217" customFormat="1" ht="14.65" customHeight="1">
      <c r="A11" s="1081"/>
      <c r="B11" s="393">
        <v>36</v>
      </c>
      <c r="C11" s="667">
        <v>45166</v>
      </c>
      <c r="D11" s="668">
        <v>45173</v>
      </c>
      <c r="E11" s="413">
        <v>427</v>
      </c>
      <c r="F11" s="97">
        <v>864</v>
      </c>
      <c r="G11" s="90">
        <v>120</v>
      </c>
      <c r="H11" s="91">
        <v>167</v>
      </c>
      <c r="I11" s="92">
        <v>0</v>
      </c>
      <c r="J11" s="234">
        <v>0</v>
      </c>
      <c r="K11" s="92">
        <v>0</v>
      </c>
      <c r="L11" s="235">
        <v>7</v>
      </c>
      <c r="M11" s="517">
        <f>SUM(G11:L11)</f>
        <v>294</v>
      </c>
      <c r="N11" s="279">
        <v>125</v>
      </c>
      <c r="O11" s="555">
        <v>197</v>
      </c>
      <c r="P11" s="556">
        <v>0</v>
      </c>
      <c r="Q11" s="555">
        <v>0</v>
      </c>
      <c r="R11" s="139">
        <f t="shared" si="0"/>
        <v>322</v>
      </c>
      <c r="S11" s="33"/>
      <c r="T11" s="33"/>
      <c r="U11" s="33"/>
      <c r="V11" s="33"/>
      <c r="W11" s="33"/>
      <c r="X11" s="33"/>
      <c r="Y11" s="33"/>
      <c r="Z11" s="33"/>
      <c r="AA11" s="33"/>
    </row>
    <row r="12" spans="1:27" ht="14.65" customHeight="1">
      <c r="A12" s="1080" t="s">
        <v>53</v>
      </c>
      <c r="B12" s="394">
        <v>37</v>
      </c>
      <c r="C12" s="377">
        <v>45174</v>
      </c>
      <c r="D12" s="378">
        <v>44814</v>
      </c>
      <c r="E12" s="86">
        <v>209</v>
      </c>
      <c r="F12" s="98">
        <v>394</v>
      </c>
      <c r="G12" s="86">
        <v>60</v>
      </c>
      <c r="H12" s="87">
        <v>87</v>
      </c>
      <c r="I12" s="88">
        <v>0</v>
      </c>
      <c r="J12" s="512">
        <v>0</v>
      </c>
      <c r="K12" s="88">
        <v>4</v>
      </c>
      <c r="L12" s="513">
        <v>5</v>
      </c>
      <c r="M12" s="589">
        <f>SUM(G12:L12)</f>
        <v>156</v>
      </c>
      <c r="N12" s="619">
        <v>44</v>
      </c>
      <c r="O12" s="623">
        <v>63</v>
      </c>
      <c r="P12" s="629">
        <v>0</v>
      </c>
      <c r="Q12" s="623">
        <v>0</v>
      </c>
      <c r="R12" s="402">
        <f t="shared" si="0"/>
        <v>107</v>
      </c>
    </row>
    <row r="13" spans="1:27" ht="14.65" customHeight="1">
      <c r="A13" s="1081"/>
      <c r="B13" s="393">
        <v>38</v>
      </c>
      <c r="C13" s="667">
        <v>45180</v>
      </c>
      <c r="D13" s="668">
        <v>45186</v>
      </c>
      <c r="E13" s="83">
        <v>271</v>
      </c>
      <c r="F13" s="100">
        <v>531</v>
      </c>
      <c r="G13" s="83">
        <v>32</v>
      </c>
      <c r="H13" s="84">
        <v>89</v>
      </c>
      <c r="I13" s="85">
        <v>0</v>
      </c>
      <c r="J13" s="221">
        <v>0</v>
      </c>
      <c r="K13" s="85">
        <v>4</v>
      </c>
      <c r="L13" s="222">
        <v>0</v>
      </c>
      <c r="M13" s="229">
        <f t="shared" si="1"/>
        <v>125</v>
      </c>
      <c r="N13" s="221">
        <v>35</v>
      </c>
      <c r="O13" s="85">
        <v>13</v>
      </c>
      <c r="P13" s="629">
        <v>0</v>
      </c>
      <c r="Q13" s="623">
        <v>0</v>
      </c>
      <c r="R13" s="232">
        <f t="shared" si="0"/>
        <v>48</v>
      </c>
    </row>
    <row r="14" spans="1:27" ht="14.65" customHeight="1">
      <c r="A14" s="1081"/>
      <c r="B14" s="393">
        <v>39</v>
      </c>
      <c r="C14" s="667">
        <v>45187</v>
      </c>
      <c r="D14" s="668">
        <v>45193</v>
      </c>
      <c r="E14" s="83">
        <v>163</v>
      </c>
      <c r="F14" s="100">
        <v>307</v>
      </c>
      <c r="G14" s="83">
        <v>9</v>
      </c>
      <c r="H14" s="84">
        <v>42</v>
      </c>
      <c r="I14" s="85">
        <v>0</v>
      </c>
      <c r="J14" s="221">
        <v>0</v>
      </c>
      <c r="K14" s="85">
        <v>0</v>
      </c>
      <c r="L14" s="222">
        <v>0</v>
      </c>
      <c r="M14" s="229">
        <f t="shared" si="1"/>
        <v>51</v>
      </c>
      <c r="N14" s="221">
        <v>15</v>
      </c>
      <c r="O14" s="85">
        <v>5</v>
      </c>
      <c r="P14" s="629">
        <v>0</v>
      </c>
      <c r="Q14" s="623">
        <v>0</v>
      </c>
      <c r="R14" s="232">
        <f t="shared" si="0"/>
        <v>20</v>
      </c>
    </row>
    <row r="15" spans="1:27" ht="14.65" customHeight="1">
      <c r="A15" s="1082"/>
      <c r="B15" s="897">
        <v>40</v>
      </c>
      <c r="C15" s="385">
        <v>45194</v>
      </c>
      <c r="D15" s="386">
        <v>45199</v>
      </c>
      <c r="E15" s="223">
        <v>131</v>
      </c>
      <c r="F15" s="105">
        <v>257</v>
      </c>
      <c r="G15" s="223">
        <v>26</v>
      </c>
      <c r="H15" s="422">
        <v>165</v>
      </c>
      <c r="I15" s="224">
        <v>0</v>
      </c>
      <c r="J15" s="423">
        <v>0</v>
      </c>
      <c r="K15" s="224">
        <v>3</v>
      </c>
      <c r="L15" s="424">
        <v>10</v>
      </c>
      <c r="M15" s="517">
        <f t="shared" si="1"/>
        <v>204</v>
      </c>
      <c r="N15" s="423">
        <v>0</v>
      </c>
      <c r="O15" s="224">
        <v>3</v>
      </c>
      <c r="P15" s="423">
        <v>0</v>
      </c>
      <c r="Q15" s="224">
        <v>0</v>
      </c>
      <c r="R15" s="230">
        <f t="shared" si="0"/>
        <v>3</v>
      </c>
    </row>
    <row r="16" spans="1:27" ht="16.149999999999999" customHeight="1">
      <c r="A16" s="923" t="s">
        <v>71</v>
      </c>
      <c r="B16" s="924"/>
      <c r="C16" s="924"/>
      <c r="D16" s="1073"/>
      <c r="E16" s="64">
        <f>SUM(E7:E15)</f>
        <v>1728</v>
      </c>
      <c r="F16" s="65">
        <f>SUM(F7:F15)</f>
        <v>3431</v>
      </c>
      <c r="G16" s="64">
        <f>SUM(G7:G15)</f>
        <v>362</v>
      </c>
      <c r="H16" s="329">
        <f>SUM(H7:H15)</f>
        <v>625</v>
      </c>
      <c r="I16" s="66">
        <f t="shared" ref="I16:L16" si="2">SUM(I7:I15)</f>
        <v>0</v>
      </c>
      <c r="J16" s="65">
        <f t="shared" si="2"/>
        <v>0</v>
      </c>
      <c r="K16" s="64">
        <f t="shared" si="2"/>
        <v>13</v>
      </c>
      <c r="L16" s="64">
        <f t="shared" si="2"/>
        <v>22</v>
      </c>
      <c r="M16" s="140">
        <f>SUM(M7:M15)</f>
        <v>1022</v>
      </c>
      <c r="N16" s="65">
        <f t="shared" ref="N16:O16" si="3">SUM(N7:N15)</f>
        <v>510</v>
      </c>
      <c r="O16" s="64">
        <f t="shared" si="3"/>
        <v>335</v>
      </c>
      <c r="P16" s="65">
        <f t="shared" ref="P16:R16" si="4">SUM(P7:P15)</f>
        <v>0</v>
      </c>
      <c r="Q16" s="64">
        <f t="shared" si="4"/>
        <v>0</v>
      </c>
      <c r="R16" s="140">
        <f t="shared" si="4"/>
        <v>845</v>
      </c>
    </row>
    <row r="17" spans="1:18" ht="15">
      <c r="A17" s="914" t="s">
        <v>72</v>
      </c>
      <c r="B17" s="915"/>
      <c r="C17" s="915"/>
      <c r="D17" s="1074"/>
      <c r="E17" s="647">
        <v>4489</v>
      </c>
      <c r="F17" s="648">
        <v>17844</v>
      </c>
      <c r="G17" s="225">
        <v>3841</v>
      </c>
      <c r="H17" s="81">
        <v>2065</v>
      </c>
      <c r="I17" s="226">
        <v>0</v>
      </c>
      <c r="J17" s="227">
        <v>0</v>
      </c>
      <c r="K17" s="226">
        <v>13</v>
      </c>
      <c r="L17" s="228">
        <v>94</v>
      </c>
      <c r="M17" s="637">
        <f>SUM(G17:L17)</f>
        <v>6013</v>
      </c>
      <c r="N17" s="227">
        <v>1432</v>
      </c>
      <c r="O17" s="773">
        <v>758</v>
      </c>
      <c r="P17" s="227">
        <v>0</v>
      </c>
      <c r="Q17" s="226">
        <v>0</v>
      </c>
      <c r="R17" s="637">
        <f>SUM(N17:Q17)</f>
        <v>2190</v>
      </c>
    </row>
    <row r="18" spans="1:18" ht="15">
      <c r="A18" s="916" t="s">
        <v>73</v>
      </c>
      <c r="B18" s="917"/>
      <c r="C18" s="917"/>
      <c r="D18" s="1075"/>
      <c r="E18" s="650">
        <v>67</v>
      </c>
      <c r="F18" s="115">
        <v>134</v>
      </c>
      <c r="G18" s="650">
        <v>62</v>
      </c>
      <c r="H18" s="155">
        <v>45</v>
      </c>
      <c r="I18" s="157">
        <v>0</v>
      </c>
      <c r="J18" s="142">
        <v>0</v>
      </c>
      <c r="K18" s="142">
        <v>4</v>
      </c>
      <c r="L18" s="650">
        <v>10</v>
      </c>
      <c r="M18" s="141">
        <f t="shared" ref="M18:R18" si="5">SQRT(M17)</f>
        <v>77.543536158728273</v>
      </c>
      <c r="N18" s="142">
        <v>38</v>
      </c>
      <c r="O18" s="157">
        <v>28</v>
      </c>
      <c r="P18" s="142">
        <f t="shared" si="5"/>
        <v>0</v>
      </c>
      <c r="Q18" s="142">
        <f t="shared" si="5"/>
        <v>0</v>
      </c>
      <c r="R18" s="141">
        <f t="shared" si="5"/>
        <v>46.797435827190363</v>
      </c>
    </row>
    <row r="19" spans="1:18" ht="15">
      <c r="A19" s="916" t="s">
        <v>74</v>
      </c>
      <c r="B19" s="917"/>
      <c r="C19" s="917"/>
      <c r="D19" s="1075"/>
      <c r="E19" s="634">
        <v>3.9E-2</v>
      </c>
      <c r="F19" s="93">
        <v>3.9E-2</v>
      </c>
      <c r="G19" s="634">
        <v>1.54</v>
      </c>
      <c r="H19" s="156">
        <v>0.65</v>
      </c>
      <c r="I19" s="94" t="s">
        <v>140</v>
      </c>
      <c r="J19" s="640" t="s">
        <v>140</v>
      </c>
      <c r="K19" s="640">
        <v>2.4900000000000002</v>
      </c>
      <c r="L19" s="634">
        <v>4.0199999999999996</v>
      </c>
      <c r="M19" s="638">
        <f t="shared" ref="M19:R19" si="6">M18/M16</f>
        <v>7.5874301525174437E-2</v>
      </c>
      <c r="N19" s="640">
        <v>0.67</v>
      </c>
      <c r="O19" s="94">
        <v>0.74</v>
      </c>
      <c r="P19" s="640" t="e">
        <f t="shared" si="6"/>
        <v>#DIV/0!</v>
      </c>
      <c r="Q19" s="640" t="e">
        <f t="shared" si="6"/>
        <v>#DIV/0!</v>
      </c>
      <c r="R19" s="638">
        <f t="shared" si="6"/>
        <v>5.5381580860580308E-2</v>
      </c>
    </row>
    <row r="20" spans="1:18" ht="15.75" thickBot="1">
      <c r="A20" s="928" t="s">
        <v>75</v>
      </c>
      <c r="B20" s="929"/>
      <c r="C20" s="929"/>
      <c r="D20" s="1076"/>
      <c r="E20" s="649" t="s">
        <v>212</v>
      </c>
      <c r="F20" s="75" t="s">
        <v>213</v>
      </c>
      <c r="G20" s="649" t="s">
        <v>214</v>
      </c>
      <c r="H20" s="815" t="s">
        <v>215</v>
      </c>
      <c r="I20" s="75" t="s">
        <v>151</v>
      </c>
      <c r="J20" s="644" t="s">
        <v>151</v>
      </c>
      <c r="K20" s="658" t="s">
        <v>216</v>
      </c>
      <c r="L20" s="644" t="s">
        <v>217</v>
      </c>
      <c r="M20" s="639" t="str">
        <f t="shared" ref="M20:R20" si="7">CONCATENATE(TEXT(ROUND(M16-1.96*SQRT(M17),0),"#,###"),"-",TEXT(ROUND(M16+1.96*SQRT(M17),0),"#,###"))</f>
        <v>870-1,174</v>
      </c>
      <c r="N20" s="644" t="s">
        <v>218</v>
      </c>
      <c r="O20" s="74" t="s">
        <v>219</v>
      </c>
      <c r="P20" s="644" t="str">
        <f t="shared" si="7"/>
        <v>-</v>
      </c>
      <c r="Q20" s="143" t="str">
        <f t="shared" si="7"/>
        <v>-</v>
      </c>
      <c r="R20" s="639" t="str">
        <f t="shared" si="7"/>
        <v>753-937</v>
      </c>
    </row>
    <row r="21" spans="1:18" ht="14.25">
      <c r="A21" s="1077" t="s">
        <v>83</v>
      </c>
      <c r="B21" s="1078"/>
      <c r="C21" s="1078"/>
      <c r="D21" s="1078"/>
      <c r="E21" s="1078"/>
      <c r="F21" s="1078"/>
      <c r="G21" s="1078"/>
      <c r="H21" s="1078"/>
      <c r="I21" s="1078"/>
      <c r="J21" s="1078"/>
      <c r="K21" s="1079"/>
    </row>
    <row r="22" spans="1:18">
      <c r="K22"/>
      <c r="M22"/>
    </row>
    <row r="23" spans="1:18">
      <c r="P23" s="33"/>
    </row>
    <row r="24" spans="1:18">
      <c r="P24" s="33"/>
    </row>
    <row r="25" spans="1:18">
      <c r="B25" s="420"/>
      <c r="C25" s="420"/>
      <c r="P25" s="33"/>
    </row>
    <row r="26" spans="1:18">
      <c r="B26" s="420"/>
      <c r="C26" s="420"/>
      <c r="P26" s="33"/>
    </row>
    <row r="27" spans="1:18">
      <c r="B27" s="420"/>
      <c r="C27" s="420"/>
      <c r="P27" s="33"/>
    </row>
    <row r="28" spans="1:18">
      <c r="B28" s="420"/>
      <c r="C28" s="420"/>
      <c r="P28" s="33"/>
    </row>
    <row r="29" spans="1:18">
      <c r="B29" s="420"/>
      <c r="C29" s="420"/>
      <c r="P29" s="33"/>
    </row>
    <row r="30" spans="1:18">
      <c r="B30" s="420"/>
      <c r="C30" s="420"/>
      <c r="P30" s="33"/>
    </row>
    <row r="31" spans="1:18">
      <c r="B31" s="420"/>
      <c r="C31" s="420"/>
      <c r="P31" s="33"/>
    </row>
    <row r="32" spans="1:18">
      <c r="B32" s="420"/>
      <c r="C32" s="420"/>
      <c r="P32" s="33"/>
    </row>
    <row r="33" spans="3:16">
      <c r="P33" s="33"/>
    </row>
    <row r="34" spans="3:16">
      <c r="P34" s="33"/>
    </row>
    <row r="35" spans="3:16">
      <c r="P35" s="33"/>
    </row>
    <row r="36" spans="3:16">
      <c r="P36" s="33"/>
    </row>
    <row r="37" spans="3:16">
      <c r="P37" s="33"/>
    </row>
    <row r="38" spans="3:16">
      <c r="P38" s="33"/>
    </row>
    <row r="39" spans="3:16">
      <c r="P39" s="33"/>
    </row>
    <row r="40" spans="3:16">
      <c r="C40" s="217"/>
      <c r="D40" s="217"/>
      <c r="E40" s="236"/>
      <c r="P40" s="33"/>
    </row>
    <row r="41" spans="3:16">
      <c r="P41" s="33"/>
    </row>
    <row r="42" spans="3:16">
      <c r="P42" s="33"/>
    </row>
    <row r="43" spans="3:16">
      <c r="P43" s="33"/>
    </row>
    <row r="44" spans="3:16">
      <c r="P44" s="33"/>
    </row>
    <row r="45" spans="3:16">
      <c r="P45" s="33"/>
    </row>
    <row r="46" spans="3:16">
      <c r="P46" s="33"/>
    </row>
    <row r="47" spans="3:16">
      <c r="P47" s="33"/>
    </row>
    <row r="48" spans="3:16">
      <c r="P48" s="33"/>
    </row>
    <row r="49" spans="3:16">
      <c r="P49" s="33"/>
    </row>
    <row r="50" spans="3:16">
      <c r="P50" s="33"/>
    </row>
    <row r="51" spans="3:16">
      <c r="P51" s="33"/>
    </row>
    <row r="52" spans="3:16">
      <c r="P52" s="33"/>
    </row>
    <row r="53" spans="3:16">
      <c r="C53" s="217"/>
      <c r="P53" s="33"/>
    </row>
    <row r="54" spans="3:16">
      <c r="C54" s="217"/>
      <c r="P54" s="33"/>
    </row>
    <row r="55" spans="3:16">
      <c r="C55" s="217"/>
      <c r="P55" s="33"/>
    </row>
    <row r="56" spans="3:16">
      <c r="C56" s="217"/>
      <c r="P56" s="33"/>
    </row>
  </sheetData>
  <mergeCells count="25">
    <mergeCell ref="N4:R4"/>
    <mergeCell ref="N5:N6"/>
    <mergeCell ref="O5:O6"/>
    <mergeCell ref="P5:P6"/>
    <mergeCell ref="Q5:Q6"/>
    <mergeCell ref="R5:R6"/>
    <mergeCell ref="A19:D19"/>
    <mergeCell ref="A20:D20"/>
    <mergeCell ref="A21:K21"/>
    <mergeCell ref="A7:A11"/>
    <mergeCell ref="A12:A15"/>
    <mergeCell ref="M5:M6"/>
    <mergeCell ref="A16:D16"/>
    <mergeCell ref="A17:D17"/>
    <mergeCell ref="A18:D18"/>
    <mergeCell ref="A1:K1"/>
    <mergeCell ref="A2:K2"/>
    <mergeCell ref="G4:M4"/>
    <mergeCell ref="A5:A6"/>
    <mergeCell ref="B5:B6"/>
    <mergeCell ref="C5:C6"/>
    <mergeCell ref="D5:D6"/>
    <mergeCell ref="E5:F5"/>
    <mergeCell ref="G5:I5"/>
    <mergeCell ref="J5:L5"/>
  </mergeCells>
  <phoneticPr fontId="42" type="noConversion"/>
  <pageMargins left="0.75" right="0.75" top="1" bottom="1" header="0.5" footer="0.5"/>
  <pageSetup scale="4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2a65d548-a1ea-4c6c-a4d4-0035e9f9cde1">
      <Terms xmlns="http://schemas.microsoft.com/office/infopath/2007/PartnerControls"/>
    </lcf76f155ced4ddcb4097134ff3c332f>
    <TaxCatchAll xmlns="da82f388-4ec1-4d45-85ab-dcb931e1ae2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E98716ECCA24897CD02C834DA958F" ma:contentTypeVersion="14" ma:contentTypeDescription="Create a new document." ma:contentTypeScope="" ma:versionID="d011465d41fa6672530e70263dc9f39e">
  <xsd:schema xmlns:xsd="http://www.w3.org/2001/XMLSchema" xmlns:xs="http://www.w3.org/2001/XMLSchema" xmlns:p="http://schemas.microsoft.com/office/2006/metadata/properties" xmlns:ns1="http://schemas.microsoft.com/sharepoint/v3" xmlns:ns2="2a65d548-a1ea-4c6c-a4d4-0035e9f9cde1" xmlns:ns3="da82f388-4ec1-4d45-85ab-dcb931e1ae26" targetNamespace="http://schemas.microsoft.com/office/2006/metadata/properties" ma:root="true" ma:fieldsID="f3c41d9346bb1c74f2f5916c2378ab23" ns1:_="" ns2:_="" ns3:_="">
    <xsd:import namespace="http://schemas.microsoft.com/sharepoint/v3"/>
    <xsd:import namespace="2a65d548-a1ea-4c6c-a4d4-0035e9f9cde1"/>
    <xsd:import namespace="da82f388-4ec1-4d45-85ab-dcb931e1ae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65d548-a1ea-4c6c-a4d4-0035e9f9cd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60a6a1c-50a4-4ec0-87e3-f00760ffe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82f388-4ec1-4d45-85ab-dcb931e1ae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c6ac54e-1652-4977-a66c-4a38a25ae8fa}" ma:internalName="TaxCatchAll" ma:showField="CatchAllData" ma:web="da82f388-4ec1-4d45-85ab-dcb931e1ae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I D A A B Q S w M E F A A C A A g A + X Q t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P l 0 L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d C 1 V K I p H u A 4 A A A A R A A A A E w A c A E Z v c m 1 1 b G F z L 1 N l Y 3 R p b 2 4 x L m 0 g o h g A K K A U A A A A A A A A A A A A A A A A A A A A A A A A A A A A K 0 5 N L s n M z 1 M I h t C G 1 g B Q S w E C L Q A U A A I A C A D 5 d C 1 V 2 F 6 J 0 6 I A A A D 2 A A A A E g A A A A A A A A A A A A A A A A A A A A A A Q 2 9 u Z m l n L 1 B h Y 2 t h Z 2 U u e G 1 s U E s B A i 0 A F A A C A A g A + X Q t V Q / K 6 a u k A A A A 6 Q A A A B M A A A A A A A A A A A A A A A A A 7 g A A A F t D b 2 5 0 Z W 5 0 X 1 R 5 c G V z X S 5 4 b W x Q S w E C L Q A U A A I A C A D 5 d C 1 V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r f k c G + t L D k C Y V g 5 5 6 K A d w A A A A A A C A A A A A A A D Z g A A w A A A A B A A A A D P A x 1 s P e z w s 6 R U b E a c 2 M u q A A A A A A S A A A C g A A A A E A A A A J P 4 E p w w o 8 B i 8 k + V / t F + g C t Q A A A A J x R s m o 2 Q + q m Z R E p 4 9 l b l e U 4 1 A h H y R P 0 u F R e E s k M 0 z 9 R R w 4 u b v a E 3 A s N k a F Z x r C r C 5 8 V H Z c / V M W D k v r 0 y J e d f Z n Z w + Q S T 1 G x w q r 4 d U q 7 H Y h k U A A A A b w v J g r f 5 4 N R v + 3 4 U 2 2 g o x I + y j 9 Y = < / D a t a M a s h u p > 
</file>

<file path=customXml/itemProps1.xml><?xml version="1.0" encoding="utf-8"?>
<ds:datastoreItem xmlns:ds="http://schemas.openxmlformats.org/officeDocument/2006/customXml" ds:itemID="{EEBAE792-7B3E-421E-844F-7D8BC22691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DA87A8-C416-4371-8A8A-EF8C9CB51732}">
  <ds:schemaRefs>
    <ds:schemaRef ds:uri="http://purl.org/dc/terms/"/>
    <ds:schemaRef ds:uri="http://purl.org/dc/dcmitype/"/>
    <ds:schemaRef ds:uri="http://schemas.microsoft.com/sharepoint/v3"/>
    <ds:schemaRef ds:uri="http://schemas.microsoft.com/office/2006/metadata/properties"/>
    <ds:schemaRef ds:uri="http://purl.org/dc/elements/1.1/"/>
    <ds:schemaRef ds:uri="da82f388-4ec1-4d45-85ab-dcb931e1ae26"/>
    <ds:schemaRef ds:uri="2a65d548-a1ea-4c6c-a4d4-0035e9f9cde1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DDE1A404-4F82-4CB9-B53F-583BBD06C2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a65d548-a1ea-4c6c-a4d4-0035e9f9cde1"/>
    <ds:schemaRef ds:uri="da82f388-4ec1-4d45-85ab-dcb931e1ae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3483BAF-48B7-413E-8650-ED4F581F1A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15</vt:i4>
      </vt:variant>
    </vt:vector>
  </HeadingPairs>
  <TitlesOfParts>
    <vt:vector size="31" baseType="lpstr">
      <vt:lpstr>Chinook_All_Areas_Ests-vs-FRAM</vt:lpstr>
      <vt:lpstr>Coho_All_Areas_Ests_vs_FRAM</vt:lpstr>
      <vt:lpstr>EstArea 5 2023</vt:lpstr>
      <vt:lpstr>Area 5 Test Fishing</vt:lpstr>
      <vt:lpstr>EstArea 6 2023</vt:lpstr>
      <vt:lpstr>Area 6 STR</vt:lpstr>
      <vt:lpstr>EstArea 7 2023</vt:lpstr>
      <vt:lpstr>Area7 test fishing</vt:lpstr>
      <vt:lpstr>EstArea 81 2023</vt:lpstr>
      <vt:lpstr>EstArea 82 2023</vt:lpstr>
      <vt:lpstr>EstAreas9&amp;10 2023</vt:lpstr>
      <vt:lpstr>Area9&amp;10 test fishing</vt:lpstr>
      <vt:lpstr>Est Elliott Bay 2023</vt:lpstr>
      <vt:lpstr>ElliotBay VTR</vt:lpstr>
      <vt:lpstr>EstArea 11 2023</vt:lpstr>
      <vt:lpstr>Area 11 Encounters</vt:lpstr>
      <vt:lpstr>'Area 11 Encounters'!Print_Area</vt:lpstr>
      <vt:lpstr>'Area 5 Test Fishing'!Print_Area</vt:lpstr>
      <vt:lpstr>'Area 6 STR'!Print_Area</vt:lpstr>
      <vt:lpstr>'Area7 test fishing'!Print_Area</vt:lpstr>
      <vt:lpstr>'Area9&amp;10 test fishing'!Print_Area</vt:lpstr>
      <vt:lpstr>'Chinook_All_Areas_Ests-vs-FRAM'!Print_Area</vt:lpstr>
      <vt:lpstr>Coho_All_Areas_Ests_vs_FRAM!Print_Area</vt:lpstr>
      <vt:lpstr>'ElliotBay VTR'!Print_Area</vt:lpstr>
      <vt:lpstr>'Est Elliott Bay 2023'!Print_Area</vt:lpstr>
      <vt:lpstr>'EstArea 11 2023'!Print_Area</vt:lpstr>
      <vt:lpstr>'EstArea 5 2023'!Print_Area</vt:lpstr>
      <vt:lpstr>'EstArea 6 2023'!Print_Area</vt:lpstr>
      <vt:lpstr>'EstArea 7 2023'!Print_Area</vt:lpstr>
      <vt:lpstr>'EstArea 81 2023'!Print_Area</vt:lpstr>
      <vt:lpstr>'EstArea 82 2023'!Print_Area</vt:lpstr>
    </vt:vector>
  </TitlesOfParts>
  <Manager/>
  <Company>WDFW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Kloempken, Karen A (DFW)</dc:creator>
  <cp:keywords/>
  <dc:description/>
  <cp:lastModifiedBy>Garber, Tyler J (DFW)</cp:lastModifiedBy>
  <cp:revision/>
  <dcterms:created xsi:type="dcterms:W3CDTF">2013-07-02T21:46:04Z</dcterms:created>
  <dcterms:modified xsi:type="dcterms:W3CDTF">2023-11-29T00:29:34Z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0x01010050AE98716ECCA24897CD02C834DA958F</vt:lpwstr>
  </property>
  <property fmtid="{D5CDD505-2E9C-101B-9397-08002B2CF9AE}" pid="3" name="MSIP_Label_45011977-b912-4387-97a4-f4c94a801377_Enabled">
    <vt:lpwstr>true</vt:lpwstr>
  </property>
  <property fmtid="{D5CDD505-2E9C-101B-9397-08002B2CF9AE}" pid="4" name="MSIP_Label_45011977-b912-4387-97a4-f4c94a801377_SetDate">
    <vt:lpwstr>2021-08-13T17:51:13Z</vt:lpwstr>
  </property>
  <property fmtid="{D5CDD505-2E9C-101B-9397-08002B2CF9AE}" pid="5" name="MSIP_Label_45011977-b912-4387-97a4-f4c94a801377_Method">
    <vt:lpwstr>Standard</vt:lpwstr>
  </property>
  <property fmtid="{D5CDD505-2E9C-101B-9397-08002B2CF9AE}" pid="6" name="MSIP_Label_45011977-b912-4387-97a4-f4c94a801377_Name">
    <vt:lpwstr>Uncategorized Data</vt:lpwstr>
  </property>
  <property fmtid="{D5CDD505-2E9C-101B-9397-08002B2CF9AE}" pid="7" name="MSIP_Label_45011977-b912-4387-97a4-f4c94a801377_SiteId">
    <vt:lpwstr>11d0e217-264e-400a-8ba0-57dcc127d72d</vt:lpwstr>
  </property>
  <property fmtid="{D5CDD505-2E9C-101B-9397-08002B2CF9AE}" pid="8" name="MSIP_Label_45011977-b912-4387-97a4-f4c94a801377_ActionId">
    <vt:lpwstr>80bda61d-5a11-4d36-aa03-514a28008cac</vt:lpwstr>
  </property>
  <property fmtid="{D5CDD505-2E9C-101B-9397-08002B2CF9AE}" pid="9" name="MSIP_Label_45011977-b912-4387-97a4-f4c94a801377_ContentBits">
    <vt:lpwstr>0</vt:lpwstr>
  </property>
  <property fmtid="{D5CDD505-2E9C-101B-9397-08002B2CF9AE}" pid="10" name="MediaServiceImageTags">
    <vt:lpwstr/>
  </property>
</Properties>
</file>